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omments2.xml" ContentType="application/vnd.openxmlformats-officedocument.spreadsheetml.comments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omments3.xml" ContentType="application/vnd.openxmlformats-officedocument.spreadsheetml.comments+xml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fileSharing readOnlyRecommended="1"/>
  <workbookPr hidePivotFieldList="1"/>
  <mc:AlternateContent xmlns:mc="http://schemas.openxmlformats.org/markup-compatibility/2006">
    <mc:Choice Requires="x15">
      <x15ac:absPath xmlns:x15ac="http://schemas.microsoft.com/office/spreadsheetml/2010/11/ac" url="https://caseworksprd.tec.net/1347/DISCOVERY/Library/Staff's 5th PODs (Nos. 24-25)/Drafter Workspace/SUPP - POD 25/"/>
    </mc:Choice>
  </mc:AlternateContent>
  <xr:revisionPtr revIDLastSave="0" documentId="13_ncr:1_{D427A571-8504-4AD7-8435-69884295942A}" xr6:coauthVersionLast="47" xr6:coauthVersionMax="47" xr10:uidLastSave="{00000000-0000-0000-0000-000000000000}"/>
  <bookViews>
    <workbookView xWindow="-110" yWindow="-110" windowWidth="19420" windowHeight="10420" tabRatio="819" firstSheet="5" activeTab="12" xr2:uid="{00000000-000D-0000-FFFF-FFFF00000000}"/>
  </bookViews>
  <sheets>
    <sheet name="Proposed Rates" sheetId="1" r:id="rId1"/>
    <sheet name="Proposed Accruals" sheetId="2" r:id="rId2"/>
    <sheet name="Plant &amp; Reserve" sheetId="3" r:id="rId3"/>
    <sheet name="Reserve Allocation" sheetId="16" r:id="rId4"/>
    <sheet name="Avg Age" sheetId="17" r:id="rId5"/>
    <sheet name="Parameter" sheetId="14" r:id="rId6"/>
    <sheet name="Comparative" sheetId="5" state="hidden" r:id="rId7"/>
    <sheet name="Annual Status" sheetId="6" state="hidden" r:id="rId8"/>
    <sheet name="ASR Assets" sheetId="7" state="hidden" r:id="rId9"/>
    <sheet name="ASR Reserves" sheetId="8" state="hidden" r:id="rId10"/>
    <sheet name="COR Reserve" sheetId="9" state="hidden" r:id="rId11"/>
    <sheet name="Theoretical Reserve" sheetId="10" r:id="rId12"/>
    <sheet name="Rate Computation" sheetId="11" r:id="rId13"/>
    <sheet name="Report Table" sheetId="15" r:id="rId14"/>
    <sheet name="Rate Comparsion" sheetId="13" r:id="rId15"/>
  </sheets>
  <definedNames>
    <definedName name="_Key1" hidden="1">#REF!</definedName>
    <definedName name="_Order1" hidden="1">255</definedName>
    <definedName name="_Sort" hidden="1">#REF!</definedName>
    <definedName name="adds">#REF!</definedName>
    <definedName name="DIST">#REF!</definedName>
    <definedName name="DISTLIST">#REF!</definedName>
    <definedName name="l">#REF!</definedName>
    <definedName name="PagePrint">#REF!</definedName>
    <definedName name="_xlnm.Print_Area" localSheetId="8">'ASR Assets'!$A$1:$H$56</definedName>
    <definedName name="_xlnm.Print_Area" localSheetId="9">'ASR Reserves'!$A$1:$J$58</definedName>
    <definedName name="_xlnm.Print_Area" localSheetId="6">Comparative!$A$1:$R$290</definedName>
    <definedName name="_xlnm.Print_Area" localSheetId="2">'Plant &amp; Reserve'!$A$1:$K$69,'Plant &amp; Reserve'!$M$1:$U$69</definedName>
    <definedName name="_xlnm.Print_Area" localSheetId="1">'Proposed Accruals'!$A$1:$R$72</definedName>
    <definedName name="_xlnm.Print_Area" localSheetId="0">'Proposed Rates'!$A$1:$X$67</definedName>
    <definedName name="_xlnm.Print_Titles" localSheetId="6">Comparative!$1:$12</definedName>
    <definedName name="_xlnm.Print_Titles" localSheetId="2">'Plant &amp; Reserve'!$1:$13</definedName>
    <definedName name="_xlnm.Print_Titles" localSheetId="1">'Proposed Accruals'!$1:$12</definedName>
    <definedName name="_xlnm.Print_Titles" localSheetId="0">'Proposed Rates'!$1:$12</definedName>
    <definedName name="PrintRangeC1">#REF!</definedName>
    <definedName name="REFORECAST_1">#REF!</definedName>
    <definedName name="REFORECAST_2">#REF!</definedName>
    <definedName name="REFORECAST_3">#REF!</definedName>
    <definedName name="REFORECAST_4">#REF!</definedName>
    <definedName name="REFORECAST_5">#REF!</definedName>
    <definedName name="rev153data">#REF!</definedName>
    <definedName name="rev451data">#REF!</definedName>
    <definedName name="TABL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13" l="1"/>
  <c r="E716" i="17" l="1"/>
  <c r="E717" i="17"/>
  <c r="E718" i="17"/>
  <c r="E719" i="17"/>
  <c r="E720" i="17"/>
  <c r="E721" i="17"/>
  <c r="E722" i="17"/>
  <c r="E723" i="17"/>
  <c r="E724" i="17"/>
  <c r="E725" i="17"/>
  <c r="E726" i="17"/>
  <c r="E727" i="17"/>
  <c r="E728" i="17"/>
  <c r="E729" i="17"/>
  <c r="E730" i="17"/>
  <c r="E731" i="17"/>
  <c r="E732" i="17"/>
  <c r="E733" i="17"/>
  <c r="E734" i="17"/>
  <c r="E735" i="17"/>
  <c r="E736" i="17"/>
  <c r="E737" i="17"/>
  <c r="E738" i="17"/>
  <c r="E739" i="17"/>
  <c r="E740" i="17"/>
  <c r="E741" i="17"/>
  <c r="E742" i="17"/>
  <c r="E743" i="17"/>
  <c r="E744" i="17"/>
  <c r="E745" i="17"/>
  <c r="E746" i="17"/>
  <c r="E747" i="17"/>
  <c r="E748" i="17"/>
  <c r="E749" i="17"/>
  <c r="E750" i="17"/>
  <c r="E751" i="17"/>
  <c r="E752" i="17"/>
  <c r="E753" i="17"/>
  <c r="E754" i="17"/>
  <c r="E755" i="17"/>
  <c r="E756" i="17"/>
  <c r="E757" i="17"/>
  <c r="E841" i="17"/>
  <c r="E842" i="17"/>
  <c r="E843" i="17"/>
  <c r="E844" i="17"/>
  <c r="E845" i="17"/>
  <c r="E846" i="17"/>
  <c r="E847" i="17"/>
  <c r="E848" i="17"/>
  <c r="E849" i="17"/>
  <c r="E850" i="17"/>
  <c r="E851" i="17"/>
  <c r="E852" i="17"/>
  <c r="E853" i="17"/>
  <c r="E854" i="17"/>
  <c r="E855" i="17"/>
  <c r="E856" i="17"/>
  <c r="E857" i="17"/>
  <c r="E858" i="17"/>
  <c r="E859" i="17"/>
  <c r="E861" i="17"/>
  <c r="E862" i="17"/>
  <c r="E863" i="17"/>
  <c r="E864" i="17"/>
  <c r="E865" i="17"/>
  <c r="E866" i="17"/>
  <c r="E867" i="17"/>
  <c r="E868" i="17"/>
  <c r="E869" i="17"/>
  <c r="E870" i="17"/>
  <c r="E871" i="17"/>
  <c r="E872" i="17"/>
  <c r="E873" i="17"/>
  <c r="E874" i="17"/>
  <c r="E875" i="17"/>
  <c r="E876" i="17"/>
  <c r="E877" i="17"/>
  <c r="E878" i="17"/>
  <c r="E879" i="17"/>
  <c r="E880" i="17"/>
  <c r="E881" i="17"/>
  <c r="E882" i="17"/>
  <c r="E883" i="17"/>
  <c r="E884" i="17"/>
  <c r="E885" i="17"/>
  <c r="E886" i="17"/>
  <c r="E980" i="17"/>
  <c r="E549" i="17"/>
  <c r="E548" i="17"/>
  <c r="E547" i="17"/>
  <c r="E545" i="17"/>
  <c r="E544" i="17"/>
  <c r="E543" i="17"/>
  <c r="E542" i="17"/>
  <c r="E541" i="17"/>
  <c r="E546" i="17"/>
  <c r="E475" i="17" l="1"/>
  <c r="E474" i="17"/>
  <c r="E473" i="17"/>
  <c r="E472" i="17"/>
  <c r="E471" i="17"/>
  <c r="E470" i="17"/>
  <c r="E469" i="17"/>
  <c r="E468" i="17"/>
  <c r="E467" i="17"/>
  <c r="E466" i="17"/>
  <c r="D478" i="17"/>
  <c r="E264" i="17"/>
  <c r="E263" i="17"/>
  <c r="E262" i="17"/>
  <c r="E261" i="17"/>
  <c r="E260" i="17"/>
  <c r="E259" i="17"/>
  <c r="E258" i="17"/>
  <c r="E257" i="17"/>
  <c r="E256" i="17"/>
  <c r="E255" i="17"/>
  <c r="E254" i="17"/>
  <c r="E253" i="17"/>
  <c r="E252" i="17"/>
  <c r="E251" i="17"/>
  <c r="E250" i="17"/>
  <c r="E249" i="17"/>
  <c r="E248" i="17"/>
  <c r="D308" i="17"/>
  <c r="E237" i="17"/>
  <c r="E198" i="17"/>
  <c r="E124" i="17"/>
  <c r="E123" i="17"/>
  <c r="E122" i="17"/>
  <c r="E121" i="17"/>
  <c r="E120" i="17"/>
  <c r="E119" i="17"/>
  <c r="E118" i="17"/>
  <c r="E116" i="17"/>
  <c r="E115" i="17"/>
  <c r="E114" i="17"/>
  <c r="C915" i="17"/>
  <c r="C900" i="17"/>
  <c r="C899" i="17"/>
  <c r="C898" i="17"/>
  <c r="C897" i="17"/>
  <c r="C896" i="17"/>
  <c r="C895" i="17"/>
  <c r="C894" i="17"/>
  <c r="C893" i="17"/>
  <c r="C892" i="17"/>
  <c r="C891" i="17"/>
  <c r="C890" i="17"/>
  <c r="C889" i="17"/>
  <c r="C888" i="17"/>
  <c r="C887" i="17"/>
  <c r="C816" i="17"/>
  <c r="C815" i="17"/>
  <c r="C814" i="17"/>
  <c r="C813" i="17"/>
  <c r="C812" i="17"/>
  <c r="C811" i="17"/>
  <c r="C810" i="17"/>
  <c r="C809" i="17"/>
  <c r="C808" i="17"/>
  <c r="C807" i="17"/>
  <c r="C806" i="17"/>
  <c r="C805" i="17"/>
  <c r="C804" i="17"/>
  <c r="C803" i="17"/>
  <c r="C802" i="17"/>
  <c r="C801" i="17"/>
  <c r="C800" i="17"/>
  <c r="C799" i="17"/>
  <c r="C798" i="17"/>
  <c r="C241" i="17"/>
  <c r="C240" i="17"/>
  <c r="C200" i="17"/>
  <c r="C34" i="17"/>
  <c r="C33" i="17"/>
  <c r="C32" i="17"/>
  <c r="C31" i="17"/>
  <c r="C30" i="17"/>
  <c r="C29" i="17"/>
  <c r="C28" i="17"/>
  <c r="C27" i="17"/>
  <c r="C26" i="17"/>
  <c r="C25" i="17"/>
  <c r="C24" i="17"/>
  <c r="C23" i="17"/>
  <c r="C22" i="17"/>
  <c r="C21" i="17"/>
  <c r="C20" i="17"/>
  <c r="C19" i="17"/>
  <c r="C18" i="17"/>
  <c r="C17" i="17"/>
  <c r="C16" i="17"/>
  <c r="C15" i="17"/>
  <c r="C14" i="17"/>
  <c r="C13" i="17"/>
  <c r="C12" i="17"/>
  <c r="C11" i="17"/>
  <c r="C10" i="17"/>
  <c r="C9" i="17"/>
  <c r="C8" i="17"/>
  <c r="C7" i="17"/>
  <c r="C6" i="17"/>
  <c r="C4" i="17"/>
  <c r="C3" i="17"/>
  <c r="C2" i="17"/>
  <c r="D67" i="11"/>
  <c r="M66" i="11"/>
  <c r="M46" i="11"/>
  <c r="M47" i="11"/>
  <c r="M48" i="11"/>
  <c r="M49" i="11"/>
  <c r="M50" i="11"/>
  <c r="M51" i="11"/>
  <c r="M52" i="11"/>
  <c r="M53" i="11"/>
  <c r="M54" i="11"/>
  <c r="M55" i="11"/>
  <c r="M56" i="11"/>
  <c r="M57" i="11"/>
  <c r="M58" i="11"/>
  <c r="M59" i="11"/>
  <c r="I541" i="10" l="1"/>
  <c r="G541" i="10"/>
  <c r="H541" i="10" s="1"/>
  <c r="I540" i="10"/>
  <c r="G540" i="10"/>
  <c r="H540" i="10" s="1"/>
  <c r="I539" i="10"/>
  <c r="G539" i="10"/>
  <c r="H539" i="10" s="1"/>
  <c r="I538" i="10"/>
  <c r="G538" i="10"/>
  <c r="H538" i="10" s="1"/>
  <c r="I537" i="10"/>
  <c r="G537" i="10"/>
  <c r="H537" i="10" s="1"/>
  <c r="I471" i="10"/>
  <c r="G471" i="10"/>
  <c r="H471" i="10" s="1"/>
  <c r="I470" i="10"/>
  <c r="G470" i="10"/>
  <c r="H470" i="10" s="1"/>
  <c r="I301" i="10"/>
  <c r="G301" i="10"/>
  <c r="H301" i="10" s="1"/>
  <c r="I300" i="10"/>
  <c r="G300" i="10"/>
  <c r="H300" i="10" s="1"/>
  <c r="I299" i="10"/>
  <c r="G299" i="10"/>
  <c r="H299" i="10" s="1"/>
  <c r="I298" i="10"/>
  <c r="G298" i="10"/>
  <c r="H298" i="10" s="1"/>
  <c r="I297" i="10"/>
  <c r="G297" i="10"/>
  <c r="H297" i="10" s="1"/>
  <c r="I296" i="10"/>
  <c r="G296" i="10"/>
  <c r="H296" i="10" s="1"/>
  <c r="I295" i="10"/>
  <c r="G295" i="10"/>
  <c r="H295" i="10" s="1"/>
  <c r="I294" i="10"/>
  <c r="G294" i="10"/>
  <c r="H294" i="10" s="1"/>
  <c r="I293" i="10"/>
  <c r="G293" i="10"/>
  <c r="H293" i="10" s="1"/>
  <c r="I292" i="10"/>
  <c r="G292" i="10"/>
  <c r="H292" i="10" s="1"/>
  <c r="I291" i="10"/>
  <c r="G291" i="10"/>
  <c r="H291" i="10" s="1"/>
  <c r="I290" i="10"/>
  <c r="G290" i="10"/>
  <c r="H290" i="10" s="1"/>
  <c r="I289" i="10"/>
  <c r="G289" i="10"/>
  <c r="H289" i="10" s="1"/>
  <c r="I288" i="10"/>
  <c r="G288" i="10"/>
  <c r="H288" i="10" s="1"/>
  <c r="I287" i="10"/>
  <c r="G287" i="10"/>
  <c r="H287" i="10" s="1"/>
  <c r="I286" i="10"/>
  <c r="G286" i="10"/>
  <c r="H286" i="10" s="1"/>
  <c r="I285" i="10"/>
  <c r="G285" i="10"/>
  <c r="H285" i="10" s="1"/>
  <c r="I284" i="10"/>
  <c r="G284" i="10"/>
  <c r="H284" i="10" s="1"/>
  <c r="I283" i="10"/>
  <c r="G283" i="10"/>
  <c r="H283" i="10" s="1"/>
  <c r="I282" i="10"/>
  <c r="G282" i="10"/>
  <c r="H282" i="10" s="1"/>
  <c r="I281" i="10"/>
  <c r="G281" i="10"/>
  <c r="H281" i="10" s="1"/>
  <c r="I227" i="10"/>
  <c r="G227" i="10"/>
  <c r="H227" i="10" s="1"/>
  <c r="I192" i="10"/>
  <c r="G192" i="10"/>
  <c r="H192" i="10" s="1"/>
  <c r="I191" i="10"/>
  <c r="G191" i="10"/>
  <c r="H191" i="10" s="1"/>
  <c r="I190" i="10"/>
  <c r="G190" i="10"/>
  <c r="H190" i="10" s="1"/>
  <c r="I189" i="10"/>
  <c r="G189" i="10"/>
  <c r="H189" i="10" s="1"/>
  <c r="I188" i="10"/>
  <c r="G188" i="10"/>
  <c r="H188" i="10" s="1"/>
  <c r="I187" i="10"/>
  <c r="G187" i="10"/>
  <c r="H187" i="10" s="1"/>
  <c r="I186" i="10"/>
  <c r="G186" i="10"/>
  <c r="H186" i="10" s="1"/>
  <c r="I185" i="10"/>
  <c r="G185" i="10"/>
  <c r="H185" i="10" s="1"/>
  <c r="I184" i="10"/>
  <c r="G184" i="10"/>
  <c r="H184" i="10" s="1"/>
  <c r="D193" i="10"/>
  <c r="D120" i="10"/>
  <c r="I119" i="10"/>
  <c r="G119" i="10"/>
  <c r="H119" i="10" s="1"/>
  <c r="I118" i="10"/>
  <c r="G118" i="10"/>
  <c r="H118" i="10" s="1"/>
  <c r="I117" i="10"/>
  <c r="G117" i="10"/>
  <c r="H117" i="10" s="1"/>
  <c r="I116" i="10"/>
  <c r="G116" i="10"/>
  <c r="H116" i="10" s="1"/>
  <c r="I115" i="10"/>
  <c r="G115" i="10"/>
  <c r="H115" i="10" s="1"/>
  <c r="I114" i="10"/>
  <c r="G114" i="10"/>
  <c r="H114" i="10" s="1"/>
  <c r="I113" i="10"/>
  <c r="G113" i="10"/>
  <c r="H113" i="10" s="1"/>
  <c r="I112" i="10"/>
  <c r="G112" i="10"/>
  <c r="H112" i="10" s="1"/>
  <c r="I111" i="10"/>
  <c r="G111" i="10"/>
  <c r="H111" i="10" s="1"/>
  <c r="I110" i="10"/>
  <c r="G110" i="10"/>
  <c r="H110" i="10" s="1"/>
  <c r="I109" i="10"/>
  <c r="G109" i="10"/>
  <c r="H109" i="10" s="1"/>
  <c r="I108" i="10"/>
  <c r="G108" i="10"/>
  <c r="H108" i="10" s="1"/>
  <c r="I107" i="10"/>
  <c r="G107" i="10"/>
  <c r="H107" i="10" s="1"/>
  <c r="I106" i="10"/>
  <c r="G106" i="10"/>
  <c r="H106" i="10" s="1"/>
  <c r="I105" i="10"/>
  <c r="G105" i="10"/>
  <c r="H105" i="10" s="1"/>
  <c r="I104" i="10"/>
  <c r="G104" i="10"/>
  <c r="H104" i="10" s="1"/>
  <c r="I103" i="10"/>
  <c r="G103" i="10"/>
  <c r="H103" i="10" s="1"/>
  <c r="I102" i="10"/>
  <c r="G102" i="10"/>
  <c r="H102" i="10" s="1"/>
  <c r="I101" i="10"/>
  <c r="G101" i="10"/>
  <c r="H101" i="10" s="1"/>
  <c r="I100" i="10"/>
  <c r="G100" i="10"/>
  <c r="H100" i="10" s="1"/>
  <c r="I99" i="10"/>
  <c r="G99" i="10"/>
  <c r="H99" i="10" s="1"/>
  <c r="I98" i="10"/>
  <c r="G98" i="10"/>
  <c r="H98" i="10" s="1"/>
  <c r="I97" i="10"/>
  <c r="G97" i="10"/>
  <c r="H97" i="10" s="1"/>
  <c r="I96" i="10"/>
  <c r="G96" i="10"/>
  <c r="H96" i="10" s="1"/>
  <c r="I95" i="10"/>
  <c r="G95" i="10"/>
  <c r="H95" i="10" s="1"/>
  <c r="I94" i="10"/>
  <c r="G94" i="10"/>
  <c r="H94" i="10" s="1"/>
  <c r="I93" i="10"/>
  <c r="G93" i="10"/>
  <c r="H93" i="10" s="1"/>
  <c r="I92" i="10"/>
  <c r="G92" i="10"/>
  <c r="H92" i="10" s="1"/>
  <c r="I91" i="10"/>
  <c r="G91" i="10"/>
  <c r="H91" i="10" s="1"/>
  <c r="I90" i="10"/>
  <c r="G90" i="10"/>
  <c r="H90" i="10" s="1"/>
  <c r="I89" i="10"/>
  <c r="G89" i="10"/>
  <c r="H89" i="10" s="1"/>
  <c r="I88" i="10"/>
  <c r="G88" i="10"/>
  <c r="H88" i="10" s="1"/>
  <c r="I87" i="10"/>
  <c r="G87" i="10"/>
  <c r="H87" i="10" s="1"/>
  <c r="I86" i="10"/>
  <c r="G86" i="10"/>
  <c r="H86" i="10" s="1"/>
  <c r="I85" i="10"/>
  <c r="G85" i="10"/>
  <c r="H85" i="10" s="1"/>
  <c r="I84" i="10"/>
  <c r="G84" i="10"/>
  <c r="H84" i="10" s="1"/>
  <c r="I83" i="10"/>
  <c r="G83" i="10"/>
  <c r="H83" i="10" s="1"/>
  <c r="I82" i="10"/>
  <c r="G82" i="10"/>
  <c r="H82" i="10" s="1"/>
  <c r="I81" i="10"/>
  <c r="G81" i="10"/>
  <c r="H81" i="10" s="1"/>
  <c r="I80" i="10"/>
  <c r="G80" i="10"/>
  <c r="H80" i="10" s="1"/>
  <c r="I79" i="10"/>
  <c r="G79" i="10"/>
  <c r="H79" i="10" s="1"/>
  <c r="I78" i="10"/>
  <c r="G78" i="10"/>
  <c r="H78" i="10" s="1"/>
  <c r="I77" i="10"/>
  <c r="G77" i="10"/>
  <c r="H77" i="10" s="1"/>
  <c r="I76" i="10"/>
  <c r="G76" i="10"/>
  <c r="H76" i="10" s="1"/>
  <c r="I75" i="10"/>
  <c r="G75" i="10"/>
  <c r="H75" i="10" s="1"/>
  <c r="I74" i="10"/>
  <c r="G74" i="10"/>
  <c r="H74" i="10" s="1"/>
  <c r="I73" i="10"/>
  <c r="G73" i="10"/>
  <c r="H73" i="10" s="1"/>
  <c r="I72" i="10"/>
  <c r="G72" i="10"/>
  <c r="H72" i="10" s="1"/>
  <c r="I71" i="10"/>
  <c r="G71" i="10"/>
  <c r="H71" i="10" s="1"/>
  <c r="I70" i="10"/>
  <c r="G70" i="10"/>
  <c r="H70" i="10" s="1"/>
  <c r="I69" i="10"/>
  <c r="G69" i="10"/>
  <c r="H69" i="10" s="1"/>
  <c r="C6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974" i="10"/>
  <c r="C973" i="10"/>
  <c r="C972" i="10"/>
  <c r="C971" i="10"/>
  <c r="C970" i="10"/>
  <c r="C969" i="10"/>
  <c r="C968" i="10"/>
  <c r="C967" i="10"/>
  <c r="C966" i="10"/>
  <c r="C965" i="10"/>
  <c r="C964" i="10"/>
  <c r="C963" i="10"/>
  <c r="C962" i="10"/>
  <c r="C961" i="10"/>
  <c r="C960" i="10"/>
  <c r="C959" i="10"/>
  <c r="C958" i="10"/>
  <c r="C957" i="10"/>
  <c r="C956" i="10"/>
  <c r="C955" i="10"/>
  <c r="C954" i="10"/>
  <c r="C953" i="10"/>
  <c r="C952" i="10"/>
  <c r="C951" i="10"/>
  <c r="C950" i="10"/>
  <c r="C949" i="10"/>
  <c r="C948" i="10"/>
  <c r="C947" i="10"/>
  <c r="C946" i="10"/>
  <c r="C945" i="10"/>
  <c r="C944" i="10"/>
  <c r="C943" i="10"/>
  <c r="C942" i="10"/>
  <c r="C941" i="10"/>
  <c r="D975" i="10"/>
  <c r="C811" i="10"/>
  <c r="C1014" i="10"/>
  <c r="C1006" i="10"/>
  <c r="C1004" i="10"/>
  <c r="C1001" i="10"/>
  <c r="F1001" i="10" s="1"/>
  <c r="C1000" i="10"/>
  <c r="C999" i="10"/>
  <c r="C998" i="10"/>
  <c r="C997" i="10"/>
  <c r="C996" i="10"/>
  <c r="C995" i="10"/>
  <c r="C994" i="10"/>
  <c r="C993" i="10"/>
  <c r="C992" i="10"/>
  <c r="C991" i="10"/>
  <c r="C990" i="10"/>
  <c r="C989" i="10"/>
  <c r="C988" i="10"/>
  <c r="C987" i="10"/>
  <c r="C985" i="10"/>
  <c r="C984" i="10"/>
  <c r="C983" i="10"/>
  <c r="C982" i="10"/>
  <c r="C981" i="10"/>
  <c r="C980" i="10"/>
  <c r="C979" i="10"/>
  <c r="C978" i="10"/>
  <c r="C977" i="10"/>
  <c r="C976" i="10"/>
  <c r="C939" i="10"/>
  <c r="C938" i="10"/>
  <c r="C937" i="10"/>
  <c r="C936" i="10"/>
  <c r="C935" i="10"/>
  <c r="C934" i="10"/>
  <c r="C933" i="10"/>
  <c r="C932" i="10"/>
  <c r="C930" i="10"/>
  <c r="C929" i="10"/>
  <c r="C928" i="10"/>
  <c r="F928" i="10" s="1"/>
  <c r="C927" i="10"/>
  <c r="C926" i="10"/>
  <c r="C925" i="10"/>
  <c r="C924" i="10"/>
  <c r="C923" i="10"/>
  <c r="C922" i="10"/>
  <c r="C921" i="10"/>
  <c r="C920" i="10"/>
  <c r="C919" i="10"/>
  <c r="C918" i="10"/>
  <c r="C917" i="10"/>
  <c r="C916" i="10"/>
  <c r="C915" i="10"/>
  <c r="C914" i="10"/>
  <c r="C913" i="10"/>
  <c r="C912" i="10"/>
  <c r="C911" i="10"/>
  <c r="C909" i="10"/>
  <c r="C907" i="10"/>
  <c r="C906" i="10"/>
  <c r="C905" i="10"/>
  <c r="C904" i="10"/>
  <c r="C903" i="10"/>
  <c r="C902" i="10"/>
  <c r="C901" i="10"/>
  <c r="C900" i="10"/>
  <c r="C899" i="10"/>
  <c r="C898" i="10"/>
  <c r="C897" i="10"/>
  <c r="C896" i="10"/>
  <c r="C894" i="10"/>
  <c r="C893" i="10"/>
  <c r="C892" i="10"/>
  <c r="C891" i="10"/>
  <c r="C890" i="10"/>
  <c r="C889" i="10"/>
  <c r="C888" i="10"/>
  <c r="C887" i="10"/>
  <c r="C886" i="10"/>
  <c r="C885" i="10"/>
  <c r="C884" i="10"/>
  <c r="C883" i="10"/>
  <c r="C882" i="10"/>
  <c r="C881" i="10"/>
  <c r="C880" i="10"/>
  <c r="C879" i="10"/>
  <c r="C878" i="10"/>
  <c r="C877" i="10"/>
  <c r="C876" i="10"/>
  <c r="C875" i="10"/>
  <c r="C874" i="10"/>
  <c r="C873" i="10"/>
  <c r="C872" i="10"/>
  <c r="C871" i="10"/>
  <c r="C870" i="10"/>
  <c r="C869" i="10"/>
  <c r="C868" i="10"/>
  <c r="C867" i="10"/>
  <c r="C866" i="10"/>
  <c r="C865" i="10"/>
  <c r="C864" i="10"/>
  <c r="C863" i="10"/>
  <c r="C862" i="10"/>
  <c r="C861" i="10"/>
  <c r="C860" i="10"/>
  <c r="C859" i="10"/>
  <c r="C858" i="10"/>
  <c r="C857" i="10"/>
  <c r="C856" i="10"/>
  <c r="C854" i="10"/>
  <c r="C853" i="10"/>
  <c r="C852" i="10"/>
  <c r="C851" i="10"/>
  <c r="C850" i="10"/>
  <c r="C849" i="10"/>
  <c r="C848" i="10"/>
  <c r="C847" i="10"/>
  <c r="C846" i="10"/>
  <c r="C845" i="10"/>
  <c r="C844" i="10"/>
  <c r="C843" i="10"/>
  <c r="C842" i="10"/>
  <c r="C841" i="10"/>
  <c r="C840" i="10"/>
  <c r="C839" i="10"/>
  <c r="C838" i="10"/>
  <c r="C837" i="10"/>
  <c r="C836" i="10"/>
  <c r="C835" i="10"/>
  <c r="C834" i="10"/>
  <c r="C833" i="10"/>
  <c r="C832" i="10"/>
  <c r="C831" i="10"/>
  <c r="C830" i="10"/>
  <c r="C829" i="10"/>
  <c r="C828" i="10"/>
  <c r="C827" i="10"/>
  <c r="C826" i="10"/>
  <c r="C825" i="10"/>
  <c r="C824" i="10"/>
  <c r="C823" i="10"/>
  <c r="C822" i="10"/>
  <c r="C821" i="10"/>
  <c r="C820" i="10"/>
  <c r="C819" i="10"/>
  <c r="C818" i="10"/>
  <c r="C817" i="10"/>
  <c r="C816" i="10"/>
  <c r="C815" i="10"/>
  <c r="C814" i="10"/>
  <c r="C813" i="10"/>
  <c r="C810" i="10"/>
  <c r="C809" i="10"/>
  <c r="C808" i="10"/>
  <c r="C807" i="10"/>
  <c r="C806" i="10"/>
  <c r="C805" i="10"/>
  <c r="C804" i="10"/>
  <c r="C803" i="10"/>
  <c r="C802" i="10"/>
  <c r="C801" i="10"/>
  <c r="C800" i="10"/>
  <c r="C799" i="10"/>
  <c r="C798" i="10"/>
  <c r="C797" i="10"/>
  <c r="C796" i="10"/>
  <c r="C795" i="10"/>
  <c r="C794" i="10"/>
  <c r="C793" i="10"/>
  <c r="C791" i="10"/>
  <c r="C790" i="10"/>
  <c r="C789" i="10"/>
  <c r="C788" i="10"/>
  <c r="F788" i="10" s="1"/>
  <c r="C787" i="10"/>
  <c r="C786" i="10"/>
  <c r="C785" i="10"/>
  <c r="C784" i="10"/>
  <c r="C783" i="10"/>
  <c r="C782" i="10"/>
  <c r="C781" i="10"/>
  <c r="C780" i="10"/>
  <c r="C778" i="10"/>
  <c r="C777" i="10"/>
  <c r="F777" i="10" s="1"/>
  <c r="C776" i="10"/>
  <c r="C775" i="10"/>
  <c r="C774" i="10"/>
  <c r="C773" i="10"/>
  <c r="C772" i="10"/>
  <c r="C771" i="10"/>
  <c r="C770" i="10"/>
  <c r="C769" i="10"/>
  <c r="C768" i="10"/>
  <c r="C767" i="10"/>
  <c r="C766" i="10"/>
  <c r="C765" i="10"/>
  <c r="C764" i="10"/>
  <c r="C763" i="10"/>
  <c r="C65" i="10"/>
  <c r="C64" i="10"/>
  <c r="C63" i="10"/>
  <c r="C62" i="10"/>
  <c r="C61" i="10"/>
  <c r="C60" i="10"/>
  <c r="C59" i="10"/>
  <c r="C58" i="10"/>
  <c r="C57" i="10"/>
  <c r="C56" i="10"/>
  <c r="C55" i="10"/>
  <c r="C54" i="10"/>
  <c r="C53" i="10"/>
  <c r="C52" i="10"/>
  <c r="C51" i="10"/>
  <c r="C50" i="10"/>
  <c r="C49" i="10"/>
  <c r="C48" i="10"/>
  <c r="C47" i="10"/>
  <c r="C46" i="10"/>
  <c r="C45" i="10"/>
  <c r="C44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4" i="10"/>
  <c r="C3" i="10"/>
  <c r="C2" i="10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41" i="1"/>
  <c r="P40" i="1"/>
  <c r="P39" i="1"/>
  <c r="P38" i="1"/>
  <c r="P57" i="1"/>
  <c r="P56" i="1"/>
  <c r="P55" i="1"/>
  <c r="P54" i="1"/>
  <c r="P48" i="1"/>
  <c r="P47" i="1"/>
  <c r="P46" i="1"/>
  <c r="P67" i="1"/>
  <c r="P66" i="1"/>
  <c r="P64" i="1"/>
  <c r="P63" i="1"/>
  <c r="P62" i="1"/>
  <c r="P61" i="1"/>
  <c r="P65" i="1"/>
  <c r="N80" i="16"/>
  <c r="B576" i="15" l="1"/>
  <c r="B580" i="15"/>
  <c r="B610" i="15"/>
  <c r="B611" i="15"/>
  <c r="C1066" i="15"/>
  <c r="F776" i="10"/>
  <c r="I43" i="14" l="1"/>
  <c r="I44" i="14"/>
  <c r="I45" i="14"/>
  <c r="I46" i="14"/>
  <c r="I47" i="14"/>
  <c r="I48" i="14"/>
  <c r="I49" i="14"/>
  <c r="I50" i="14"/>
  <c r="I51" i="14"/>
  <c r="I52" i="14"/>
  <c r="I53" i="14"/>
  <c r="I33" i="14"/>
  <c r="I34" i="14"/>
  <c r="I35" i="14"/>
  <c r="I36" i="14"/>
  <c r="K36" i="14"/>
  <c r="K35" i="14"/>
  <c r="K34" i="14"/>
  <c r="K33" i="14"/>
  <c r="I15" i="14"/>
  <c r="K15" i="14" s="1"/>
  <c r="I16" i="14"/>
  <c r="K16" i="14" s="1"/>
  <c r="I17" i="14"/>
  <c r="K17" i="14" s="1"/>
  <c r="I18" i="14"/>
  <c r="K18" i="14" s="1"/>
  <c r="I19" i="14"/>
  <c r="K19" i="14" s="1"/>
  <c r="I20" i="14"/>
  <c r="K20" i="14" s="1"/>
  <c r="I21" i="14"/>
  <c r="K21" i="14" s="1"/>
  <c r="I22" i="14"/>
  <c r="K22" i="14" s="1"/>
  <c r="I23" i="14"/>
  <c r="K23" i="14" s="1"/>
  <c r="I24" i="14"/>
  <c r="K24" i="14" s="1"/>
  <c r="I25" i="14"/>
  <c r="K25" i="14" s="1"/>
  <c r="I26" i="14"/>
  <c r="K26" i="14" s="1"/>
  <c r="I27" i="14"/>
  <c r="K27" i="14" s="1"/>
  <c r="I28" i="14"/>
  <c r="K28" i="14" s="1"/>
  <c r="I29" i="14"/>
  <c r="K29" i="14" s="1"/>
  <c r="I30" i="14"/>
  <c r="K30" i="14" s="1"/>
  <c r="D947" i="17" l="1"/>
  <c r="D715" i="17"/>
  <c r="E713" i="17"/>
  <c r="D200" i="17"/>
  <c r="I663" i="10" l="1"/>
  <c r="G663" i="10"/>
  <c r="H663" i="10" s="1"/>
  <c r="B612" i="15"/>
  <c r="K58" i="14" l="1"/>
  <c r="K57" i="14"/>
  <c r="K56" i="14"/>
  <c r="K55" i="14"/>
  <c r="K54" i="14"/>
  <c r="K53" i="14"/>
  <c r="K52" i="14"/>
  <c r="K51" i="14"/>
  <c r="K50" i="14"/>
  <c r="K49" i="14"/>
  <c r="K48" i="14"/>
  <c r="K47" i="14"/>
  <c r="K46" i="14"/>
  <c r="K45" i="14"/>
  <c r="K44" i="14"/>
  <c r="K43" i="14"/>
  <c r="K42" i="14"/>
  <c r="K41" i="14"/>
  <c r="K40" i="14"/>
  <c r="P68" i="2"/>
  <c r="F61" i="16"/>
  <c r="J51" i="13"/>
  <c r="C55" i="13" l="1"/>
  <c r="J55" i="13"/>
  <c r="C75" i="2"/>
  <c r="D75" i="2"/>
  <c r="F75" i="2"/>
  <c r="C76" i="2"/>
  <c r="D76" i="2"/>
  <c r="E76" i="2"/>
  <c r="F76" i="2"/>
  <c r="C77" i="2"/>
  <c r="D77" i="2"/>
  <c r="E77" i="2"/>
  <c r="F77" i="2"/>
  <c r="C78" i="2"/>
  <c r="D78" i="2"/>
  <c r="E78" i="2"/>
  <c r="F78" i="2"/>
  <c r="F47" i="3"/>
  <c r="D1009" i="17"/>
  <c r="D993" i="17"/>
  <c r="D982" i="17"/>
  <c r="D938" i="17"/>
  <c r="D916" i="17"/>
  <c r="D914" i="17"/>
  <c r="D901" i="17"/>
  <c r="D860" i="17"/>
  <c r="D840" i="17"/>
  <c r="D817" i="17"/>
  <c r="D797" i="17"/>
  <c r="D784" i="17"/>
  <c r="D767" i="17"/>
  <c r="D759" i="17"/>
  <c r="D667" i="17"/>
  <c r="D602" i="17"/>
  <c r="D550" i="17"/>
  <c r="D503" i="17"/>
  <c r="D434" i="17"/>
  <c r="D341" i="17"/>
  <c r="D242" i="17"/>
  <c r="D239" i="17"/>
  <c r="D127" i="17"/>
  <c r="D73" i="17"/>
  <c r="D35" i="17"/>
  <c r="D32" i="17"/>
  <c r="D30" i="17"/>
  <c r="D28" i="17"/>
  <c r="D5" i="17"/>
  <c r="D1010" i="17" s="1"/>
  <c r="E31" i="17"/>
  <c r="E33" i="17"/>
  <c r="E34" i="17"/>
  <c r="E29" i="17"/>
  <c r="E994" i="17"/>
  <c r="E995" i="17"/>
  <c r="E996" i="17"/>
  <c r="E997" i="17"/>
  <c r="E998" i="17"/>
  <c r="E999" i="17"/>
  <c r="E1000" i="17"/>
  <c r="E1001" i="17"/>
  <c r="E1002" i="17"/>
  <c r="E1003" i="17"/>
  <c r="E1004" i="17"/>
  <c r="E1005" i="17"/>
  <c r="E1006" i="17"/>
  <c r="E1007" i="17"/>
  <c r="E1008" i="17"/>
  <c r="E983" i="17"/>
  <c r="E984" i="17"/>
  <c r="E985" i="17"/>
  <c r="E986" i="17"/>
  <c r="E987" i="17"/>
  <c r="E988" i="17"/>
  <c r="E989" i="17"/>
  <c r="E990" i="17"/>
  <c r="E991" i="17"/>
  <c r="E992" i="17"/>
  <c r="E948" i="17"/>
  <c r="E949" i="17"/>
  <c r="E950" i="17"/>
  <c r="E951" i="17"/>
  <c r="E952" i="17"/>
  <c r="E953" i="17"/>
  <c r="E954" i="17"/>
  <c r="E955" i="17"/>
  <c r="E956" i="17"/>
  <c r="E957" i="17"/>
  <c r="E958" i="17"/>
  <c r="E959" i="17"/>
  <c r="E960" i="17"/>
  <c r="E961" i="17"/>
  <c r="E962" i="17"/>
  <c r="E963" i="17"/>
  <c r="E964" i="17"/>
  <c r="E965" i="17"/>
  <c r="E966" i="17"/>
  <c r="E967" i="17"/>
  <c r="E968" i="17"/>
  <c r="E969" i="17"/>
  <c r="E970" i="17"/>
  <c r="E971" i="17"/>
  <c r="E972" i="17"/>
  <c r="E973" i="17"/>
  <c r="E974" i="17"/>
  <c r="E975" i="17"/>
  <c r="E976" i="17"/>
  <c r="E977" i="17"/>
  <c r="E978" i="17"/>
  <c r="E979" i="17"/>
  <c r="E981" i="17"/>
  <c r="E939" i="17"/>
  <c r="E940" i="17"/>
  <c r="E941" i="17"/>
  <c r="E942" i="17"/>
  <c r="E943" i="17"/>
  <c r="E944" i="17"/>
  <c r="E945" i="17"/>
  <c r="E946" i="17"/>
  <c r="E917" i="17"/>
  <c r="E918" i="17"/>
  <c r="E919" i="17"/>
  <c r="E920" i="17"/>
  <c r="E921" i="17"/>
  <c r="E922" i="17"/>
  <c r="E923" i="17"/>
  <c r="E924" i="17"/>
  <c r="E925" i="17"/>
  <c r="E926" i="17"/>
  <c r="E927" i="17"/>
  <c r="E928" i="17"/>
  <c r="E929" i="17"/>
  <c r="E930" i="17"/>
  <c r="E931" i="17"/>
  <c r="E932" i="17"/>
  <c r="E933" i="17"/>
  <c r="E934" i="17"/>
  <c r="E935" i="17"/>
  <c r="E936" i="17"/>
  <c r="E915" i="17"/>
  <c r="E916" i="17" s="1"/>
  <c r="F916" i="17" s="1"/>
  <c r="R61" i="1" s="1"/>
  <c r="E902" i="17"/>
  <c r="E903" i="17"/>
  <c r="E904" i="17"/>
  <c r="E905" i="17"/>
  <c r="E906" i="17"/>
  <c r="E907" i="17"/>
  <c r="E908" i="17"/>
  <c r="E909" i="17"/>
  <c r="E910" i="17"/>
  <c r="E911" i="17"/>
  <c r="E912" i="17"/>
  <c r="E913" i="17"/>
  <c r="E887" i="17"/>
  <c r="E888" i="17"/>
  <c r="E889" i="17"/>
  <c r="E890" i="17"/>
  <c r="E891" i="17"/>
  <c r="E892" i="17"/>
  <c r="E893" i="17"/>
  <c r="E894" i="17"/>
  <c r="E895" i="17"/>
  <c r="E896" i="17"/>
  <c r="E897" i="17"/>
  <c r="E898" i="17"/>
  <c r="E899" i="17"/>
  <c r="E900" i="17"/>
  <c r="E818" i="17"/>
  <c r="E819" i="17"/>
  <c r="E820" i="17"/>
  <c r="E821" i="17"/>
  <c r="E822" i="17"/>
  <c r="E823" i="17"/>
  <c r="E824" i="17"/>
  <c r="E825" i="17"/>
  <c r="E826" i="17"/>
  <c r="E827" i="17"/>
  <c r="E828" i="17"/>
  <c r="E829" i="17"/>
  <c r="E830" i="17"/>
  <c r="E831" i="17"/>
  <c r="E832" i="17"/>
  <c r="E833" i="17"/>
  <c r="E834" i="17"/>
  <c r="E835" i="17"/>
  <c r="E836" i="17"/>
  <c r="E837" i="17"/>
  <c r="E838" i="17"/>
  <c r="E839" i="17"/>
  <c r="E798" i="17"/>
  <c r="E799" i="17"/>
  <c r="E800" i="17"/>
  <c r="E801" i="17"/>
  <c r="E802" i="17"/>
  <c r="E803" i="17"/>
  <c r="E804" i="17"/>
  <c r="E805" i="17"/>
  <c r="E806" i="17"/>
  <c r="E807" i="17"/>
  <c r="E808" i="17"/>
  <c r="E809" i="17"/>
  <c r="E810" i="17"/>
  <c r="E811" i="17"/>
  <c r="E812" i="17"/>
  <c r="E813" i="17"/>
  <c r="E814" i="17"/>
  <c r="E815" i="17"/>
  <c r="E816" i="17"/>
  <c r="E785" i="17"/>
  <c r="E786" i="17"/>
  <c r="E787" i="17"/>
  <c r="E788" i="17"/>
  <c r="E789" i="17"/>
  <c r="E790" i="17"/>
  <c r="E791" i="17"/>
  <c r="E792" i="17"/>
  <c r="E793" i="17"/>
  <c r="E794" i="17"/>
  <c r="E795" i="17"/>
  <c r="E796" i="17"/>
  <c r="E768" i="17"/>
  <c r="E769" i="17"/>
  <c r="E770" i="17"/>
  <c r="E771" i="17"/>
  <c r="E772" i="17"/>
  <c r="E773" i="17"/>
  <c r="E774" i="17"/>
  <c r="E775" i="17"/>
  <c r="E776" i="17"/>
  <c r="E777" i="17"/>
  <c r="E778" i="17"/>
  <c r="E779" i="17"/>
  <c r="E780" i="17"/>
  <c r="E781" i="17"/>
  <c r="E782" i="17"/>
  <c r="E783" i="17"/>
  <c r="E760" i="17"/>
  <c r="E761" i="17"/>
  <c r="E762" i="17"/>
  <c r="E763" i="17"/>
  <c r="E764" i="17"/>
  <c r="E765" i="17"/>
  <c r="E766" i="17"/>
  <c r="E668" i="17"/>
  <c r="E669" i="17"/>
  <c r="E670" i="17"/>
  <c r="E671" i="17"/>
  <c r="E672" i="17"/>
  <c r="E673" i="17"/>
  <c r="E674" i="17"/>
  <c r="E675" i="17"/>
  <c r="E676" i="17"/>
  <c r="E677" i="17"/>
  <c r="E678" i="17"/>
  <c r="E679" i="17"/>
  <c r="E680" i="17"/>
  <c r="E681" i="17"/>
  <c r="E682" i="17"/>
  <c r="E683" i="17"/>
  <c r="E684" i="17"/>
  <c r="E685" i="17"/>
  <c r="E686" i="17"/>
  <c r="E687" i="17"/>
  <c r="E688" i="17"/>
  <c r="E689" i="17"/>
  <c r="E690" i="17"/>
  <c r="E691" i="17"/>
  <c r="E692" i="17"/>
  <c r="E693" i="17"/>
  <c r="E694" i="17"/>
  <c r="E695" i="17"/>
  <c r="E696" i="17"/>
  <c r="E697" i="17"/>
  <c r="E698" i="17"/>
  <c r="E699" i="17"/>
  <c r="E700" i="17"/>
  <c r="E701" i="17"/>
  <c r="E702" i="17"/>
  <c r="E703" i="17"/>
  <c r="E704" i="17"/>
  <c r="E705" i="17"/>
  <c r="E706" i="17"/>
  <c r="E707" i="17"/>
  <c r="E708" i="17"/>
  <c r="E709" i="17"/>
  <c r="E710" i="17"/>
  <c r="E711" i="17"/>
  <c r="E712" i="17"/>
  <c r="E714" i="17"/>
  <c r="E603" i="17"/>
  <c r="E604" i="17"/>
  <c r="E605" i="17"/>
  <c r="E606" i="17"/>
  <c r="E607" i="17"/>
  <c r="E608" i="17"/>
  <c r="E609" i="17"/>
  <c r="E610" i="17"/>
  <c r="E611" i="17"/>
  <c r="E612" i="17"/>
  <c r="E613" i="17"/>
  <c r="E614" i="17"/>
  <c r="E615" i="17"/>
  <c r="E616" i="17"/>
  <c r="E617" i="17"/>
  <c r="E618" i="17"/>
  <c r="E619" i="17"/>
  <c r="E620" i="17"/>
  <c r="E621" i="17"/>
  <c r="E622" i="17"/>
  <c r="E623" i="17"/>
  <c r="E624" i="17"/>
  <c r="E625" i="17"/>
  <c r="E626" i="17"/>
  <c r="E627" i="17"/>
  <c r="E628" i="17"/>
  <c r="E629" i="17"/>
  <c r="E630" i="17"/>
  <c r="E631" i="17"/>
  <c r="E632" i="17"/>
  <c r="E633" i="17"/>
  <c r="E634" i="17"/>
  <c r="E635" i="17"/>
  <c r="E636" i="17"/>
  <c r="E637" i="17"/>
  <c r="E638" i="17"/>
  <c r="E639" i="17"/>
  <c r="E640" i="17"/>
  <c r="E641" i="17"/>
  <c r="E642" i="17"/>
  <c r="E643" i="17"/>
  <c r="E644" i="17"/>
  <c r="E645" i="17"/>
  <c r="E646" i="17"/>
  <c r="E647" i="17"/>
  <c r="E648" i="17"/>
  <c r="E649" i="17"/>
  <c r="E650" i="17"/>
  <c r="E651" i="17"/>
  <c r="E652" i="17"/>
  <c r="E653" i="17"/>
  <c r="E654" i="17"/>
  <c r="E655" i="17"/>
  <c r="E656" i="17"/>
  <c r="E657" i="17"/>
  <c r="E658" i="17"/>
  <c r="E659" i="17"/>
  <c r="E660" i="17"/>
  <c r="E661" i="17"/>
  <c r="E662" i="17"/>
  <c r="E663" i="17"/>
  <c r="E664" i="17"/>
  <c r="E665" i="17"/>
  <c r="E666" i="17"/>
  <c r="E551" i="17"/>
  <c r="E552" i="17"/>
  <c r="E553" i="17"/>
  <c r="E554" i="17"/>
  <c r="E555" i="17"/>
  <c r="E556" i="17"/>
  <c r="E557" i="17"/>
  <c r="E558" i="17"/>
  <c r="E559" i="17"/>
  <c r="E560" i="17"/>
  <c r="E561" i="17"/>
  <c r="E562" i="17"/>
  <c r="E563" i="17"/>
  <c r="E564" i="17"/>
  <c r="E565" i="17"/>
  <c r="E566" i="17"/>
  <c r="E567" i="17"/>
  <c r="E568" i="17"/>
  <c r="E569" i="17"/>
  <c r="E570" i="17"/>
  <c r="E571" i="17"/>
  <c r="E572" i="17"/>
  <c r="E573" i="17"/>
  <c r="E574" i="17"/>
  <c r="E575" i="17"/>
  <c r="E576" i="17"/>
  <c r="E577" i="17"/>
  <c r="E578" i="17"/>
  <c r="E579" i="17"/>
  <c r="E580" i="17"/>
  <c r="E581" i="17"/>
  <c r="E582" i="17"/>
  <c r="E583" i="17"/>
  <c r="E584" i="17"/>
  <c r="E585" i="17"/>
  <c r="E586" i="17"/>
  <c r="E587" i="17"/>
  <c r="E588" i="17"/>
  <c r="E589" i="17"/>
  <c r="E590" i="17"/>
  <c r="E591" i="17"/>
  <c r="E592" i="17"/>
  <c r="E593" i="17"/>
  <c r="E594" i="17"/>
  <c r="E595" i="17"/>
  <c r="E596" i="17"/>
  <c r="E597" i="17"/>
  <c r="E598" i="17"/>
  <c r="E599" i="17"/>
  <c r="E600" i="17"/>
  <c r="E601" i="17"/>
  <c r="E504" i="17"/>
  <c r="E505" i="17"/>
  <c r="E506" i="17"/>
  <c r="E507" i="17"/>
  <c r="E508" i="17"/>
  <c r="E509" i="17"/>
  <c r="E510" i="17"/>
  <c r="E511" i="17"/>
  <c r="E512" i="17"/>
  <c r="E513" i="17"/>
  <c r="E514" i="17"/>
  <c r="E515" i="17"/>
  <c r="E516" i="17"/>
  <c r="E517" i="17"/>
  <c r="E518" i="17"/>
  <c r="E519" i="17"/>
  <c r="E520" i="17"/>
  <c r="E521" i="17"/>
  <c r="E522" i="17"/>
  <c r="E523" i="17"/>
  <c r="E524" i="17"/>
  <c r="E525" i="17"/>
  <c r="E526" i="17"/>
  <c r="E527" i="17"/>
  <c r="E528" i="17"/>
  <c r="E529" i="17"/>
  <c r="E530" i="17"/>
  <c r="E531" i="17"/>
  <c r="E532" i="17"/>
  <c r="E533" i="17"/>
  <c r="E534" i="17"/>
  <c r="E535" i="17"/>
  <c r="E536" i="17"/>
  <c r="E537" i="17"/>
  <c r="E538" i="17"/>
  <c r="E539" i="17"/>
  <c r="E540" i="17"/>
  <c r="E479" i="17"/>
  <c r="E480" i="17"/>
  <c r="E481" i="17"/>
  <c r="E482" i="17"/>
  <c r="E483" i="17"/>
  <c r="E484" i="17"/>
  <c r="E485" i="17"/>
  <c r="E486" i="17"/>
  <c r="E487" i="17"/>
  <c r="E488" i="17"/>
  <c r="E489" i="17"/>
  <c r="E490" i="17"/>
  <c r="E491" i="17"/>
  <c r="E492" i="17"/>
  <c r="E493" i="17"/>
  <c r="E494" i="17"/>
  <c r="E495" i="17"/>
  <c r="E496" i="17"/>
  <c r="E497" i="17"/>
  <c r="E498" i="17"/>
  <c r="E499" i="17"/>
  <c r="E500" i="17"/>
  <c r="E501" i="17"/>
  <c r="E502" i="17"/>
  <c r="E435" i="17"/>
  <c r="E436" i="17"/>
  <c r="E437" i="17"/>
  <c r="E438" i="17"/>
  <c r="E439" i="17"/>
  <c r="E440" i="17"/>
  <c r="E441" i="17"/>
  <c r="E442" i="17"/>
  <c r="E443" i="17"/>
  <c r="E444" i="17"/>
  <c r="E445" i="17"/>
  <c r="E446" i="17"/>
  <c r="E447" i="17"/>
  <c r="E448" i="17"/>
  <c r="E449" i="17"/>
  <c r="E450" i="17"/>
  <c r="E451" i="17"/>
  <c r="E452" i="17"/>
  <c r="E453" i="17"/>
  <c r="E454" i="17"/>
  <c r="E455" i="17"/>
  <c r="E456" i="17"/>
  <c r="E457" i="17"/>
  <c r="E458" i="17"/>
  <c r="E459" i="17"/>
  <c r="E460" i="17"/>
  <c r="E461" i="17"/>
  <c r="E462" i="17"/>
  <c r="E463" i="17"/>
  <c r="E464" i="17"/>
  <c r="E465" i="17"/>
  <c r="E476" i="17"/>
  <c r="E477" i="17"/>
  <c r="E342" i="17"/>
  <c r="E343" i="17"/>
  <c r="E344" i="17"/>
  <c r="E345" i="17"/>
  <c r="E346" i="17"/>
  <c r="E347" i="17"/>
  <c r="E348" i="17"/>
  <c r="E349" i="17"/>
  <c r="E350" i="17"/>
  <c r="E351" i="17"/>
  <c r="E352" i="17"/>
  <c r="E353" i="17"/>
  <c r="E354" i="17"/>
  <c r="E355" i="17"/>
  <c r="E356" i="17"/>
  <c r="E357" i="17"/>
  <c r="E358" i="17"/>
  <c r="E359" i="17"/>
  <c r="E360" i="17"/>
  <c r="E361" i="17"/>
  <c r="E362" i="17"/>
  <c r="E363" i="17"/>
  <c r="E364" i="17"/>
  <c r="E365" i="17"/>
  <c r="E366" i="17"/>
  <c r="E367" i="17"/>
  <c r="E368" i="17"/>
  <c r="E369" i="17"/>
  <c r="E370" i="17"/>
  <c r="E371" i="17"/>
  <c r="E372" i="17"/>
  <c r="E373" i="17"/>
  <c r="E374" i="17"/>
  <c r="E375" i="17"/>
  <c r="E376" i="17"/>
  <c r="E377" i="17"/>
  <c r="E378" i="17"/>
  <c r="E379" i="17"/>
  <c r="E380" i="17"/>
  <c r="E381" i="17"/>
  <c r="E382" i="17"/>
  <c r="E383" i="17"/>
  <c r="E384" i="17"/>
  <c r="E385" i="17"/>
  <c r="E386" i="17"/>
  <c r="E387" i="17"/>
  <c r="E388" i="17"/>
  <c r="E389" i="17"/>
  <c r="E390" i="17"/>
  <c r="E391" i="17"/>
  <c r="E392" i="17"/>
  <c r="E393" i="17"/>
  <c r="E394" i="17"/>
  <c r="E395" i="17"/>
  <c r="E396" i="17"/>
  <c r="E397" i="17"/>
  <c r="E398" i="17"/>
  <c r="E399" i="17"/>
  <c r="E400" i="17"/>
  <c r="E401" i="17"/>
  <c r="E402" i="17"/>
  <c r="E403" i="17"/>
  <c r="E404" i="17"/>
  <c r="E405" i="17"/>
  <c r="E406" i="17"/>
  <c r="E407" i="17"/>
  <c r="E408" i="17"/>
  <c r="E409" i="17"/>
  <c r="E410" i="17"/>
  <c r="E411" i="17"/>
  <c r="E412" i="17"/>
  <c r="E413" i="17"/>
  <c r="E414" i="17"/>
  <c r="E415" i="17"/>
  <c r="E416" i="17"/>
  <c r="E417" i="17"/>
  <c r="E418" i="17"/>
  <c r="E419" i="17"/>
  <c r="E420" i="17"/>
  <c r="E421" i="17"/>
  <c r="E422" i="17"/>
  <c r="E423" i="17"/>
  <c r="E424" i="17"/>
  <c r="E425" i="17"/>
  <c r="E426" i="17"/>
  <c r="E427" i="17"/>
  <c r="E428" i="17"/>
  <c r="E429" i="17"/>
  <c r="E430" i="17"/>
  <c r="E431" i="17"/>
  <c r="E432" i="17"/>
  <c r="E433" i="17"/>
  <c r="E309" i="17"/>
  <c r="E310" i="17"/>
  <c r="E311" i="17"/>
  <c r="E312" i="17"/>
  <c r="E313" i="17"/>
  <c r="E314" i="17"/>
  <c r="E315" i="17"/>
  <c r="E316" i="17"/>
  <c r="E317" i="17"/>
  <c r="E318" i="17"/>
  <c r="E319" i="17"/>
  <c r="E320" i="17"/>
  <c r="E321" i="17"/>
  <c r="E322" i="17"/>
  <c r="E323" i="17"/>
  <c r="E324" i="17"/>
  <c r="E325" i="17"/>
  <c r="E326" i="17"/>
  <c r="E327" i="17"/>
  <c r="E328" i="17"/>
  <c r="E329" i="17"/>
  <c r="E330" i="17"/>
  <c r="E331" i="17"/>
  <c r="E332" i="17"/>
  <c r="E333" i="17"/>
  <c r="E334" i="17"/>
  <c r="E335" i="17"/>
  <c r="E336" i="17"/>
  <c r="E337" i="17"/>
  <c r="E338" i="17"/>
  <c r="E339" i="17"/>
  <c r="E340" i="17"/>
  <c r="E243" i="17"/>
  <c r="E244" i="17"/>
  <c r="E245" i="17"/>
  <c r="E246" i="17"/>
  <c r="E247" i="17"/>
  <c r="E265" i="17"/>
  <c r="E266" i="17"/>
  <c r="E267" i="17"/>
  <c r="E268" i="17"/>
  <c r="E269" i="17"/>
  <c r="E270" i="17"/>
  <c r="E271" i="17"/>
  <c r="E272" i="17"/>
  <c r="E273" i="17"/>
  <c r="E274" i="17"/>
  <c r="E275" i="17"/>
  <c r="E276" i="17"/>
  <c r="E277" i="17"/>
  <c r="E278" i="17"/>
  <c r="E279" i="17"/>
  <c r="E280" i="17"/>
  <c r="E281" i="17"/>
  <c r="E282" i="17"/>
  <c r="E283" i="17"/>
  <c r="E284" i="17"/>
  <c r="E285" i="17"/>
  <c r="E286" i="17"/>
  <c r="E287" i="17"/>
  <c r="E288" i="17"/>
  <c r="E289" i="17"/>
  <c r="E290" i="17"/>
  <c r="E291" i="17"/>
  <c r="E292" i="17"/>
  <c r="E293" i="17"/>
  <c r="E294" i="17"/>
  <c r="E295" i="17"/>
  <c r="E296" i="17"/>
  <c r="E297" i="17"/>
  <c r="E298" i="17"/>
  <c r="E299" i="17"/>
  <c r="E300" i="17"/>
  <c r="E301" i="17"/>
  <c r="E302" i="17"/>
  <c r="E303" i="17"/>
  <c r="E304" i="17"/>
  <c r="E305" i="17"/>
  <c r="E306" i="17"/>
  <c r="E307" i="17"/>
  <c r="E240" i="17"/>
  <c r="E241" i="17"/>
  <c r="E201" i="17"/>
  <c r="E202" i="17"/>
  <c r="E203" i="17"/>
  <c r="E204" i="17"/>
  <c r="E205" i="17"/>
  <c r="E206" i="17"/>
  <c r="E207" i="17"/>
  <c r="E208" i="17"/>
  <c r="E209" i="17"/>
  <c r="E210" i="17"/>
  <c r="E211" i="17"/>
  <c r="E212" i="17"/>
  <c r="E213" i="17"/>
  <c r="E214" i="17"/>
  <c r="E215" i="17"/>
  <c r="E216" i="17"/>
  <c r="E217" i="17"/>
  <c r="E218" i="17"/>
  <c r="E219" i="17"/>
  <c r="E220" i="17"/>
  <c r="E221" i="17"/>
  <c r="E222" i="17"/>
  <c r="E223" i="17"/>
  <c r="E224" i="17"/>
  <c r="E225" i="17"/>
  <c r="E226" i="17"/>
  <c r="E227" i="17"/>
  <c r="E228" i="17"/>
  <c r="E229" i="17"/>
  <c r="E230" i="17"/>
  <c r="E231" i="17"/>
  <c r="E232" i="17"/>
  <c r="E233" i="17"/>
  <c r="E234" i="17"/>
  <c r="E235" i="17"/>
  <c r="E236" i="17"/>
  <c r="E238" i="17"/>
  <c r="E128" i="17"/>
  <c r="E129" i="17"/>
  <c r="E130" i="17"/>
  <c r="E131" i="17"/>
  <c r="E132" i="17"/>
  <c r="E133" i="17"/>
  <c r="E134" i="17"/>
  <c r="E135" i="17"/>
  <c r="E136" i="17"/>
  <c r="E137" i="17"/>
  <c r="E138" i="17"/>
  <c r="E139" i="17"/>
  <c r="E140" i="17"/>
  <c r="E141" i="17"/>
  <c r="E142" i="17"/>
  <c r="E143" i="17"/>
  <c r="E144" i="17"/>
  <c r="E145" i="17"/>
  <c r="E146" i="17"/>
  <c r="E147" i="17"/>
  <c r="E148" i="17"/>
  <c r="E149" i="17"/>
  <c r="E150" i="17"/>
  <c r="E151" i="17"/>
  <c r="E152" i="17"/>
  <c r="E153" i="17"/>
  <c r="E154" i="17"/>
  <c r="E155" i="17"/>
  <c r="E156" i="17"/>
  <c r="E157" i="17"/>
  <c r="E158" i="17"/>
  <c r="E159" i="17"/>
  <c r="E160" i="17"/>
  <c r="E161" i="17"/>
  <c r="E162" i="17"/>
  <c r="E163" i="17"/>
  <c r="E164" i="17"/>
  <c r="E165" i="17"/>
  <c r="E166" i="17"/>
  <c r="E167" i="17"/>
  <c r="E168" i="17"/>
  <c r="E169" i="17"/>
  <c r="E170" i="17"/>
  <c r="E171" i="17"/>
  <c r="E172" i="17"/>
  <c r="E173" i="17"/>
  <c r="E174" i="17"/>
  <c r="E175" i="17"/>
  <c r="E176" i="17"/>
  <c r="E177" i="17"/>
  <c r="E178" i="17"/>
  <c r="E179" i="17"/>
  <c r="E180" i="17"/>
  <c r="E181" i="17"/>
  <c r="E182" i="17"/>
  <c r="E183" i="17"/>
  <c r="E184" i="17"/>
  <c r="E185" i="17"/>
  <c r="E186" i="17"/>
  <c r="E187" i="17"/>
  <c r="E188" i="17"/>
  <c r="E189" i="17"/>
  <c r="E190" i="17"/>
  <c r="E191" i="17"/>
  <c r="E192" i="17"/>
  <c r="E193" i="17"/>
  <c r="E194" i="17"/>
  <c r="E195" i="17"/>
  <c r="E196" i="17"/>
  <c r="E197" i="17"/>
  <c r="E199" i="17"/>
  <c r="E74" i="17"/>
  <c r="E75" i="17"/>
  <c r="E76" i="17"/>
  <c r="E77" i="17"/>
  <c r="E78" i="17"/>
  <c r="E79" i="17"/>
  <c r="E80" i="17"/>
  <c r="E81" i="17"/>
  <c r="E82" i="17"/>
  <c r="E83" i="17"/>
  <c r="E84" i="17"/>
  <c r="E85" i="17"/>
  <c r="E86" i="17"/>
  <c r="E87" i="17"/>
  <c r="E88" i="17"/>
  <c r="E89" i="17"/>
  <c r="E90" i="17"/>
  <c r="E91" i="17"/>
  <c r="E92" i="17"/>
  <c r="E93" i="17"/>
  <c r="E94" i="17"/>
  <c r="E95" i="17"/>
  <c r="E96" i="17"/>
  <c r="E97" i="17"/>
  <c r="E98" i="17"/>
  <c r="E99" i="17"/>
  <c r="E100" i="17"/>
  <c r="E101" i="17"/>
  <c r="E102" i="17"/>
  <c r="E103" i="17"/>
  <c r="E104" i="17"/>
  <c r="E105" i="17"/>
  <c r="E106" i="17"/>
  <c r="E107" i="17"/>
  <c r="E108" i="17"/>
  <c r="E109" i="17"/>
  <c r="E110" i="17"/>
  <c r="E111" i="17"/>
  <c r="E112" i="17"/>
  <c r="E113" i="17"/>
  <c r="E117" i="17"/>
  <c r="E125" i="17"/>
  <c r="E126" i="17"/>
  <c r="E36" i="17"/>
  <c r="E37" i="17"/>
  <c r="E38" i="17"/>
  <c r="E39" i="17"/>
  <c r="E40" i="17"/>
  <c r="E41" i="17"/>
  <c r="E42" i="17"/>
  <c r="E43" i="17"/>
  <c r="E44" i="17"/>
  <c r="E45" i="17"/>
  <c r="E46" i="17"/>
  <c r="E47" i="17"/>
  <c r="E48" i="17"/>
  <c r="E49" i="17"/>
  <c r="E50" i="17"/>
  <c r="E51" i="17"/>
  <c r="E52" i="17"/>
  <c r="E53" i="17"/>
  <c r="E54" i="17"/>
  <c r="E55" i="17"/>
  <c r="E56" i="17"/>
  <c r="E57" i="17"/>
  <c r="E58" i="17"/>
  <c r="E59" i="17"/>
  <c r="E60" i="17"/>
  <c r="E61" i="17"/>
  <c r="E62" i="17"/>
  <c r="E63" i="17"/>
  <c r="E64" i="17"/>
  <c r="E65" i="17"/>
  <c r="E66" i="17"/>
  <c r="E67" i="17"/>
  <c r="E68" i="17"/>
  <c r="E69" i="17"/>
  <c r="E70" i="17"/>
  <c r="E71" i="17"/>
  <c r="E72" i="17"/>
  <c r="E6" i="17"/>
  <c r="E7" i="17"/>
  <c r="E8" i="17"/>
  <c r="E9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" i="17"/>
  <c r="E3" i="17"/>
  <c r="E4" i="17"/>
  <c r="C1027" i="15"/>
  <c r="U72" i="1"/>
  <c r="T72" i="1"/>
  <c r="C50" i="13"/>
  <c r="C52" i="13"/>
  <c r="A68" i="2"/>
  <c r="E242" i="17" l="1"/>
  <c r="F242" i="17" s="1"/>
  <c r="R20" i="1" s="1"/>
  <c r="E478" i="17"/>
  <c r="F478" i="17" s="1"/>
  <c r="R24" i="1" s="1"/>
  <c r="E759" i="17"/>
  <c r="F759" i="17" s="1"/>
  <c r="R31" i="1" s="1"/>
  <c r="E784" i="17"/>
  <c r="F784" i="17" s="1"/>
  <c r="R55" i="1" s="1"/>
  <c r="E817" i="17"/>
  <c r="F817" i="17" s="1"/>
  <c r="R57" i="1" s="1"/>
  <c r="E860" i="17"/>
  <c r="F860" i="17" s="1"/>
  <c r="R39" i="1" s="1"/>
  <c r="E901" i="17"/>
  <c r="F901" i="17" s="1"/>
  <c r="R40" i="1" s="1"/>
  <c r="E982" i="17"/>
  <c r="F982" i="17" s="1"/>
  <c r="R65" i="1" s="1"/>
  <c r="E993" i="17"/>
  <c r="F993" i="17" s="1"/>
  <c r="R66" i="1" s="1"/>
  <c r="E30" i="17"/>
  <c r="F30" i="17" s="1"/>
  <c r="R71" i="1" s="1"/>
  <c r="E28" i="17"/>
  <c r="F28" i="17" s="1"/>
  <c r="R48" i="1" s="1"/>
  <c r="E127" i="17"/>
  <c r="F127" i="17" s="1"/>
  <c r="R17" i="1" s="1"/>
  <c r="E239" i="17"/>
  <c r="F239" i="17" s="1"/>
  <c r="R19" i="1" s="1"/>
  <c r="E73" i="17"/>
  <c r="F73" i="17" s="1"/>
  <c r="R16" i="1" s="1"/>
  <c r="E200" i="17"/>
  <c r="F200" i="17" s="1"/>
  <c r="R18" i="1" s="1"/>
  <c r="E308" i="17"/>
  <c r="F308" i="17" s="1"/>
  <c r="R21" i="1" s="1"/>
  <c r="E341" i="17"/>
  <c r="F341" i="17" s="1"/>
  <c r="R22" i="1" s="1"/>
  <c r="E434" i="17"/>
  <c r="F434" i="17" s="1"/>
  <c r="R23" i="1" s="1"/>
  <c r="E503" i="17"/>
  <c r="F503" i="17" s="1"/>
  <c r="R25" i="1" s="1"/>
  <c r="E550" i="17"/>
  <c r="F550" i="17" s="1"/>
  <c r="R26" i="1" s="1"/>
  <c r="E602" i="17"/>
  <c r="F602" i="17" s="1"/>
  <c r="R27" i="1" s="1"/>
  <c r="E667" i="17"/>
  <c r="F667" i="17" s="1"/>
  <c r="R28" i="1" s="1"/>
  <c r="E715" i="17"/>
  <c r="F715" i="17" s="1"/>
  <c r="R29" i="1" s="1"/>
  <c r="E767" i="17"/>
  <c r="F767" i="17" s="1"/>
  <c r="R54" i="1" s="1"/>
  <c r="E797" i="17"/>
  <c r="F797" i="17" s="1"/>
  <c r="R56" i="1" s="1"/>
  <c r="E840" i="17"/>
  <c r="F840" i="17" s="1"/>
  <c r="R38" i="1" s="1"/>
  <c r="E914" i="17"/>
  <c r="F914" i="17" s="1"/>
  <c r="R41" i="1" s="1"/>
  <c r="E938" i="17"/>
  <c r="F938" i="17" s="1"/>
  <c r="R62" i="1" s="1"/>
  <c r="E947" i="17"/>
  <c r="F947" i="17" s="1"/>
  <c r="R63" i="1" s="1"/>
  <c r="E1009" i="17"/>
  <c r="F1009" i="17" s="1"/>
  <c r="R67" i="1" s="1"/>
  <c r="E35" i="17"/>
  <c r="F35" i="17" s="1"/>
  <c r="R73" i="1" s="1"/>
  <c r="E32" i="17"/>
  <c r="F32" i="17" s="1"/>
  <c r="R72" i="1" s="1"/>
  <c r="E5" i="17"/>
  <c r="F5" i="17" s="1"/>
  <c r="R47" i="1" s="1"/>
  <c r="E1010" i="17" l="1"/>
  <c r="F1010" i="17" s="1"/>
  <c r="N65" i="16" l="1"/>
  <c r="E66" i="11" s="1"/>
  <c r="N58" i="16"/>
  <c r="E59" i="11" s="1"/>
  <c r="N57" i="16"/>
  <c r="E58" i="11" s="1"/>
  <c r="N56" i="16"/>
  <c r="E57" i="11" s="1"/>
  <c r="N55" i="16"/>
  <c r="E56" i="11" s="1"/>
  <c r="N54" i="16"/>
  <c r="E55" i="11" s="1"/>
  <c r="N53" i="16"/>
  <c r="E54" i="11" s="1"/>
  <c r="N52" i="16"/>
  <c r="E53" i="11" s="1"/>
  <c r="N51" i="16"/>
  <c r="E52" i="11" s="1"/>
  <c r="N50" i="16"/>
  <c r="E51" i="11" s="1"/>
  <c r="N49" i="16"/>
  <c r="E50" i="11" s="1"/>
  <c r="N48" i="16"/>
  <c r="N47" i="16"/>
  <c r="N46" i="16"/>
  <c r="N45" i="16"/>
  <c r="N78" i="16"/>
  <c r="N74" i="16"/>
  <c r="U73" i="3"/>
  <c r="Q75" i="3"/>
  <c r="Q72" i="3"/>
  <c r="F72" i="3"/>
  <c r="T69" i="3"/>
  <c r="S69" i="3"/>
  <c r="R69" i="3"/>
  <c r="M64" i="3"/>
  <c r="O64" i="3"/>
  <c r="F63" i="3"/>
  <c r="C63" i="3"/>
  <c r="C65" i="3"/>
  <c r="F57" i="3"/>
  <c r="F58" i="3"/>
  <c r="F59" i="3"/>
  <c r="F55" i="3"/>
  <c r="F54" i="3"/>
  <c r="F53" i="3"/>
  <c r="F52" i="3"/>
  <c r="F51" i="3"/>
  <c r="F50" i="3"/>
  <c r="F49" i="3"/>
  <c r="F41" i="3"/>
  <c r="F40" i="3"/>
  <c r="F39" i="3"/>
  <c r="F38" i="3"/>
  <c r="M68" i="16"/>
  <c r="L68" i="16"/>
  <c r="K68" i="16"/>
  <c r="I68" i="16"/>
  <c r="I70" i="16" s="1"/>
  <c r="O59" i="16"/>
  <c r="N59" i="16"/>
  <c r="M59" i="16"/>
  <c r="L59" i="16"/>
  <c r="K59" i="16"/>
  <c r="C69" i="2" l="1"/>
  <c r="O65" i="3"/>
  <c r="C67" i="2"/>
  <c r="O63" i="3"/>
  <c r="K70" i="16"/>
  <c r="M70" i="16"/>
  <c r="F54" i="2"/>
  <c r="E47" i="11"/>
  <c r="F55" i="2"/>
  <c r="E48" i="11"/>
  <c r="F56" i="2"/>
  <c r="E49" i="11"/>
  <c r="F53" i="2"/>
  <c r="E46" i="11"/>
  <c r="Q63" i="3"/>
  <c r="U63" i="3" s="1"/>
  <c r="F67" i="2"/>
  <c r="B63" i="3"/>
  <c r="B65" i="3"/>
  <c r="F59" i="16"/>
  <c r="A1" i="16"/>
  <c r="A3" i="16"/>
  <c r="A4" i="16"/>
  <c r="A5" i="16"/>
  <c r="A13" i="16"/>
  <c r="B14" i="16"/>
  <c r="C14" i="16"/>
  <c r="B15" i="16"/>
  <c r="C15" i="16"/>
  <c r="A19" i="16"/>
  <c r="B19" i="16"/>
  <c r="C20" i="16"/>
  <c r="C21" i="16"/>
  <c r="C22" i="16"/>
  <c r="C23" i="16"/>
  <c r="A24" i="16"/>
  <c r="B24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A44" i="16"/>
  <c r="B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A59" i="16"/>
  <c r="B59" i="16"/>
  <c r="C59" i="16"/>
  <c r="C65" i="16"/>
  <c r="C67" i="16"/>
  <c r="C70" i="16"/>
  <c r="A74" i="16"/>
  <c r="C74" i="16"/>
  <c r="A75" i="16"/>
  <c r="C75" i="16"/>
  <c r="N75" i="16"/>
  <c r="A76" i="16"/>
  <c r="C76" i="16"/>
  <c r="N76" i="16"/>
  <c r="A77" i="16"/>
  <c r="C77" i="16"/>
  <c r="F77" i="16"/>
  <c r="N77" i="16" s="1"/>
  <c r="C79" i="16"/>
  <c r="D1008" i="10"/>
  <c r="O73" i="1"/>
  <c r="P73" i="1" s="1"/>
  <c r="L69" i="2" s="1"/>
  <c r="C1075" i="15" s="1"/>
  <c r="O72" i="1"/>
  <c r="O71" i="1"/>
  <c r="P71" i="1" s="1"/>
  <c r="L67" i="2" s="1"/>
  <c r="C1005" i="15" s="1"/>
  <c r="N72" i="1"/>
  <c r="P72" i="1" s="1"/>
  <c r="M72" i="1"/>
  <c r="I1014" i="10"/>
  <c r="H1014" i="10"/>
  <c r="I1015" i="10"/>
  <c r="H1015" i="10"/>
  <c r="D1015" i="10"/>
  <c r="D79" i="11" s="1"/>
  <c r="D1039" i="15"/>
  <c r="C1033" i="15"/>
  <c r="C1034" i="15" s="1"/>
  <c r="D1024" i="15"/>
  <c r="C598" i="15"/>
  <c r="C603" i="15"/>
  <c r="C595" i="15"/>
  <c r="C594" i="15"/>
  <c r="C563" i="15"/>
  <c r="C564" i="15"/>
  <c r="C572" i="15"/>
  <c r="C567" i="15"/>
  <c r="C628" i="15"/>
  <c r="C633" i="15"/>
  <c r="C625" i="15"/>
  <c r="C624" i="15"/>
  <c r="C658" i="15"/>
  <c r="C655" i="15"/>
  <c r="C654" i="15"/>
  <c r="C663" i="15"/>
  <c r="C748" i="15"/>
  <c r="C749" i="15"/>
  <c r="C686" i="15"/>
  <c r="C685" i="15"/>
  <c r="C694" i="15"/>
  <c r="C689" i="15"/>
  <c r="C752" i="15"/>
  <c r="C758" i="15"/>
  <c r="B792" i="15"/>
  <c r="C788" i="15"/>
  <c r="C778" i="15"/>
  <c r="C779" i="15"/>
  <c r="C782" i="15"/>
  <c r="C726" i="15"/>
  <c r="C716" i="15"/>
  <c r="C717" i="15"/>
  <c r="C720" i="15"/>
  <c r="C534" i="15"/>
  <c r="C533" i="15"/>
  <c r="C543" i="15"/>
  <c r="C537" i="15"/>
  <c r="C469" i="15"/>
  <c r="C468" i="15"/>
  <c r="C478" i="15"/>
  <c r="C511" i="15"/>
  <c r="C502" i="15"/>
  <c r="C501" i="15"/>
  <c r="C447" i="15"/>
  <c r="C438" i="15"/>
  <c r="C437" i="15"/>
  <c r="C407" i="15"/>
  <c r="C406" i="15"/>
  <c r="C416" i="15"/>
  <c r="C386" i="15"/>
  <c r="C377" i="15"/>
  <c r="C376" i="15"/>
  <c r="C356" i="15"/>
  <c r="C347" i="15"/>
  <c r="C346" i="15"/>
  <c r="C325" i="15"/>
  <c r="C316" i="15"/>
  <c r="C315" i="15"/>
  <c r="C295" i="15"/>
  <c r="C286" i="15"/>
  <c r="C285" i="15"/>
  <c r="C253" i="15"/>
  <c r="C254" i="15"/>
  <c r="C263" i="15"/>
  <c r="C234" i="15"/>
  <c r="C225" i="15"/>
  <c r="C224" i="15"/>
  <c r="C203" i="15"/>
  <c r="C194" i="15"/>
  <c r="C193" i="15"/>
  <c r="C163" i="15"/>
  <c r="C162" i="15"/>
  <c r="C172" i="15"/>
  <c r="C133" i="15"/>
  <c r="C132" i="15"/>
  <c r="C142" i="15"/>
  <c r="C112" i="15"/>
  <c r="C103" i="15"/>
  <c r="C102" i="15"/>
  <c r="C1036" i="15" l="1"/>
  <c r="D1036" i="15" s="1"/>
  <c r="L68" i="2"/>
  <c r="E65" i="3"/>
  <c r="D68" i="11"/>
  <c r="E64" i="3"/>
  <c r="H64" i="3"/>
  <c r="H66" i="16"/>
  <c r="D51" i="13"/>
  <c r="H51" i="13" s="1"/>
  <c r="N14" i="16"/>
  <c r="D1027" i="15"/>
  <c r="C72" i="15"/>
  <c r="C71" i="15"/>
  <c r="C81" i="15"/>
  <c r="C51" i="15"/>
  <c r="C42" i="15"/>
  <c r="C41" i="15"/>
  <c r="C910" i="15"/>
  <c r="C901" i="15"/>
  <c r="C900" i="15"/>
  <c r="C879" i="15"/>
  <c r="C873" i="15"/>
  <c r="C843" i="15"/>
  <c r="C870" i="15"/>
  <c r="C849" i="15"/>
  <c r="B852" i="15"/>
  <c r="C852" i="15" s="1"/>
  <c r="D852" i="15" s="1"/>
  <c r="B840" i="15"/>
  <c r="C840" i="15"/>
  <c r="C839" i="15"/>
  <c r="C869" i="15"/>
  <c r="C819" i="15"/>
  <c r="C810" i="15"/>
  <c r="C809" i="15"/>
  <c r="C813" i="15"/>
  <c r="C941" i="15"/>
  <c r="C942" i="15" s="1"/>
  <c r="C931" i="15"/>
  <c r="C932" i="15"/>
  <c r="D932" i="15" s="1"/>
  <c r="C935" i="15"/>
  <c r="C962" i="15"/>
  <c r="C961" i="15"/>
  <c r="C971" i="15"/>
  <c r="C965" i="15"/>
  <c r="C1102" i="15"/>
  <c r="C1072" i="15"/>
  <c r="C1073" i="15" s="1"/>
  <c r="C1002" i="15"/>
  <c r="C993" i="15"/>
  <c r="C992" i="15"/>
  <c r="C996" i="15"/>
  <c r="D996" i="15" s="1"/>
  <c r="C1063" i="15"/>
  <c r="D1063" i="15" s="1"/>
  <c r="C1062" i="15"/>
  <c r="C1093" i="15"/>
  <c r="D1093" i="15" s="1"/>
  <c r="C1092" i="15"/>
  <c r="C1103" i="15"/>
  <c r="B1103" i="15"/>
  <c r="D1102" i="15"/>
  <c r="D1101" i="15"/>
  <c r="B1097" i="15"/>
  <c r="B1073" i="15"/>
  <c r="D1071" i="15"/>
  <c r="B1067" i="15"/>
  <c r="C1003" i="15"/>
  <c r="B1003" i="15"/>
  <c r="D1002" i="15"/>
  <c r="D1001" i="15"/>
  <c r="D993" i="15"/>
  <c r="B979" i="15"/>
  <c r="B975" i="15"/>
  <c r="C972" i="15"/>
  <c r="B972" i="15"/>
  <c r="D971" i="15"/>
  <c r="D970" i="15"/>
  <c r="B968" i="15"/>
  <c r="B966" i="15"/>
  <c r="D965" i="15"/>
  <c r="D962" i="15"/>
  <c r="B949" i="15"/>
  <c r="B945" i="15"/>
  <c r="B942" i="15"/>
  <c r="D940" i="15"/>
  <c r="B938" i="15"/>
  <c r="B936" i="15"/>
  <c r="D935" i="15"/>
  <c r="D916" i="15"/>
  <c r="D914" i="15"/>
  <c r="C911" i="15"/>
  <c r="B911" i="15"/>
  <c r="D910" i="15"/>
  <c r="D909" i="15"/>
  <c r="C905" i="15"/>
  <c r="B905" i="15"/>
  <c r="D904" i="15"/>
  <c r="D903" i="15"/>
  <c r="D901" i="15"/>
  <c r="D898" i="15"/>
  <c r="B887" i="15"/>
  <c r="B883" i="15"/>
  <c r="C880" i="15"/>
  <c r="B880" i="15"/>
  <c r="D879" i="15"/>
  <c r="D878" i="15"/>
  <c r="B876" i="15"/>
  <c r="B874" i="15"/>
  <c r="D873" i="15"/>
  <c r="D870" i="15"/>
  <c r="B857" i="15"/>
  <c r="B853" i="15"/>
  <c r="C850" i="15"/>
  <c r="B850" i="15"/>
  <c r="D849" i="15"/>
  <c r="D848" i="15"/>
  <c r="B846" i="15"/>
  <c r="B844" i="15"/>
  <c r="D843" i="15"/>
  <c r="D840" i="15"/>
  <c r="B827" i="15"/>
  <c r="B823" i="15"/>
  <c r="C820" i="15"/>
  <c r="B820" i="15"/>
  <c r="D819" i="15"/>
  <c r="D818" i="15"/>
  <c r="B816" i="15"/>
  <c r="B814" i="15"/>
  <c r="D813" i="15"/>
  <c r="D810" i="15"/>
  <c r="B796" i="15"/>
  <c r="C789" i="15"/>
  <c r="D789" i="15" s="1"/>
  <c r="B789" i="15"/>
  <c r="D788" i="15"/>
  <c r="D787" i="15"/>
  <c r="B785" i="15"/>
  <c r="B783" i="15"/>
  <c r="D782" i="15"/>
  <c r="D779" i="15"/>
  <c r="B766" i="15"/>
  <c r="B762" i="15"/>
  <c r="C759" i="15"/>
  <c r="B759" i="15"/>
  <c r="D758" i="15"/>
  <c r="D757" i="15"/>
  <c r="B755" i="15"/>
  <c r="B753" i="15"/>
  <c r="D752" i="15"/>
  <c r="D749" i="15"/>
  <c r="B734" i="15"/>
  <c r="B730" i="15"/>
  <c r="C727" i="15"/>
  <c r="B727" i="15"/>
  <c r="D726" i="15"/>
  <c r="D725" i="15"/>
  <c r="B723" i="15"/>
  <c r="B721" i="15"/>
  <c r="D720" i="15"/>
  <c r="D717" i="15"/>
  <c r="B703" i="15"/>
  <c r="B699" i="15"/>
  <c r="C696" i="15"/>
  <c r="C698" i="15" s="1"/>
  <c r="B696" i="15"/>
  <c r="D695" i="15"/>
  <c r="D694" i="15"/>
  <c r="B692" i="15"/>
  <c r="B690" i="15"/>
  <c r="D689" i="15"/>
  <c r="D686" i="15"/>
  <c r="B672" i="15"/>
  <c r="B668" i="15"/>
  <c r="C665" i="15"/>
  <c r="B665" i="15"/>
  <c r="D664" i="15"/>
  <c r="D663" i="15"/>
  <c r="B661" i="15"/>
  <c r="B659" i="15"/>
  <c r="D658" i="15"/>
  <c r="D655" i="15"/>
  <c r="B642" i="15"/>
  <c r="B638" i="15"/>
  <c r="C635" i="15"/>
  <c r="C637" i="15" s="1"/>
  <c r="B635" i="15"/>
  <c r="D634" i="15"/>
  <c r="D633" i="15"/>
  <c r="B631" i="15"/>
  <c r="B629" i="15"/>
  <c r="D628" i="15"/>
  <c r="D625" i="15"/>
  <c r="B608" i="15"/>
  <c r="C605" i="15"/>
  <c r="C607" i="15" s="1"/>
  <c r="B605" i="15"/>
  <c r="D604" i="15"/>
  <c r="D603" i="15"/>
  <c r="B601" i="15"/>
  <c r="B599" i="15"/>
  <c r="D598" i="15"/>
  <c r="D595" i="15"/>
  <c r="B581" i="15"/>
  <c r="C574" i="15"/>
  <c r="C576" i="15" s="1"/>
  <c r="D576" i="15" s="1"/>
  <c r="B574" i="15"/>
  <c r="B577" i="15" s="1"/>
  <c r="D573" i="15"/>
  <c r="D572" i="15"/>
  <c r="B570" i="15"/>
  <c r="B568" i="15"/>
  <c r="D567" i="15"/>
  <c r="D564" i="15"/>
  <c r="B551" i="15"/>
  <c r="B547" i="15"/>
  <c r="C544" i="15"/>
  <c r="C546" i="15" s="1"/>
  <c r="B544" i="15"/>
  <c r="D543" i="15"/>
  <c r="D542" i="15"/>
  <c r="B540" i="15"/>
  <c r="B538" i="15"/>
  <c r="D537" i="15"/>
  <c r="D534" i="15"/>
  <c r="B519" i="15"/>
  <c r="B515" i="15"/>
  <c r="C512" i="15"/>
  <c r="C514" i="15" s="1"/>
  <c r="B512" i="15"/>
  <c r="D511" i="15"/>
  <c r="D510" i="15"/>
  <c r="B508" i="15"/>
  <c r="B506" i="15"/>
  <c r="D502" i="15"/>
  <c r="B486" i="15"/>
  <c r="B482" i="15"/>
  <c r="C479" i="15"/>
  <c r="C481" i="15" s="1"/>
  <c r="B479" i="15"/>
  <c r="D478" i="15"/>
  <c r="D477" i="15"/>
  <c r="B475" i="15"/>
  <c r="B473" i="15"/>
  <c r="D469" i="15"/>
  <c r="B455" i="15"/>
  <c r="B451" i="15"/>
  <c r="C448" i="15"/>
  <c r="C450" i="15" s="1"/>
  <c r="B448" i="15"/>
  <c r="D447" i="15"/>
  <c r="D446" i="15"/>
  <c r="B444" i="15"/>
  <c r="B442" i="15"/>
  <c r="D438" i="15"/>
  <c r="B424" i="15"/>
  <c r="B420" i="15"/>
  <c r="C417" i="15"/>
  <c r="C419" i="15" s="1"/>
  <c r="B417" i="15"/>
  <c r="D416" i="15"/>
  <c r="D415" i="15"/>
  <c r="B413" i="15"/>
  <c r="B411" i="15"/>
  <c r="D407" i="15"/>
  <c r="B394" i="15"/>
  <c r="B390" i="15"/>
  <c r="C387" i="15"/>
  <c r="C389" i="15" s="1"/>
  <c r="B387" i="15"/>
  <c r="D386" i="15"/>
  <c r="D385" i="15"/>
  <c r="B383" i="15"/>
  <c r="B381" i="15"/>
  <c r="D377" i="15"/>
  <c r="B364" i="15"/>
  <c r="B360" i="15"/>
  <c r="C357" i="15"/>
  <c r="C359" i="15" s="1"/>
  <c r="B357" i="15"/>
  <c r="D356" i="15"/>
  <c r="D355" i="15"/>
  <c r="B353" i="15"/>
  <c r="B351" i="15"/>
  <c r="D347" i="15"/>
  <c r="B333" i="15"/>
  <c r="B329" i="15"/>
  <c r="C326" i="15"/>
  <c r="C328" i="15" s="1"/>
  <c r="B326" i="15"/>
  <c r="D325" i="15"/>
  <c r="D324" i="15"/>
  <c r="B322" i="15"/>
  <c r="B320" i="15"/>
  <c r="D316" i="15"/>
  <c r="B303" i="15"/>
  <c r="B299" i="15"/>
  <c r="C296" i="15"/>
  <c r="C298" i="15" s="1"/>
  <c r="B296" i="15"/>
  <c r="D295" i="15"/>
  <c r="D294" i="15"/>
  <c r="B292" i="15"/>
  <c r="B290" i="15"/>
  <c r="D286" i="15"/>
  <c r="B271" i="15"/>
  <c r="B267" i="15"/>
  <c r="C264" i="15"/>
  <c r="C266" i="15" s="1"/>
  <c r="D266" i="15" s="1"/>
  <c r="B264" i="15"/>
  <c r="D263" i="15"/>
  <c r="D262" i="15"/>
  <c r="B260" i="15"/>
  <c r="B258" i="15"/>
  <c r="D254" i="15"/>
  <c r="B242" i="15"/>
  <c r="B238" i="15"/>
  <c r="C235" i="15"/>
  <c r="C237" i="15" s="1"/>
  <c r="B235" i="15"/>
  <c r="D234" i="15"/>
  <c r="D233" i="15"/>
  <c r="B231" i="15"/>
  <c r="B229" i="15"/>
  <c r="D225" i="15"/>
  <c r="B211" i="15"/>
  <c r="B207" i="15"/>
  <c r="C204" i="15"/>
  <c r="C206" i="15" s="1"/>
  <c r="D206" i="15" s="1"/>
  <c r="B204" i="15"/>
  <c r="D203" i="15"/>
  <c r="D202" i="15"/>
  <c r="B200" i="15"/>
  <c r="B198" i="15"/>
  <c r="D196" i="15"/>
  <c r="D194" i="15"/>
  <c r="B180" i="15"/>
  <c r="B176" i="15"/>
  <c r="C173" i="15"/>
  <c r="C175" i="15" s="1"/>
  <c r="B173" i="15"/>
  <c r="D172" i="15"/>
  <c r="D171" i="15"/>
  <c r="B169" i="15"/>
  <c r="B167" i="15"/>
  <c r="D163" i="15"/>
  <c r="B150" i="15"/>
  <c r="B146" i="15"/>
  <c r="C143" i="15"/>
  <c r="C145" i="15" s="1"/>
  <c r="B143" i="15"/>
  <c r="D142" i="15"/>
  <c r="D141" i="15"/>
  <c r="B139" i="15"/>
  <c r="B137" i="15"/>
  <c r="D133" i="15"/>
  <c r="B120" i="15"/>
  <c r="B116" i="15"/>
  <c r="C113" i="15"/>
  <c r="C115" i="15" s="1"/>
  <c r="B113" i="15"/>
  <c r="D112" i="15"/>
  <c r="D111" i="15"/>
  <c r="B109" i="15"/>
  <c r="B107" i="15"/>
  <c r="D103" i="15"/>
  <c r="D89" i="15"/>
  <c r="B85" i="15"/>
  <c r="C82" i="15"/>
  <c r="C84" i="15" s="1"/>
  <c r="B82" i="15"/>
  <c r="D81" i="15"/>
  <c r="D80" i="15"/>
  <c r="B78" i="15"/>
  <c r="B76" i="15"/>
  <c r="D72" i="15"/>
  <c r="D57" i="15"/>
  <c r="D55" i="15"/>
  <c r="C52" i="15"/>
  <c r="C54" i="15" s="1"/>
  <c r="D54" i="15" s="1"/>
  <c r="B52" i="15"/>
  <c r="D51" i="15"/>
  <c r="D50" i="15"/>
  <c r="B48" i="15"/>
  <c r="B46" i="15"/>
  <c r="D42" i="15"/>
  <c r="D26" i="15"/>
  <c r="D25" i="15"/>
  <c r="B23" i="15"/>
  <c r="D22" i="15"/>
  <c r="C20" i="15"/>
  <c r="B20" i="15"/>
  <c r="D19" i="15"/>
  <c r="D18" i="15"/>
  <c r="C14" i="15"/>
  <c r="B14" i="15"/>
  <c r="D13" i="15"/>
  <c r="D12" i="15"/>
  <c r="D10" i="15"/>
  <c r="G781" i="10"/>
  <c r="F781" i="10"/>
  <c r="I781" i="10" s="1"/>
  <c r="G780" i="10"/>
  <c r="F780" i="10"/>
  <c r="D792" i="10"/>
  <c r="I906" i="10"/>
  <c r="G906" i="10"/>
  <c r="H906" i="10" s="1"/>
  <c r="I905" i="10"/>
  <c r="G905" i="10"/>
  <c r="H905" i="10" s="1"/>
  <c r="I904" i="10"/>
  <c r="G904" i="10"/>
  <c r="H904" i="10" s="1"/>
  <c r="I903" i="10"/>
  <c r="G903" i="10"/>
  <c r="H903" i="10" s="1"/>
  <c r="G899" i="10"/>
  <c r="G900" i="10"/>
  <c r="G901" i="10"/>
  <c r="I834" i="10"/>
  <c r="G834" i="10"/>
  <c r="H834" i="10" s="1"/>
  <c r="I833" i="10"/>
  <c r="G833" i="10"/>
  <c r="H833" i="10" s="1"/>
  <c r="I832" i="10"/>
  <c r="G832" i="10"/>
  <c r="H832" i="10" s="1"/>
  <c r="I831" i="10"/>
  <c r="G831" i="10"/>
  <c r="H831" i="10" s="1"/>
  <c r="I830" i="10"/>
  <c r="G830" i="10"/>
  <c r="H830" i="10" s="1"/>
  <c r="I829" i="10"/>
  <c r="G829" i="10"/>
  <c r="H829" i="10" s="1"/>
  <c r="I828" i="10"/>
  <c r="G828" i="10"/>
  <c r="H828" i="10" s="1"/>
  <c r="I853" i="10"/>
  <c r="G853" i="10"/>
  <c r="H853" i="10" s="1"/>
  <c r="I852" i="10"/>
  <c r="G852" i="10"/>
  <c r="H852" i="10" s="1"/>
  <c r="I851" i="10"/>
  <c r="G851" i="10"/>
  <c r="H851" i="10" s="1"/>
  <c r="G937" i="10"/>
  <c r="F937" i="10"/>
  <c r="I425" i="10"/>
  <c r="G425" i="10"/>
  <c r="H425" i="10" s="1"/>
  <c r="I424" i="10"/>
  <c r="G424" i="10"/>
  <c r="H424" i="10" s="1"/>
  <c r="I423" i="10"/>
  <c r="G423" i="10"/>
  <c r="H423" i="10" s="1"/>
  <c r="I422" i="10"/>
  <c r="G422" i="10"/>
  <c r="H422" i="10" s="1"/>
  <c r="I421" i="10"/>
  <c r="G421" i="10"/>
  <c r="H421" i="10" s="1"/>
  <c r="I420" i="10"/>
  <c r="G420" i="10"/>
  <c r="H420" i="10" s="1"/>
  <c r="I419" i="10"/>
  <c r="G419" i="10"/>
  <c r="H419" i="10" s="1"/>
  <c r="I418" i="10"/>
  <c r="G418" i="10"/>
  <c r="H418" i="10" s="1"/>
  <c r="I415" i="10"/>
  <c r="G415" i="10"/>
  <c r="H415" i="10" s="1"/>
  <c r="I414" i="10"/>
  <c r="G414" i="10"/>
  <c r="H414" i="10" s="1"/>
  <c r="I413" i="10"/>
  <c r="G413" i="10"/>
  <c r="H413" i="10" s="1"/>
  <c r="I412" i="10"/>
  <c r="G412" i="10"/>
  <c r="H412" i="10" s="1"/>
  <c r="I411" i="10"/>
  <c r="G411" i="10"/>
  <c r="H411" i="10" s="1"/>
  <c r="I410" i="10"/>
  <c r="G410" i="10"/>
  <c r="H410" i="10" s="1"/>
  <c r="I409" i="10"/>
  <c r="G409" i="10"/>
  <c r="H409" i="10" s="1"/>
  <c r="I408" i="10"/>
  <c r="G408" i="10"/>
  <c r="H408" i="10" s="1"/>
  <c r="I407" i="10"/>
  <c r="G407" i="10"/>
  <c r="H407" i="10" s="1"/>
  <c r="I406" i="10"/>
  <c r="G406" i="10"/>
  <c r="H406" i="10" s="1"/>
  <c r="D115" i="15" l="1"/>
  <c r="D637" i="15"/>
  <c r="E15" i="11"/>
  <c r="C45" i="15" s="1"/>
  <c r="D45" i="15" s="1"/>
  <c r="F47" i="2"/>
  <c r="D52" i="13"/>
  <c r="E69" i="2"/>
  <c r="M69" i="2" s="1"/>
  <c r="C1026" i="15"/>
  <c r="C1021" i="15"/>
  <c r="E68" i="2"/>
  <c r="M68" i="2" s="1"/>
  <c r="I64" i="3"/>
  <c r="H780" i="10"/>
  <c r="D84" i="15"/>
  <c r="D359" i="15"/>
  <c r="D1072" i="15"/>
  <c r="D145" i="15"/>
  <c r="D298" i="15"/>
  <c r="D389" i="15"/>
  <c r="D450" i="15"/>
  <c r="D481" i="15"/>
  <c r="D514" i="15"/>
  <c r="D175" i="15"/>
  <c r="D237" i="15"/>
  <c r="D328" i="15"/>
  <c r="D419" i="15"/>
  <c r="D546" i="15"/>
  <c r="D607" i="15"/>
  <c r="D665" i="15"/>
  <c r="C667" i="15"/>
  <c r="D698" i="15"/>
  <c r="D727" i="15"/>
  <c r="C729" i="15"/>
  <c r="D635" i="15"/>
  <c r="D696" i="15"/>
  <c r="D759" i="15"/>
  <c r="D52" i="15"/>
  <c r="D82" i="15"/>
  <c r="D905" i="15"/>
  <c r="D113" i="15"/>
  <c r="D143" i="15"/>
  <c r="D173" i="15"/>
  <c r="D204" i="15"/>
  <c r="D235" i="15"/>
  <c r="D264" i="15"/>
  <c r="D296" i="15"/>
  <c r="D326" i="15"/>
  <c r="D357" i="15"/>
  <c r="D387" i="15"/>
  <c r="D417" i="15"/>
  <c r="D448" i="15"/>
  <c r="D479" i="15"/>
  <c r="D512" i="15"/>
  <c r="D544" i="15"/>
  <c r="D574" i="15"/>
  <c r="D605" i="15"/>
  <c r="D14" i="15"/>
  <c r="D20" i="15"/>
  <c r="D820" i="15"/>
  <c r="D850" i="15"/>
  <c r="D880" i="15"/>
  <c r="D911" i="15"/>
  <c r="D972" i="15"/>
  <c r="D1103" i="15"/>
  <c r="D942" i="15"/>
  <c r="D941" i="15"/>
  <c r="D1003" i="15"/>
  <c r="D1073" i="15"/>
  <c r="I780" i="10"/>
  <c r="H781" i="10"/>
  <c r="I937" i="10"/>
  <c r="H937" i="10"/>
  <c r="D667" i="15" l="1"/>
  <c r="C1030" i="15"/>
  <c r="D1021" i="15"/>
  <c r="C1037" i="15"/>
  <c r="D1037" i="15" s="1"/>
  <c r="D1026" i="15"/>
  <c r="C1028" i="15"/>
  <c r="D1028" i="15" s="1"/>
  <c r="D729" i="15"/>
  <c r="D302" i="10"/>
  <c r="I280" i="10"/>
  <c r="G280" i="10"/>
  <c r="H280" i="10" s="1"/>
  <c r="I279" i="10"/>
  <c r="G279" i="10"/>
  <c r="H279" i="10" s="1"/>
  <c r="I278" i="10"/>
  <c r="G278" i="10"/>
  <c r="H278" i="10" s="1"/>
  <c r="I277" i="10"/>
  <c r="G277" i="10"/>
  <c r="H277" i="10" s="1"/>
  <c r="I276" i="10"/>
  <c r="G276" i="10"/>
  <c r="H276" i="10" s="1"/>
  <c r="I275" i="10"/>
  <c r="G275" i="10"/>
  <c r="H275" i="10" s="1"/>
  <c r="I274" i="10"/>
  <c r="G274" i="10"/>
  <c r="H274" i="10" s="1"/>
  <c r="I273" i="10"/>
  <c r="G273" i="10"/>
  <c r="H273" i="10" s="1"/>
  <c r="I272" i="10"/>
  <c r="G272" i="10"/>
  <c r="H272" i="10" s="1"/>
  <c r="D232" i="10"/>
  <c r="D235" i="10"/>
  <c r="D1005" i="15"/>
  <c r="U46" i="3"/>
  <c r="U45" i="3"/>
  <c r="U44" i="3"/>
  <c r="U43" i="3"/>
  <c r="U42" i="3"/>
  <c r="U30" i="3"/>
  <c r="Q59" i="3"/>
  <c r="U59" i="3" s="1"/>
  <c r="Q58" i="3"/>
  <c r="U58" i="3" s="1"/>
  <c r="Q57" i="3"/>
  <c r="U57" i="3" s="1"/>
  <c r="Q56" i="3"/>
  <c r="U56" i="3" s="1"/>
  <c r="Q55" i="3"/>
  <c r="U55" i="3" s="1"/>
  <c r="Q54" i="3"/>
  <c r="U54" i="3" s="1"/>
  <c r="Q41" i="3"/>
  <c r="U41" i="3" s="1"/>
  <c r="Q40" i="3"/>
  <c r="U40" i="3" s="1"/>
  <c r="Q39" i="3"/>
  <c r="U39" i="3" s="1"/>
  <c r="Q38" i="3"/>
  <c r="U38" i="3" s="1"/>
  <c r="Q53" i="3"/>
  <c r="U53" i="3" s="1"/>
  <c r="Q52" i="3"/>
  <c r="U52" i="3" s="1"/>
  <c r="Q51" i="3"/>
  <c r="U51" i="3" s="1"/>
  <c r="Q50" i="3"/>
  <c r="U50" i="3" s="1"/>
  <c r="Q49" i="3"/>
  <c r="U49" i="3" s="1"/>
  <c r="Q47" i="3"/>
  <c r="U47" i="3" s="1"/>
  <c r="F50" i="13"/>
  <c r="H67" i="2" s="1"/>
  <c r="I68" i="2" s="1"/>
  <c r="N68" i="2" s="1"/>
  <c r="F52" i="13"/>
  <c r="H69" i="2" s="1"/>
  <c r="U46" i="1"/>
  <c r="U47" i="1"/>
  <c r="U48" i="1"/>
  <c r="U54" i="1"/>
  <c r="U55" i="1"/>
  <c r="U56" i="1"/>
  <c r="U57" i="1"/>
  <c r="U61" i="1"/>
  <c r="U62" i="1"/>
  <c r="U63" i="1"/>
  <c r="U64" i="1"/>
  <c r="U65" i="1"/>
  <c r="U66" i="1"/>
  <c r="U67" i="1"/>
  <c r="U38" i="1"/>
  <c r="U39" i="1"/>
  <c r="U40" i="1"/>
  <c r="U41" i="1"/>
  <c r="D1075" i="15" l="1"/>
  <c r="I752" i="10"/>
  <c r="G752" i="10"/>
  <c r="H752" i="10" s="1"/>
  <c r="I751" i="10"/>
  <c r="G751" i="10"/>
  <c r="H751" i="10" s="1"/>
  <c r="I750" i="10"/>
  <c r="G750" i="10"/>
  <c r="H750" i="10" s="1"/>
  <c r="I749" i="10"/>
  <c r="G749" i="10"/>
  <c r="H749" i="10" s="1"/>
  <c r="I748" i="10"/>
  <c r="G748" i="10"/>
  <c r="H748" i="10" s="1"/>
  <c r="I747" i="10"/>
  <c r="G747" i="10"/>
  <c r="H747" i="10" s="1"/>
  <c r="I746" i="10"/>
  <c r="G746" i="10"/>
  <c r="H746" i="10" s="1"/>
  <c r="I745" i="10"/>
  <c r="G745" i="10"/>
  <c r="H745" i="10" s="1"/>
  <c r="I744" i="10"/>
  <c r="G744" i="10"/>
  <c r="H744" i="10" s="1"/>
  <c r="I743" i="10"/>
  <c r="G743" i="10"/>
  <c r="H743" i="10" s="1"/>
  <c r="I742" i="10"/>
  <c r="G742" i="10"/>
  <c r="H742" i="10" s="1"/>
  <c r="I741" i="10"/>
  <c r="G741" i="10"/>
  <c r="H741" i="10" s="1"/>
  <c r="I740" i="10"/>
  <c r="G740" i="10"/>
  <c r="H740" i="10" s="1"/>
  <c r="I739" i="10"/>
  <c r="G739" i="10"/>
  <c r="H739" i="10" s="1"/>
  <c r="I738" i="10"/>
  <c r="G738" i="10"/>
  <c r="H738" i="10" s="1"/>
  <c r="I737" i="10"/>
  <c r="G737" i="10"/>
  <c r="H737" i="10" s="1"/>
  <c r="I736" i="10"/>
  <c r="G736" i="10"/>
  <c r="H736" i="10" s="1"/>
  <c r="I735" i="10"/>
  <c r="G735" i="10"/>
  <c r="H735" i="10" s="1"/>
  <c r="I734" i="10"/>
  <c r="G734" i="10"/>
  <c r="H734" i="10" s="1"/>
  <c r="I733" i="10"/>
  <c r="G733" i="10"/>
  <c r="H733" i="10" s="1"/>
  <c r="I732" i="10"/>
  <c r="G732" i="10"/>
  <c r="H732" i="10" s="1"/>
  <c r="I731" i="10"/>
  <c r="G731" i="10"/>
  <c r="H731" i="10" s="1"/>
  <c r="I730" i="10"/>
  <c r="G730" i="10"/>
  <c r="H730" i="10" s="1"/>
  <c r="I729" i="10"/>
  <c r="G729" i="10"/>
  <c r="H729" i="10" s="1"/>
  <c r="I728" i="10"/>
  <c r="G728" i="10"/>
  <c r="H728" i="10" s="1"/>
  <c r="I727" i="10"/>
  <c r="G727" i="10"/>
  <c r="H727" i="10" s="1"/>
  <c r="I726" i="10"/>
  <c r="G726" i="10"/>
  <c r="H726" i="10" s="1"/>
  <c r="I725" i="10"/>
  <c r="G725" i="10"/>
  <c r="H725" i="10" s="1"/>
  <c r="I724" i="10"/>
  <c r="G724" i="10"/>
  <c r="H724" i="10" s="1"/>
  <c r="I723" i="10"/>
  <c r="G723" i="10"/>
  <c r="H723" i="10" s="1"/>
  <c r="I722" i="10"/>
  <c r="G722" i="10"/>
  <c r="H722" i="10" s="1"/>
  <c r="I721" i="10"/>
  <c r="G721" i="10"/>
  <c r="H721" i="10" s="1"/>
  <c r="I720" i="10"/>
  <c r="G720" i="10"/>
  <c r="H720" i="10" s="1"/>
  <c r="I719" i="10"/>
  <c r="G719" i="10"/>
  <c r="H719" i="10" s="1"/>
  <c r="D753" i="10"/>
  <c r="G68" i="11" l="1"/>
  <c r="G66" i="11"/>
  <c r="L68" i="11"/>
  <c r="L66" i="11"/>
  <c r="F66" i="11"/>
  <c r="I660" i="10"/>
  <c r="G660" i="10"/>
  <c r="H660" i="10" s="1"/>
  <c r="I496" i="10"/>
  <c r="G496" i="10"/>
  <c r="H496" i="10" s="1"/>
  <c r="I495" i="10"/>
  <c r="G495" i="10"/>
  <c r="H495" i="10" s="1"/>
  <c r="I494" i="10"/>
  <c r="G494" i="10"/>
  <c r="H494" i="10" s="1"/>
  <c r="I493" i="10"/>
  <c r="G493" i="10"/>
  <c r="H493" i="10" s="1"/>
  <c r="I492" i="10"/>
  <c r="G492" i="10"/>
  <c r="H492" i="10" s="1"/>
  <c r="G473" i="10"/>
  <c r="G474" i="10"/>
  <c r="G475" i="10"/>
  <c r="G476" i="10"/>
  <c r="G477" i="10"/>
  <c r="G478" i="10"/>
  <c r="G479" i="10"/>
  <c r="G480" i="10"/>
  <c r="G481" i="10"/>
  <c r="G482" i="10"/>
  <c r="G483" i="10"/>
  <c r="G484" i="10"/>
  <c r="G485" i="10"/>
  <c r="G486" i="10"/>
  <c r="G487" i="10"/>
  <c r="G488" i="10"/>
  <c r="G489" i="10"/>
  <c r="G490" i="10"/>
  <c r="G491" i="10"/>
  <c r="I427" i="10"/>
  <c r="G427" i="10"/>
  <c r="H427" i="10" s="1"/>
  <c r="D335" i="10"/>
  <c r="I233" i="10"/>
  <c r="G233" i="10"/>
  <c r="H233" i="10" s="1"/>
  <c r="D1005" i="10"/>
  <c r="G1006" i="10"/>
  <c r="H1006" i="10" s="1"/>
  <c r="I1006" i="10"/>
  <c r="I1008" i="10"/>
  <c r="J1008" i="10" s="1"/>
  <c r="G1004" i="10"/>
  <c r="H1004" i="10" s="1"/>
  <c r="I1004" i="10"/>
  <c r="I892" i="10"/>
  <c r="G892" i="10"/>
  <c r="H892" i="10" s="1"/>
  <c r="I891" i="10"/>
  <c r="G891" i="10"/>
  <c r="H891" i="10" s="1"/>
  <c r="I890" i="10"/>
  <c r="G890" i="10"/>
  <c r="H890" i="10" s="1"/>
  <c r="I889" i="10"/>
  <c r="G889" i="10"/>
  <c r="H889" i="10" s="1"/>
  <c r="I888" i="10"/>
  <c r="G888" i="10"/>
  <c r="H888" i="10" s="1"/>
  <c r="I887" i="10"/>
  <c r="G887" i="10"/>
  <c r="H887" i="10" s="1"/>
  <c r="I758" i="10"/>
  <c r="G758" i="10"/>
  <c r="H758" i="10" s="1"/>
  <c r="I757" i="10"/>
  <c r="G757" i="10"/>
  <c r="H757" i="10" s="1"/>
  <c r="I756" i="10"/>
  <c r="G756" i="10"/>
  <c r="H756" i="10" s="1"/>
  <c r="F767" i="10"/>
  <c r="I767" i="10" s="1"/>
  <c r="F766" i="10"/>
  <c r="I766" i="10" s="1"/>
  <c r="F765" i="10"/>
  <c r="I765" i="10" s="1"/>
  <c r="F764" i="10"/>
  <c r="I764" i="10" s="1"/>
  <c r="G768" i="10"/>
  <c r="F768" i="10"/>
  <c r="I768" i="10" s="1"/>
  <c r="G767" i="10"/>
  <c r="G766" i="10"/>
  <c r="G765" i="10"/>
  <c r="G764" i="10"/>
  <c r="G782" i="10"/>
  <c r="F782" i="10"/>
  <c r="I782" i="10" s="1"/>
  <c r="G802" i="10"/>
  <c r="F802" i="10"/>
  <c r="I802" i="10" s="1"/>
  <c r="H930" i="10"/>
  <c r="G929" i="10"/>
  <c r="H929" i="10" s="1"/>
  <c r="I929" i="10"/>
  <c r="G928" i="10"/>
  <c r="H928" i="10" s="1"/>
  <c r="I928" i="10"/>
  <c r="G927" i="10"/>
  <c r="G926" i="10"/>
  <c r="G925" i="10"/>
  <c r="G924" i="10"/>
  <c r="G923" i="10"/>
  <c r="G922" i="10"/>
  <c r="G921" i="10"/>
  <c r="F927" i="10"/>
  <c r="I927" i="10" s="1"/>
  <c r="F926" i="10"/>
  <c r="I926" i="10" s="1"/>
  <c r="F925" i="10"/>
  <c r="I925" i="10" s="1"/>
  <c r="F924" i="10"/>
  <c r="I924" i="10" s="1"/>
  <c r="F923" i="10"/>
  <c r="I923" i="10" s="1"/>
  <c r="F922" i="10"/>
  <c r="I922" i="10" s="1"/>
  <c r="F921" i="10"/>
  <c r="I921" i="10" s="1"/>
  <c r="G17" i="10"/>
  <c r="G16" i="10"/>
  <c r="G15" i="10"/>
  <c r="G14" i="10"/>
  <c r="G13" i="10"/>
  <c r="G12" i="10"/>
  <c r="G11" i="10"/>
  <c r="G10" i="10"/>
  <c r="G9" i="10"/>
  <c r="F15" i="10"/>
  <c r="I15" i="10" s="1"/>
  <c r="F14" i="10"/>
  <c r="I14" i="10" s="1"/>
  <c r="F13" i="10"/>
  <c r="I13" i="10" s="1"/>
  <c r="F12" i="10"/>
  <c r="I12" i="10" s="1"/>
  <c r="F11" i="10"/>
  <c r="I11" i="10" s="1"/>
  <c r="F10" i="10"/>
  <c r="I10" i="10" s="1"/>
  <c r="F9" i="10"/>
  <c r="I9" i="10" s="1"/>
  <c r="F1000" i="10"/>
  <c r="F999" i="10"/>
  <c r="F998" i="10"/>
  <c r="F997" i="10"/>
  <c r="F996" i="10"/>
  <c r="F995" i="10"/>
  <c r="F994" i="10"/>
  <c r="F993" i="10"/>
  <c r="F992" i="10"/>
  <c r="F991" i="10"/>
  <c r="F990" i="10"/>
  <c r="F989" i="10"/>
  <c r="F988" i="10"/>
  <c r="F987" i="10"/>
  <c r="F982" i="10"/>
  <c r="F981" i="10"/>
  <c r="F980" i="10"/>
  <c r="F979" i="10"/>
  <c r="F978" i="10"/>
  <c r="F977" i="10"/>
  <c r="F976" i="10"/>
  <c r="F938" i="10"/>
  <c r="F936" i="10"/>
  <c r="F935" i="10"/>
  <c r="F934" i="10"/>
  <c r="F933" i="10"/>
  <c r="F932" i="10"/>
  <c r="F920" i="10"/>
  <c r="F919" i="10"/>
  <c r="F918" i="10"/>
  <c r="F917" i="10"/>
  <c r="F916" i="10"/>
  <c r="F915" i="10"/>
  <c r="F914" i="10"/>
  <c r="F913" i="10"/>
  <c r="F912" i="10"/>
  <c r="F911" i="10"/>
  <c r="F909" i="10"/>
  <c r="F804" i="10"/>
  <c r="F803" i="10"/>
  <c r="F801" i="10"/>
  <c r="F800" i="10"/>
  <c r="F799" i="10"/>
  <c r="F798" i="10"/>
  <c r="F797" i="10"/>
  <c r="F796" i="10"/>
  <c r="F795" i="10"/>
  <c r="F794" i="10"/>
  <c r="F793" i="10"/>
  <c r="F787" i="10"/>
  <c r="F786" i="10"/>
  <c r="F785" i="10"/>
  <c r="F784" i="10"/>
  <c r="F783" i="10"/>
  <c r="F775" i="10"/>
  <c r="F774" i="10"/>
  <c r="F773" i="10"/>
  <c r="F772" i="10"/>
  <c r="F771" i="10"/>
  <c r="F770" i="10"/>
  <c r="F769" i="10"/>
  <c r="F763" i="10"/>
  <c r="F17" i="10"/>
  <c r="I17" i="10" s="1"/>
  <c r="F16" i="10"/>
  <c r="I16" i="10" s="1"/>
  <c r="M68" i="11" l="1"/>
  <c r="C1078" i="15" s="1"/>
  <c r="D66" i="11"/>
  <c r="E63" i="3"/>
  <c r="C990" i="15"/>
  <c r="D50" i="13"/>
  <c r="A50" i="13"/>
  <c r="A65" i="16"/>
  <c r="A52" i="13"/>
  <c r="A67" i="16"/>
  <c r="C1060" i="15"/>
  <c r="D1060" i="15"/>
  <c r="C1076" i="15"/>
  <c r="D1076" i="15" s="1"/>
  <c r="C1006" i="15"/>
  <c r="D1006" i="15" s="1"/>
  <c r="D990" i="15"/>
  <c r="C999" i="15"/>
  <c r="A65" i="3"/>
  <c r="A63" i="3"/>
  <c r="H925" i="10"/>
  <c r="H927" i="10"/>
  <c r="I68" i="11"/>
  <c r="I66" i="11"/>
  <c r="H1005" i="10"/>
  <c r="H65" i="16" s="1"/>
  <c r="J1015" i="10"/>
  <c r="I1005" i="10"/>
  <c r="J1005" i="10" s="1"/>
  <c r="C1008" i="15" s="1"/>
  <c r="D1008" i="15" s="1"/>
  <c r="F68" i="11"/>
  <c r="F71" i="11" s="1"/>
  <c r="H922" i="10"/>
  <c r="H924" i="10"/>
  <c r="H1008" i="10"/>
  <c r="C1065" i="15" s="1"/>
  <c r="H764" i="10"/>
  <c r="H765" i="10"/>
  <c r="H766" i="10"/>
  <c r="H767" i="10"/>
  <c r="H768" i="10"/>
  <c r="H782" i="10"/>
  <c r="H802" i="10"/>
  <c r="H923" i="10"/>
  <c r="H921" i="10"/>
  <c r="H926" i="10"/>
  <c r="H9" i="10"/>
  <c r="H10" i="10"/>
  <c r="H11" i="10"/>
  <c r="H12" i="10"/>
  <c r="H13" i="10"/>
  <c r="H14" i="10"/>
  <c r="H15" i="10"/>
  <c r="H16" i="10"/>
  <c r="H17" i="10"/>
  <c r="L20" i="2"/>
  <c r="C1105" i="15" s="1"/>
  <c r="D1105" i="15" s="1"/>
  <c r="H20" i="2"/>
  <c r="E60" i="11"/>
  <c r="H65" i="3" l="1"/>
  <c r="I65" i="3" s="1"/>
  <c r="H67" i="16"/>
  <c r="J65" i="16"/>
  <c r="H68" i="16"/>
  <c r="E67" i="2"/>
  <c r="M67" i="2" s="1"/>
  <c r="G63" i="3"/>
  <c r="V71" i="1" s="1"/>
  <c r="K66" i="11"/>
  <c r="A67" i="2"/>
  <c r="M63" i="3"/>
  <c r="A69" i="2"/>
  <c r="M65" i="3"/>
  <c r="D1078" i="15"/>
  <c r="H63" i="3"/>
  <c r="C995" i="15"/>
  <c r="S73" i="1"/>
  <c r="T73" i="1" s="1"/>
  <c r="I63" i="3"/>
  <c r="O66" i="11"/>
  <c r="Q66" i="11" s="1"/>
  <c r="C1009" i="15" s="1"/>
  <c r="S71" i="1"/>
  <c r="T71" i="1" s="1"/>
  <c r="H50" i="13"/>
  <c r="H52" i="13"/>
  <c r="I69" i="2"/>
  <c r="N69" i="2" s="1"/>
  <c r="G25" i="11"/>
  <c r="F21" i="13"/>
  <c r="A21" i="13"/>
  <c r="C21" i="13"/>
  <c r="K63" i="3" l="1"/>
  <c r="J63" i="3"/>
  <c r="C997" i="15"/>
  <c r="D997" i="15" s="1"/>
  <c r="D995" i="15"/>
  <c r="D1065" i="15"/>
  <c r="D1009" i="15"/>
  <c r="C1010" i="15"/>
  <c r="D1010" i="15" s="1"/>
  <c r="I67" i="2"/>
  <c r="N67" i="2" s="1"/>
  <c r="W71" i="1"/>
  <c r="X71" i="1" s="1"/>
  <c r="Z71" i="1" s="1"/>
  <c r="J50" i="13"/>
  <c r="L50" i="13" s="1"/>
  <c r="M20" i="3"/>
  <c r="C20" i="3"/>
  <c r="D25" i="11"/>
  <c r="I234" i="10"/>
  <c r="I235" i="10" s="1"/>
  <c r="G234" i="10"/>
  <c r="H234" i="10" s="1"/>
  <c r="H235" i="10" s="1"/>
  <c r="H24" i="16" s="1"/>
  <c r="I201" i="10"/>
  <c r="G201" i="10"/>
  <c r="H201" i="10" s="1"/>
  <c r="I200" i="10"/>
  <c r="G200" i="10"/>
  <c r="H200" i="10" s="1"/>
  <c r="I199" i="10"/>
  <c r="G199" i="10"/>
  <c r="H199" i="10" s="1"/>
  <c r="I198" i="10"/>
  <c r="G198" i="10"/>
  <c r="H198" i="10" s="1"/>
  <c r="I197" i="10"/>
  <c r="G197" i="10"/>
  <c r="H197" i="10" s="1"/>
  <c r="I196" i="10"/>
  <c r="G196" i="10"/>
  <c r="H196" i="10" s="1"/>
  <c r="I135" i="10"/>
  <c r="G135" i="10"/>
  <c r="H135" i="10" s="1"/>
  <c r="I134" i="10"/>
  <c r="G134" i="10"/>
  <c r="H134" i="10" s="1"/>
  <c r="I133" i="10"/>
  <c r="G133" i="10"/>
  <c r="H133" i="10" s="1"/>
  <c r="I132" i="10"/>
  <c r="G132" i="10"/>
  <c r="H132" i="10" s="1"/>
  <c r="I131" i="10"/>
  <c r="G131" i="10"/>
  <c r="H131" i="10" s="1"/>
  <c r="I130" i="10"/>
  <c r="G130" i="10"/>
  <c r="H130" i="10" s="1"/>
  <c r="I129" i="10"/>
  <c r="G129" i="10"/>
  <c r="H129" i="10" s="1"/>
  <c r="I128" i="10"/>
  <c r="G128" i="10"/>
  <c r="H128" i="10" s="1"/>
  <c r="I68" i="10"/>
  <c r="G68" i="10"/>
  <c r="H68" i="10" s="1"/>
  <c r="I67" i="10"/>
  <c r="G67" i="10"/>
  <c r="H67" i="10" s="1"/>
  <c r="F18" i="10"/>
  <c r="F8" i="10"/>
  <c r="I8" i="10" s="1"/>
  <c r="G8" i="10"/>
  <c r="I255" i="10"/>
  <c r="G255" i="10"/>
  <c r="H255" i="10" s="1"/>
  <c r="I254" i="10"/>
  <c r="G254" i="10"/>
  <c r="H254" i="10" s="1"/>
  <c r="I253" i="10"/>
  <c r="G253" i="10"/>
  <c r="H253" i="10" s="1"/>
  <c r="I252" i="10"/>
  <c r="G252" i="10"/>
  <c r="H252" i="10" s="1"/>
  <c r="I251" i="10"/>
  <c r="G251" i="10"/>
  <c r="H251" i="10" s="1"/>
  <c r="I250" i="10"/>
  <c r="G250" i="10"/>
  <c r="H250" i="10" s="1"/>
  <c r="I249" i="10"/>
  <c r="G249" i="10"/>
  <c r="H249" i="10" s="1"/>
  <c r="I248" i="10"/>
  <c r="G248" i="10"/>
  <c r="H248" i="10" s="1"/>
  <c r="I378" i="10"/>
  <c r="G378" i="10"/>
  <c r="H378" i="10" s="1"/>
  <c r="I377" i="10"/>
  <c r="G377" i="10"/>
  <c r="H377" i="10" s="1"/>
  <c r="I376" i="10"/>
  <c r="G376" i="10"/>
  <c r="H376" i="10" s="1"/>
  <c r="I375" i="10"/>
  <c r="G375" i="10"/>
  <c r="H375" i="10" s="1"/>
  <c r="I374" i="10"/>
  <c r="G374" i="10"/>
  <c r="H374" i="10" s="1"/>
  <c r="I373" i="10"/>
  <c r="G373" i="10"/>
  <c r="H373" i="10" s="1"/>
  <c r="I372" i="10"/>
  <c r="G372" i="10"/>
  <c r="H372" i="10" s="1"/>
  <c r="I371" i="10"/>
  <c r="G371" i="10"/>
  <c r="H371" i="10" s="1"/>
  <c r="I370" i="10"/>
  <c r="G370" i="10"/>
  <c r="H370" i="10" s="1"/>
  <c r="I369" i="10"/>
  <c r="G369" i="10"/>
  <c r="H369" i="10" s="1"/>
  <c r="I437" i="10"/>
  <c r="G437" i="10"/>
  <c r="H437" i="10" s="1"/>
  <c r="I436" i="10"/>
  <c r="G436" i="10"/>
  <c r="H436" i="10" s="1"/>
  <c r="I435" i="10"/>
  <c r="G435" i="10"/>
  <c r="H435" i="10" s="1"/>
  <c r="I434" i="10"/>
  <c r="G434" i="10"/>
  <c r="H434" i="10" s="1"/>
  <c r="I433" i="10"/>
  <c r="G433" i="10"/>
  <c r="H433" i="10" s="1"/>
  <c r="I432" i="10"/>
  <c r="G432" i="10"/>
  <c r="H432" i="10" s="1"/>
  <c r="I431" i="10"/>
  <c r="G431" i="10"/>
  <c r="H431" i="10" s="1"/>
  <c r="I485" i="10"/>
  <c r="H485" i="10"/>
  <c r="I484" i="10"/>
  <c r="H484" i="10"/>
  <c r="I483" i="10"/>
  <c r="H483" i="10"/>
  <c r="I482" i="10"/>
  <c r="H482" i="10"/>
  <c r="I481" i="10"/>
  <c r="H481" i="10"/>
  <c r="I480" i="10"/>
  <c r="H480" i="10"/>
  <c r="I479" i="10"/>
  <c r="H479" i="10"/>
  <c r="I478" i="10"/>
  <c r="H478" i="10"/>
  <c r="I477" i="10"/>
  <c r="H477" i="10"/>
  <c r="I476" i="10"/>
  <c r="H476" i="10"/>
  <c r="I559" i="10"/>
  <c r="G559" i="10"/>
  <c r="H559" i="10" s="1"/>
  <c r="I558" i="10"/>
  <c r="G558" i="10"/>
  <c r="H558" i="10" s="1"/>
  <c r="I557" i="10"/>
  <c r="G557" i="10"/>
  <c r="H557" i="10" s="1"/>
  <c r="I556" i="10"/>
  <c r="G556" i="10"/>
  <c r="H556" i="10" s="1"/>
  <c r="I554" i="10"/>
  <c r="G554" i="10"/>
  <c r="H554" i="10" s="1"/>
  <c r="I553" i="10"/>
  <c r="G553" i="10"/>
  <c r="H553" i="10" s="1"/>
  <c r="I552" i="10"/>
  <c r="G552" i="10"/>
  <c r="H552" i="10" s="1"/>
  <c r="I551" i="10"/>
  <c r="G551" i="10"/>
  <c r="H551" i="10" s="1"/>
  <c r="I550" i="10"/>
  <c r="G550" i="10"/>
  <c r="H550" i="10" s="1"/>
  <c r="I623" i="10"/>
  <c r="G623" i="10"/>
  <c r="H623" i="10" s="1"/>
  <c r="I621" i="10"/>
  <c r="G621" i="10"/>
  <c r="H621" i="10" s="1"/>
  <c r="I620" i="10"/>
  <c r="G620" i="10"/>
  <c r="H620" i="10" s="1"/>
  <c r="I619" i="10"/>
  <c r="G619" i="10"/>
  <c r="H619" i="10" s="1"/>
  <c r="I618" i="10"/>
  <c r="G618" i="10"/>
  <c r="H618" i="10" s="1"/>
  <c r="I617" i="10"/>
  <c r="G617" i="10"/>
  <c r="H617" i="10" s="1"/>
  <c r="I616" i="10"/>
  <c r="G616" i="10"/>
  <c r="H616" i="10" s="1"/>
  <c r="I615" i="10"/>
  <c r="G615" i="10"/>
  <c r="H615" i="10" s="1"/>
  <c r="I669" i="10"/>
  <c r="G669" i="10"/>
  <c r="H669" i="10" s="1"/>
  <c r="I668" i="10"/>
  <c r="G668" i="10"/>
  <c r="H668" i="10" s="1"/>
  <c r="I667" i="10"/>
  <c r="G667" i="10"/>
  <c r="H667" i="10" s="1"/>
  <c r="I666" i="10"/>
  <c r="G666" i="10"/>
  <c r="H666" i="10" s="1"/>
  <c r="I715" i="10"/>
  <c r="G715" i="10"/>
  <c r="H715" i="10" s="1"/>
  <c r="I714" i="10"/>
  <c r="G714" i="10"/>
  <c r="H714" i="10" s="1"/>
  <c r="I713" i="10"/>
  <c r="G713" i="10"/>
  <c r="H713" i="10" s="1"/>
  <c r="I712" i="10"/>
  <c r="G712" i="10"/>
  <c r="H712" i="10" s="1"/>
  <c r="I711" i="10"/>
  <c r="G711" i="10"/>
  <c r="H711" i="10" s="1"/>
  <c r="I760" i="10"/>
  <c r="G760" i="10"/>
  <c r="H760" i="10" s="1"/>
  <c r="I759" i="10"/>
  <c r="G759" i="10"/>
  <c r="H759" i="10" s="1"/>
  <c r="I755" i="10"/>
  <c r="G755" i="10"/>
  <c r="H755" i="10" s="1"/>
  <c r="G778" i="10"/>
  <c r="G777" i="10"/>
  <c r="G776" i="10"/>
  <c r="G775" i="10"/>
  <c r="G774" i="10"/>
  <c r="G773" i="10"/>
  <c r="G772" i="10"/>
  <c r="G771" i="10"/>
  <c r="G770" i="10"/>
  <c r="G769" i="10"/>
  <c r="G763" i="10"/>
  <c r="I778" i="10"/>
  <c r="I777" i="10"/>
  <c r="I776" i="10"/>
  <c r="I775" i="10"/>
  <c r="I774" i="10"/>
  <c r="I773" i="10"/>
  <c r="I772" i="10"/>
  <c r="I771" i="10"/>
  <c r="I770" i="10"/>
  <c r="I769" i="10"/>
  <c r="I763" i="10"/>
  <c r="G791" i="10"/>
  <c r="G790" i="10"/>
  <c r="G789" i="10"/>
  <c r="G788" i="10"/>
  <c r="G787" i="10"/>
  <c r="G786" i="10"/>
  <c r="G785" i="10"/>
  <c r="G784" i="10"/>
  <c r="G803" i="10"/>
  <c r="G801" i="10"/>
  <c r="G799" i="10"/>
  <c r="G798" i="10"/>
  <c r="G797" i="10"/>
  <c r="G796" i="10"/>
  <c r="G795" i="10"/>
  <c r="G794" i="10"/>
  <c r="I803" i="10"/>
  <c r="I801" i="10"/>
  <c r="I799" i="10"/>
  <c r="I798" i="10"/>
  <c r="H797" i="10"/>
  <c r="I796" i="10"/>
  <c r="I795" i="10"/>
  <c r="I794" i="10"/>
  <c r="I821" i="10"/>
  <c r="G821" i="10"/>
  <c r="H821" i="10" s="1"/>
  <c r="I820" i="10"/>
  <c r="G820" i="10"/>
  <c r="H820" i="10" s="1"/>
  <c r="I819" i="10"/>
  <c r="G819" i="10"/>
  <c r="H819" i="10" s="1"/>
  <c r="I818" i="10"/>
  <c r="G818" i="10"/>
  <c r="H818" i="10" s="1"/>
  <c r="I817" i="10"/>
  <c r="G817" i="10"/>
  <c r="H817" i="10" s="1"/>
  <c r="I816" i="10"/>
  <c r="G816" i="10"/>
  <c r="H816" i="10" s="1"/>
  <c r="I815" i="10"/>
  <c r="G815" i="10"/>
  <c r="H815" i="10" s="1"/>
  <c r="I854" i="10"/>
  <c r="G854" i="10"/>
  <c r="H854" i="10" s="1"/>
  <c r="I850" i="10"/>
  <c r="G850" i="10"/>
  <c r="H850" i="10" s="1"/>
  <c r="I849" i="10"/>
  <c r="G849" i="10"/>
  <c r="H849" i="10" s="1"/>
  <c r="I847" i="10"/>
  <c r="G847" i="10"/>
  <c r="H847" i="10" s="1"/>
  <c r="I846" i="10"/>
  <c r="G846" i="10"/>
  <c r="H846" i="10" s="1"/>
  <c r="I845" i="10"/>
  <c r="G845" i="10"/>
  <c r="H845" i="10" s="1"/>
  <c r="I844" i="10"/>
  <c r="G844" i="10"/>
  <c r="H844" i="10" s="1"/>
  <c r="I843" i="10"/>
  <c r="G843" i="10"/>
  <c r="H843" i="10" s="1"/>
  <c r="I842" i="10"/>
  <c r="G842" i="10"/>
  <c r="H842" i="10" s="1"/>
  <c r="I841" i="10"/>
  <c r="G841" i="10"/>
  <c r="H841" i="10" s="1"/>
  <c r="I840" i="10"/>
  <c r="G840" i="10"/>
  <c r="H840" i="10" s="1"/>
  <c r="D895" i="10"/>
  <c r="D52" i="11" s="1"/>
  <c r="I880" i="10"/>
  <c r="G880" i="10"/>
  <c r="H880" i="10" s="1"/>
  <c r="I879" i="10"/>
  <c r="G879" i="10"/>
  <c r="H879" i="10" s="1"/>
  <c r="I878" i="10"/>
  <c r="G878" i="10"/>
  <c r="H878" i="10" s="1"/>
  <c r="I877" i="10"/>
  <c r="G877" i="10"/>
  <c r="H877" i="10" s="1"/>
  <c r="I876" i="10"/>
  <c r="G876" i="10"/>
  <c r="H876" i="10" s="1"/>
  <c r="I875" i="10"/>
  <c r="G875" i="10"/>
  <c r="H875" i="10" s="1"/>
  <c r="I874" i="10"/>
  <c r="G874" i="10"/>
  <c r="H874" i="10" s="1"/>
  <c r="I873" i="10"/>
  <c r="G873" i="10"/>
  <c r="H873" i="10" s="1"/>
  <c r="I872" i="10"/>
  <c r="G872" i="10"/>
  <c r="H872" i="10" s="1"/>
  <c r="I871" i="10"/>
  <c r="G871" i="10"/>
  <c r="H871" i="10" s="1"/>
  <c r="I870" i="10"/>
  <c r="G870" i="10"/>
  <c r="H870" i="10" s="1"/>
  <c r="I869" i="10"/>
  <c r="G869" i="10"/>
  <c r="H869" i="10" s="1"/>
  <c r="I868" i="10"/>
  <c r="G868" i="10"/>
  <c r="H868" i="10" s="1"/>
  <c r="I867" i="10"/>
  <c r="G867" i="10"/>
  <c r="H867" i="10" s="1"/>
  <c r="I902" i="10"/>
  <c r="G902" i="10"/>
  <c r="H902" i="10" s="1"/>
  <c r="I901" i="10"/>
  <c r="H901" i="10"/>
  <c r="I900" i="10"/>
  <c r="H900" i="10"/>
  <c r="I899" i="10"/>
  <c r="H899" i="10"/>
  <c r="I898" i="10"/>
  <c r="G898" i="10"/>
  <c r="H898" i="10" s="1"/>
  <c r="I897" i="10"/>
  <c r="G897" i="10"/>
  <c r="H897" i="10" s="1"/>
  <c r="G920" i="10"/>
  <c r="G919" i="10"/>
  <c r="G918" i="10"/>
  <c r="G917" i="10"/>
  <c r="G916" i="10"/>
  <c r="G915" i="10"/>
  <c r="G914" i="10"/>
  <c r="G913" i="10"/>
  <c r="G912" i="10"/>
  <c r="G911" i="10"/>
  <c r="I920" i="10"/>
  <c r="I918" i="10"/>
  <c r="I916" i="10"/>
  <c r="I914" i="10"/>
  <c r="I912" i="10"/>
  <c r="D940" i="10"/>
  <c r="I939" i="10"/>
  <c r="G939" i="10"/>
  <c r="H939" i="10" s="1"/>
  <c r="I938" i="10"/>
  <c r="G938" i="10"/>
  <c r="H938" i="10" s="1"/>
  <c r="I936" i="10"/>
  <c r="G936" i="10"/>
  <c r="H936" i="10" s="1"/>
  <c r="I935" i="10"/>
  <c r="G935" i="10"/>
  <c r="H935" i="10" s="1"/>
  <c r="I934" i="10"/>
  <c r="G934" i="10"/>
  <c r="H934" i="10" s="1"/>
  <c r="I933" i="10"/>
  <c r="G933" i="10"/>
  <c r="H933" i="10" s="1"/>
  <c r="I973" i="10"/>
  <c r="G973" i="10"/>
  <c r="H973" i="10" s="1"/>
  <c r="I954" i="10"/>
  <c r="G954" i="10"/>
  <c r="H954" i="10" s="1"/>
  <c r="I953" i="10"/>
  <c r="G953" i="10"/>
  <c r="H953" i="10" s="1"/>
  <c r="I952" i="10"/>
  <c r="G952" i="10"/>
  <c r="H952" i="10" s="1"/>
  <c r="I951" i="10"/>
  <c r="G951" i="10"/>
  <c r="H951" i="10" s="1"/>
  <c r="I950" i="10"/>
  <c r="G950" i="10"/>
  <c r="H950" i="10" s="1"/>
  <c r="I949" i="10"/>
  <c r="G949" i="10"/>
  <c r="H949" i="10" s="1"/>
  <c r="I948" i="10"/>
  <c r="G948" i="10"/>
  <c r="H948" i="10" s="1"/>
  <c r="I947" i="10"/>
  <c r="G947" i="10"/>
  <c r="H947" i="10" s="1"/>
  <c r="I946" i="10"/>
  <c r="G946" i="10"/>
  <c r="H946" i="10" s="1"/>
  <c r="I945" i="10"/>
  <c r="G945" i="10"/>
  <c r="H945" i="10" s="1"/>
  <c r="I944" i="10"/>
  <c r="G944" i="10"/>
  <c r="H944" i="10" s="1"/>
  <c r="I943" i="10"/>
  <c r="G943" i="10"/>
  <c r="H943" i="10" s="1"/>
  <c r="G992" i="10"/>
  <c r="G991" i="10"/>
  <c r="G990" i="10"/>
  <c r="G989" i="10"/>
  <c r="G988" i="10"/>
  <c r="G987" i="10"/>
  <c r="I992" i="10"/>
  <c r="I990" i="10"/>
  <c r="F20" i="10"/>
  <c r="F19" i="10"/>
  <c r="F7" i="10"/>
  <c r="F6" i="10"/>
  <c r="Q44" i="2"/>
  <c r="Q43" i="2"/>
  <c r="Q42" i="2"/>
  <c r="I44" i="2"/>
  <c r="I43" i="2"/>
  <c r="I42" i="2"/>
  <c r="N50" i="13" l="1"/>
  <c r="H20" i="3"/>
  <c r="C1095" i="15"/>
  <c r="E20" i="3"/>
  <c r="E20" i="2" s="1"/>
  <c r="M20" i="2" s="1"/>
  <c r="C1090" i="15"/>
  <c r="E40" i="3"/>
  <c r="G40" i="3" s="1"/>
  <c r="C622" i="15"/>
  <c r="C638" i="15" s="1"/>
  <c r="D638" i="15" s="1"/>
  <c r="P67" i="2"/>
  <c r="Q67" i="2" s="1"/>
  <c r="J235" i="10"/>
  <c r="M25" i="11" s="1"/>
  <c r="I25" i="11"/>
  <c r="D21" i="13"/>
  <c r="H21" i="13" s="1"/>
  <c r="H988" i="10"/>
  <c r="H8" i="10"/>
  <c r="H784" i="10"/>
  <c r="H786" i="10"/>
  <c r="H785" i="10"/>
  <c r="H787" i="10"/>
  <c r="H763" i="10"/>
  <c r="H769" i="10"/>
  <c r="H770" i="10"/>
  <c r="H771" i="10"/>
  <c r="H772" i="10"/>
  <c r="H773" i="10"/>
  <c r="H774" i="10"/>
  <c r="H775" i="10"/>
  <c r="H776" i="10"/>
  <c r="H777" i="10"/>
  <c r="H778" i="10"/>
  <c r="H788" i="10"/>
  <c r="H789" i="10"/>
  <c r="H790" i="10"/>
  <c r="H791" i="10"/>
  <c r="I791" i="10"/>
  <c r="I784" i="10"/>
  <c r="I786" i="10"/>
  <c r="I788" i="10"/>
  <c r="I790" i="10"/>
  <c r="I785" i="10"/>
  <c r="I787" i="10"/>
  <c r="I789" i="10"/>
  <c r="H796" i="10"/>
  <c r="H795" i="10"/>
  <c r="I797" i="10"/>
  <c r="H799" i="10"/>
  <c r="H801" i="10"/>
  <c r="H803" i="10"/>
  <c r="H794" i="10"/>
  <c r="H798" i="10"/>
  <c r="I911" i="10"/>
  <c r="H911" i="10"/>
  <c r="H913" i="10"/>
  <c r="I913" i="10"/>
  <c r="I915" i="10"/>
  <c r="H915" i="10"/>
  <c r="H917" i="10"/>
  <c r="I917" i="10"/>
  <c r="I919" i="10"/>
  <c r="H919" i="10"/>
  <c r="H912" i="10"/>
  <c r="H916" i="10"/>
  <c r="H920" i="10"/>
  <c r="H914" i="10"/>
  <c r="H918" i="10"/>
  <c r="H987" i="10"/>
  <c r="I987" i="10"/>
  <c r="I989" i="10"/>
  <c r="H989" i="10"/>
  <c r="I991" i="10"/>
  <c r="H991" i="10"/>
  <c r="I988" i="10"/>
  <c r="H990" i="10"/>
  <c r="H992" i="10"/>
  <c r="P60" i="11"/>
  <c r="L60" i="11"/>
  <c r="B49" i="11"/>
  <c r="B48" i="16" s="1"/>
  <c r="B48" i="11"/>
  <c r="B47" i="16" s="1"/>
  <c r="B47" i="11"/>
  <c r="B46" i="16" s="1"/>
  <c r="B46" i="11"/>
  <c r="B45" i="16" s="1"/>
  <c r="B59" i="11"/>
  <c r="B58" i="16" s="1"/>
  <c r="B58" i="11"/>
  <c r="B57" i="16" s="1"/>
  <c r="B57" i="11"/>
  <c r="B56" i="16" s="1"/>
  <c r="B56" i="11"/>
  <c r="B55" i="16" s="1"/>
  <c r="B55" i="11"/>
  <c r="B54" i="16" s="1"/>
  <c r="B54" i="11"/>
  <c r="B53" i="16" s="1"/>
  <c r="B35" i="11"/>
  <c r="B34" i="16" s="1"/>
  <c r="B34" i="11"/>
  <c r="B33" i="16" s="1"/>
  <c r="B33" i="11"/>
  <c r="B32" i="16" s="1"/>
  <c r="B32" i="11"/>
  <c r="B31" i="16" s="1"/>
  <c r="B31" i="11"/>
  <c r="B30" i="16" s="1"/>
  <c r="B30" i="11"/>
  <c r="B29" i="16" s="1"/>
  <c r="B29" i="11"/>
  <c r="B28" i="16" s="1"/>
  <c r="B28" i="11"/>
  <c r="B27" i="16" s="1"/>
  <c r="B27" i="11"/>
  <c r="B26" i="16" s="1"/>
  <c r="B26" i="11"/>
  <c r="B25" i="16" s="1"/>
  <c r="B24" i="11"/>
  <c r="B23" i="16" s="1"/>
  <c r="B23" i="11"/>
  <c r="B22" i="16" s="1"/>
  <c r="B22" i="11"/>
  <c r="B21" i="16" s="1"/>
  <c r="B21" i="11"/>
  <c r="B20" i="16" s="1"/>
  <c r="R67" i="2" l="1"/>
  <c r="I20" i="3"/>
  <c r="I20" i="2"/>
  <c r="D1095" i="15"/>
  <c r="C240" i="15"/>
  <c r="D240" i="15" s="1"/>
  <c r="C1108" i="15"/>
  <c r="D1108" i="15" s="1"/>
  <c r="D622" i="15"/>
  <c r="C631" i="15"/>
  <c r="D1090" i="15"/>
  <c r="C1106" i="15"/>
  <c r="D1106" i="15" s="1"/>
  <c r="N20" i="2"/>
  <c r="S20" i="1"/>
  <c r="T20" i="1" s="1"/>
  <c r="F45" i="13"/>
  <c r="F46" i="13"/>
  <c r="F47" i="13"/>
  <c r="F44" i="13"/>
  <c r="F43" i="13"/>
  <c r="F42" i="13"/>
  <c r="F37" i="13"/>
  <c r="F36" i="13"/>
  <c r="F35" i="13"/>
  <c r="F34" i="13"/>
  <c r="F41" i="13"/>
  <c r="F40" i="13"/>
  <c r="F39" i="13"/>
  <c r="F38" i="13"/>
  <c r="F31" i="13"/>
  <c r="F30" i="13"/>
  <c r="F29" i="13"/>
  <c r="F28" i="13"/>
  <c r="F27" i="13"/>
  <c r="F26" i="13"/>
  <c r="F25" i="13"/>
  <c r="F24" i="13"/>
  <c r="F23" i="13"/>
  <c r="F22" i="13"/>
  <c r="F20" i="13"/>
  <c r="F19" i="13"/>
  <c r="F18" i="13"/>
  <c r="F17" i="13"/>
  <c r="F14" i="13"/>
  <c r="F13" i="13"/>
  <c r="A12" i="13"/>
  <c r="C13" i="13"/>
  <c r="C14" i="13"/>
  <c r="A16" i="13"/>
  <c r="C17" i="13"/>
  <c r="C18" i="13"/>
  <c r="C19" i="13"/>
  <c r="C20" i="13"/>
  <c r="C22" i="13"/>
  <c r="C23" i="13"/>
  <c r="C24" i="13"/>
  <c r="C25" i="13"/>
  <c r="C26" i="13"/>
  <c r="C27" i="13"/>
  <c r="C28" i="13"/>
  <c r="C29" i="13"/>
  <c r="C30" i="13"/>
  <c r="C31" i="13"/>
  <c r="A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X45" i="1" l="1"/>
  <c r="Z45" i="1" s="1"/>
  <c r="U75" i="3"/>
  <c r="U74" i="3"/>
  <c r="J56" i="3"/>
  <c r="I30" i="3"/>
  <c r="J30" i="3"/>
  <c r="K30" i="3"/>
  <c r="G16" i="11"/>
  <c r="G15" i="11"/>
  <c r="A15" i="11"/>
  <c r="A16" i="11"/>
  <c r="D1002" i="10"/>
  <c r="D59" i="11" s="1"/>
  <c r="G33" i="11"/>
  <c r="G32" i="11"/>
  <c r="G31" i="11"/>
  <c r="G30" i="11"/>
  <c r="G29" i="11"/>
  <c r="G28" i="11"/>
  <c r="G27" i="11"/>
  <c r="G26" i="11"/>
  <c r="G24" i="11"/>
  <c r="G23" i="11"/>
  <c r="G22" i="11"/>
  <c r="G21" i="11"/>
  <c r="G34" i="11"/>
  <c r="G35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A57" i="11"/>
  <c r="A58" i="11"/>
  <c r="A59" i="11"/>
  <c r="A54" i="11"/>
  <c r="A55" i="11"/>
  <c r="A56" i="11"/>
  <c r="A50" i="11"/>
  <c r="A51" i="11"/>
  <c r="A52" i="11"/>
  <c r="A53" i="11"/>
  <c r="A46" i="11"/>
  <c r="A47" i="11"/>
  <c r="A48" i="11"/>
  <c r="A49" i="11"/>
  <c r="A21" i="11"/>
  <c r="A22" i="11"/>
  <c r="A23" i="11"/>
  <c r="A24" i="11"/>
  <c r="A26" i="11"/>
  <c r="A27" i="11"/>
  <c r="A28" i="11"/>
  <c r="A29" i="11"/>
  <c r="A30" i="11"/>
  <c r="A31" i="11"/>
  <c r="A32" i="11"/>
  <c r="A33" i="11"/>
  <c r="A34" i="11"/>
  <c r="A35" i="11"/>
  <c r="D986" i="10"/>
  <c r="D57" i="11"/>
  <c r="D931" i="10"/>
  <c r="D55" i="11" s="1"/>
  <c r="D910" i="10"/>
  <c r="D54" i="11" s="1"/>
  <c r="D908" i="10"/>
  <c r="D40" i="13"/>
  <c r="H40" i="13" s="1"/>
  <c r="D855" i="10"/>
  <c r="D835" i="10"/>
  <c r="D812" i="10"/>
  <c r="D48" i="11"/>
  <c r="D779" i="10"/>
  <c r="D47" i="11" s="1"/>
  <c r="D761" i="10"/>
  <c r="D35" i="11"/>
  <c r="D709" i="10"/>
  <c r="D34" i="11" s="1"/>
  <c r="D661" i="10"/>
  <c r="D33" i="11" s="1"/>
  <c r="D596" i="10"/>
  <c r="D32" i="11" s="1"/>
  <c r="D544" i="10"/>
  <c r="D31" i="11" s="1"/>
  <c r="D497" i="10"/>
  <c r="D30" i="11" s="1"/>
  <c r="D472" i="10"/>
  <c r="D29" i="11" s="1"/>
  <c r="D428" i="10"/>
  <c r="D26" i="11"/>
  <c r="D24" i="11"/>
  <c r="D22" i="11"/>
  <c r="D66" i="10"/>
  <c r="D21" i="11" s="1"/>
  <c r="D28" i="10"/>
  <c r="D16" i="11" s="1"/>
  <c r="D5" i="10"/>
  <c r="D15" i="11" s="1"/>
  <c r="G1001" i="10"/>
  <c r="H1001" i="10" s="1"/>
  <c r="G1000" i="10"/>
  <c r="H1000" i="10" s="1"/>
  <c r="G999" i="10"/>
  <c r="H999" i="10" s="1"/>
  <c r="G998" i="10"/>
  <c r="H998" i="10" s="1"/>
  <c r="G997" i="10"/>
  <c r="H997" i="10" s="1"/>
  <c r="G996" i="10"/>
  <c r="H996" i="10" s="1"/>
  <c r="G995" i="10"/>
  <c r="H995" i="10" s="1"/>
  <c r="G994" i="10"/>
  <c r="H994" i="10" s="1"/>
  <c r="G993" i="10"/>
  <c r="H993" i="10" s="1"/>
  <c r="G985" i="10"/>
  <c r="H985" i="10" s="1"/>
  <c r="G984" i="10"/>
  <c r="H984" i="10" s="1"/>
  <c r="G983" i="10"/>
  <c r="H983" i="10" s="1"/>
  <c r="G982" i="10"/>
  <c r="H982" i="10" s="1"/>
  <c r="G981" i="10"/>
  <c r="H981" i="10" s="1"/>
  <c r="G980" i="10"/>
  <c r="H980" i="10" s="1"/>
  <c r="G979" i="10"/>
  <c r="H979" i="10" s="1"/>
  <c r="G978" i="10"/>
  <c r="H978" i="10" s="1"/>
  <c r="G977" i="10"/>
  <c r="H977" i="10" s="1"/>
  <c r="G976" i="10"/>
  <c r="H976" i="10" s="1"/>
  <c r="G974" i="10"/>
  <c r="H974" i="10" s="1"/>
  <c r="G972" i="10"/>
  <c r="H972" i="10" s="1"/>
  <c r="G971" i="10"/>
  <c r="H971" i="10" s="1"/>
  <c r="G970" i="10"/>
  <c r="H970" i="10" s="1"/>
  <c r="G969" i="10"/>
  <c r="H969" i="10" s="1"/>
  <c r="G968" i="10"/>
  <c r="H968" i="10" s="1"/>
  <c r="G967" i="10"/>
  <c r="H967" i="10" s="1"/>
  <c r="G966" i="10"/>
  <c r="H966" i="10" s="1"/>
  <c r="G965" i="10"/>
  <c r="H965" i="10" s="1"/>
  <c r="G964" i="10"/>
  <c r="H964" i="10" s="1"/>
  <c r="G963" i="10"/>
  <c r="H963" i="10" s="1"/>
  <c r="G962" i="10"/>
  <c r="H962" i="10" s="1"/>
  <c r="G961" i="10"/>
  <c r="H961" i="10" s="1"/>
  <c r="G960" i="10"/>
  <c r="H960" i="10" s="1"/>
  <c r="G959" i="10"/>
  <c r="H959" i="10" s="1"/>
  <c r="G958" i="10"/>
  <c r="H958" i="10" s="1"/>
  <c r="G957" i="10"/>
  <c r="H957" i="10" s="1"/>
  <c r="G956" i="10"/>
  <c r="H956" i="10" s="1"/>
  <c r="G955" i="10"/>
  <c r="H955" i="10" s="1"/>
  <c r="G941" i="10"/>
  <c r="H941" i="10" s="1"/>
  <c r="G932" i="10"/>
  <c r="H932" i="10" s="1"/>
  <c r="G909" i="10"/>
  <c r="H909" i="10" s="1"/>
  <c r="G907" i="10"/>
  <c r="H907" i="10" s="1"/>
  <c r="G896" i="10"/>
  <c r="H896" i="10" s="1"/>
  <c r="G894" i="10"/>
  <c r="H894" i="10" s="1"/>
  <c r="G893" i="10"/>
  <c r="H893" i="10" s="1"/>
  <c r="G886" i="10"/>
  <c r="H886" i="10" s="1"/>
  <c r="G885" i="10"/>
  <c r="H885" i="10" s="1"/>
  <c r="G884" i="10"/>
  <c r="H884" i="10" s="1"/>
  <c r="G883" i="10"/>
  <c r="H883" i="10" s="1"/>
  <c r="G882" i="10"/>
  <c r="H882" i="10" s="1"/>
  <c r="G881" i="10"/>
  <c r="H881" i="10" s="1"/>
  <c r="G866" i="10"/>
  <c r="H866" i="10" s="1"/>
  <c r="G865" i="10"/>
  <c r="H865" i="10" s="1"/>
  <c r="G864" i="10"/>
  <c r="H864" i="10" s="1"/>
  <c r="G863" i="10"/>
  <c r="H863" i="10" s="1"/>
  <c r="G862" i="10"/>
  <c r="H862" i="10" s="1"/>
  <c r="G861" i="10"/>
  <c r="H861" i="10" s="1"/>
  <c r="G860" i="10"/>
  <c r="H860" i="10" s="1"/>
  <c r="G859" i="10"/>
  <c r="H859" i="10" s="1"/>
  <c r="G858" i="10"/>
  <c r="H858" i="10" s="1"/>
  <c r="G857" i="10"/>
  <c r="H857" i="10" s="1"/>
  <c r="G856" i="10"/>
  <c r="H856" i="10" s="1"/>
  <c r="G848" i="10"/>
  <c r="H848" i="10" s="1"/>
  <c r="G839" i="10"/>
  <c r="H839" i="10" s="1"/>
  <c r="G838" i="10"/>
  <c r="H838" i="10" s="1"/>
  <c r="G837" i="10"/>
  <c r="H837" i="10" s="1"/>
  <c r="G836" i="10"/>
  <c r="H836" i="10" s="1"/>
  <c r="G827" i="10"/>
  <c r="H827" i="10" s="1"/>
  <c r="G826" i="10"/>
  <c r="H826" i="10" s="1"/>
  <c r="G825" i="10"/>
  <c r="H825" i="10" s="1"/>
  <c r="G824" i="10"/>
  <c r="H824" i="10" s="1"/>
  <c r="G823" i="10"/>
  <c r="H823" i="10" s="1"/>
  <c r="G822" i="10"/>
  <c r="H822" i="10" s="1"/>
  <c r="G814" i="10"/>
  <c r="H814" i="10" s="1"/>
  <c r="G813" i="10"/>
  <c r="H813" i="10" s="1"/>
  <c r="G811" i="10"/>
  <c r="H811" i="10" s="1"/>
  <c r="G810" i="10"/>
  <c r="H810" i="10" s="1"/>
  <c r="G809" i="10"/>
  <c r="H809" i="10" s="1"/>
  <c r="G808" i="10"/>
  <c r="H808" i="10" s="1"/>
  <c r="G807" i="10"/>
  <c r="H807" i="10" s="1"/>
  <c r="G806" i="10"/>
  <c r="H806" i="10" s="1"/>
  <c r="G805" i="10"/>
  <c r="H805" i="10" s="1"/>
  <c r="G804" i="10"/>
  <c r="H804" i="10" s="1"/>
  <c r="G800" i="10"/>
  <c r="H800" i="10" s="1"/>
  <c r="G793" i="10"/>
  <c r="H793" i="10" s="1"/>
  <c r="G783" i="10"/>
  <c r="H783" i="10" s="1"/>
  <c r="G754" i="10"/>
  <c r="H754" i="10" s="1"/>
  <c r="G718" i="10"/>
  <c r="H718" i="10" s="1"/>
  <c r="G717" i="10"/>
  <c r="H717" i="10" s="1"/>
  <c r="G716" i="10"/>
  <c r="H716" i="10" s="1"/>
  <c r="G710" i="10"/>
  <c r="H710" i="10" s="1"/>
  <c r="G708" i="10"/>
  <c r="H708" i="10" s="1"/>
  <c r="G707" i="10"/>
  <c r="H707" i="10" s="1"/>
  <c r="G706" i="10"/>
  <c r="H706" i="10" s="1"/>
  <c r="G705" i="10"/>
  <c r="H705" i="10" s="1"/>
  <c r="G704" i="10"/>
  <c r="H704" i="10" s="1"/>
  <c r="G703" i="10"/>
  <c r="H703" i="10" s="1"/>
  <c r="G702" i="10"/>
  <c r="H702" i="10" s="1"/>
  <c r="G701" i="10"/>
  <c r="H701" i="10" s="1"/>
  <c r="G700" i="10"/>
  <c r="H700" i="10" s="1"/>
  <c r="G699" i="10"/>
  <c r="H699" i="10" s="1"/>
  <c r="G698" i="10"/>
  <c r="H698" i="10" s="1"/>
  <c r="G697" i="10"/>
  <c r="H697" i="10" s="1"/>
  <c r="G696" i="10"/>
  <c r="H696" i="10" s="1"/>
  <c r="G695" i="10"/>
  <c r="H695" i="10" s="1"/>
  <c r="G694" i="10"/>
  <c r="H694" i="10" s="1"/>
  <c r="G693" i="10"/>
  <c r="H693" i="10" s="1"/>
  <c r="G692" i="10"/>
  <c r="H692" i="10" s="1"/>
  <c r="G691" i="10"/>
  <c r="H691" i="10" s="1"/>
  <c r="G690" i="10"/>
  <c r="H690" i="10" s="1"/>
  <c r="G689" i="10"/>
  <c r="H689" i="10" s="1"/>
  <c r="G688" i="10"/>
  <c r="H688" i="10" s="1"/>
  <c r="G687" i="10"/>
  <c r="H687" i="10" s="1"/>
  <c r="G686" i="10"/>
  <c r="H686" i="10" s="1"/>
  <c r="G685" i="10"/>
  <c r="H685" i="10" s="1"/>
  <c r="G684" i="10"/>
  <c r="H684" i="10" s="1"/>
  <c r="G683" i="10"/>
  <c r="H683" i="10" s="1"/>
  <c r="G682" i="10"/>
  <c r="H682" i="10" s="1"/>
  <c r="G681" i="10"/>
  <c r="H681" i="10" s="1"/>
  <c r="G680" i="10"/>
  <c r="H680" i="10" s="1"/>
  <c r="G679" i="10"/>
  <c r="H679" i="10" s="1"/>
  <c r="G678" i="10"/>
  <c r="H678" i="10" s="1"/>
  <c r="G677" i="10"/>
  <c r="H677" i="10" s="1"/>
  <c r="G676" i="10"/>
  <c r="H676" i="10" s="1"/>
  <c r="G675" i="10"/>
  <c r="H675" i="10" s="1"/>
  <c r="G674" i="10"/>
  <c r="H674" i="10" s="1"/>
  <c r="G673" i="10"/>
  <c r="H673" i="10" s="1"/>
  <c r="G672" i="10"/>
  <c r="H672" i="10" s="1"/>
  <c r="G671" i="10"/>
  <c r="H671" i="10" s="1"/>
  <c r="G670" i="10"/>
  <c r="H670" i="10" s="1"/>
  <c r="G665" i="10"/>
  <c r="H665" i="10" s="1"/>
  <c r="G664" i="10"/>
  <c r="H664" i="10" s="1"/>
  <c r="G662" i="10"/>
  <c r="H662" i="10" s="1"/>
  <c r="G659" i="10"/>
  <c r="H659" i="10" s="1"/>
  <c r="G658" i="10"/>
  <c r="H658" i="10" s="1"/>
  <c r="G657" i="10"/>
  <c r="H657" i="10" s="1"/>
  <c r="G656" i="10"/>
  <c r="H656" i="10" s="1"/>
  <c r="G655" i="10"/>
  <c r="H655" i="10" s="1"/>
  <c r="G654" i="10"/>
  <c r="H654" i="10" s="1"/>
  <c r="G653" i="10"/>
  <c r="H653" i="10" s="1"/>
  <c r="G652" i="10"/>
  <c r="H652" i="10" s="1"/>
  <c r="G651" i="10"/>
  <c r="H651" i="10" s="1"/>
  <c r="G650" i="10"/>
  <c r="H650" i="10" s="1"/>
  <c r="G649" i="10"/>
  <c r="H649" i="10" s="1"/>
  <c r="G648" i="10"/>
  <c r="H648" i="10" s="1"/>
  <c r="G647" i="10"/>
  <c r="H647" i="10" s="1"/>
  <c r="G646" i="10"/>
  <c r="H646" i="10" s="1"/>
  <c r="G645" i="10"/>
  <c r="H645" i="10" s="1"/>
  <c r="G644" i="10"/>
  <c r="H644" i="10" s="1"/>
  <c r="G643" i="10"/>
  <c r="H643" i="10" s="1"/>
  <c r="G642" i="10"/>
  <c r="H642" i="10" s="1"/>
  <c r="G641" i="10"/>
  <c r="H641" i="10" s="1"/>
  <c r="G640" i="10"/>
  <c r="H640" i="10" s="1"/>
  <c r="G639" i="10"/>
  <c r="H639" i="10" s="1"/>
  <c r="G638" i="10"/>
  <c r="H638" i="10" s="1"/>
  <c r="G637" i="10"/>
  <c r="H637" i="10" s="1"/>
  <c r="G636" i="10"/>
  <c r="H636" i="10" s="1"/>
  <c r="G635" i="10"/>
  <c r="H635" i="10" s="1"/>
  <c r="G634" i="10"/>
  <c r="H634" i="10" s="1"/>
  <c r="G633" i="10"/>
  <c r="H633" i="10" s="1"/>
  <c r="G632" i="10"/>
  <c r="H632" i="10" s="1"/>
  <c r="G631" i="10"/>
  <c r="H631" i="10" s="1"/>
  <c r="G630" i="10"/>
  <c r="H630" i="10" s="1"/>
  <c r="G629" i="10"/>
  <c r="H629" i="10" s="1"/>
  <c r="G628" i="10"/>
  <c r="H628" i="10" s="1"/>
  <c r="G627" i="10"/>
  <c r="H627" i="10" s="1"/>
  <c r="G626" i="10"/>
  <c r="H626" i="10" s="1"/>
  <c r="G625" i="10"/>
  <c r="H625" i="10" s="1"/>
  <c r="G624" i="10"/>
  <c r="H624" i="10" s="1"/>
  <c r="G622" i="10"/>
  <c r="H622" i="10" s="1"/>
  <c r="G614" i="10"/>
  <c r="H614" i="10" s="1"/>
  <c r="G613" i="10"/>
  <c r="H613" i="10" s="1"/>
  <c r="G612" i="10"/>
  <c r="H612" i="10" s="1"/>
  <c r="G611" i="10"/>
  <c r="H611" i="10" s="1"/>
  <c r="G610" i="10"/>
  <c r="H610" i="10" s="1"/>
  <c r="G609" i="10"/>
  <c r="H609" i="10" s="1"/>
  <c r="G608" i="10"/>
  <c r="H608" i="10" s="1"/>
  <c r="G607" i="10"/>
  <c r="H607" i="10" s="1"/>
  <c r="G606" i="10"/>
  <c r="H606" i="10" s="1"/>
  <c r="G605" i="10"/>
  <c r="H605" i="10" s="1"/>
  <c r="G604" i="10"/>
  <c r="H604" i="10" s="1"/>
  <c r="G603" i="10"/>
  <c r="H603" i="10" s="1"/>
  <c r="G602" i="10"/>
  <c r="H602" i="10" s="1"/>
  <c r="G601" i="10"/>
  <c r="H601" i="10" s="1"/>
  <c r="G600" i="10"/>
  <c r="H600" i="10" s="1"/>
  <c r="G599" i="10"/>
  <c r="H599" i="10" s="1"/>
  <c r="G598" i="10"/>
  <c r="H598" i="10" s="1"/>
  <c r="G597" i="10"/>
  <c r="H597" i="10" s="1"/>
  <c r="G595" i="10"/>
  <c r="H595" i="10" s="1"/>
  <c r="G594" i="10"/>
  <c r="H594" i="10" s="1"/>
  <c r="G593" i="10"/>
  <c r="H593" i="10" s="1"/>
  <c r="G592" i="10"/>
  <c r="H592" i="10" s="1"/>
  <c r="G591" i="10"/>
  <c r="H591" i="10" s="1"/>
  <c r="G590" i="10"/>
  <c r="H590" i="10" s="1"/>
  <c r="G589" i="10"/>
  <c r="H589" i="10" s="1"/>
  <c r="G588" i="10"/>
  <c r="H588" i="10" s="1"/>
  <c r="G587" i="10"/>
  <c r="H587" i="10" s="1"/>
  <c r="G586" i="10"/>
  <c r="H586" i="10" s="1"/>
  <c r="G585" i="10"/>
  <c r="H585" i="10" s="1"/>
  <c r="G584" i="10"/>
  <c r="H584" i="10" s="1"/>
  <c r="G583" i="10"/>
  <c r="H583" i="10" s="1"/>
  <c r="G582" i="10"/>
  <c r="H582" i="10" s="1"/>
  <c r="G581" i="10"/>
  <c r="H581" i="10" s="1"/>
  <c r="G580" i="10"/>
  <c r="H580" i="10" s="1"/>
  <c r="G579" i="10"/>
  <c r="H579" i="10" s="1"/>
  <c r="G578" i="10"/>
  <c r="H578" i="10" s="1"/>
  <c r="G577" i="10"/>
  <c r="H577" i="10" s="1"/>
  <c r="G576" i="10"/>
  <c r="H576" i="10" s="1"/>
  <c r="G575" i="10"/>
  <c r="H575" i="10" s="1"/>
  <c r="G574" i="10"/>
  <c r="H574" i="10" s="1"/>
  <c r="G573" i="10"/>
  <c r="H573" i="10" s="1"/>
  <c r="G572" i="10"/>
  <c r="H572" i="10" s="1"/>
  <c r="G571" i="10"/>
  <c r="H571" i="10" s="1"/>
  <c r="G570" i="10"/>
  <c r="H570" i="10" s="1"/>
  <c r="G569" i="10"/>
  <c r="H569" i="10" s="1"/>
  <c r="G568" i="10"/>
  <c r="H568" i="10" s="1"/>
  <c r="G567" i="10"/>
  <c r="H567" i="10" s="1"/>
  <c r="G566" i="10"/>
  <c r="H566" i="10" s="1"/>
  <c r="G565" i="10"/>
  <c r="H565" i="10" s="1"/>
  <c r="G564" i="10"/>
  <c r="H564" i="10" s="1"/>
  <c r="G563" i="10"/>
  <c r="H563" i="10" s="1"/>
  <c r="G562" i="10"/>
  <c r="H562" i="10" s="1"/>
  <c r="G561" i="10"/>
  <c r="H561" i="10" s="1"/>
  <c r="G560" i="10"/>
  <c r="H560" i="10" s="1"/>
  <c r="G555" i="10"/>
  <c r="H555" i="10" s="1"/>
  <c r="G549" i="10"/>
  <c r="H549" i="10" s="1"/>
  <c r="G548" i="10"/>
  <c r="H548" i="10" s="1"/>
  <c r="G547" i="10"/>
  <c r="H547" i="10" s="1"/>
  <c r="G546" i="10"/>
  <c r="H546" i="10" s="1"/>
  <c r="G545" i="10"/>
  <c r="H545" i="10" s="1"/>
  <c r="G543" i="10"/>
  <c r="H543" i="10" s="1"/>
  <c r="G542" i="10"/>
  <c r="H542" i="10" s="1"/>
  <c r="G536" i="10"/>
  <c r="H536" i="10" s="1"/>
  <c r="G535" i="10"/>
  <c r="H535" i="10" s="1"/>
  <c r="G534" i="10"/>
  <c r="H534" i="10" s="1"/>
  <c r="G533" i="10"/>
  <c r="H533" i="10" s="1"/>
  <c r="G532" i="10"/>
  <c r="H532" i="10" s="1"/>
  <c r="G531" i="10"/>
  <c r="H531" i="10" s="1"/>
  <c r="G530" i="10"/>
  <c r="H530" i="10" s="1"/>
  <c r="G529" i="10"/>
  <c r="H529" i="10" s="1"/>
  <c r="G528" i="10"/>
  <c r="H528" i="10" s="1"/>
  <c r="G527" i="10"/>
  <c r="H527" i="10" s="1"/>
  <c r="G526" i="10"/>
  <c r="H526" i="10" s="1"/>
  <c r="G525" i="10"/>
  <c r="H525" i="10" s="1"/>
  <c r="G524" i="10"/>
  <c r="H524" i="10" s="1"/>
  <c r="G523" i="10"/>
  <c r="H523" i="10" s="1"/>
  <c r="G522" i="10"/>
  <c r="H522" i="10" s="1"/>
  <c r="G521" i="10"/>
  <c r="H521" i="10" s="1"/>
  <c r="G520" i="10"/>
  <c r="H520" i="10" s="1"/>
  <c r="G519" i="10"/>
  <c r="H519" i="10" s="1"/>
  <c r="G518" i="10"/>
  <c r="H518" i="10" s="1"/>
  <c r="G517" i="10"/>
  <c r="H517" i="10" s="1"/>
  <c r="G516" i="10"/>
  <c r="H516" i="10" s="1"/>
  <c r="G515" i="10"/>
  <c r="H515" i="10" s="1"/>
  <c r="G514" i="10"/>
  <c r="H514" i="10" s="1"/>
  <c r="G513" i="10"/>
  <c r="H513" i="10" s="1"/>
  <c r="G512" i="10"/>
  <c r="H512" i="10" s="1"/>
  <c r="G511" i="10"/>
  <c r="H511" i="10" s="1"/>
  <c r="G510" i="10"/>
  <c r="H510" i="10" s="1"/>
  <c r="G509" i="10"/>
  <c r="H509" i="10" s="1"/>
  <c r="G508" i="10"/>
  <c r="H508" i="10" s="1"/>
  <c r="G507" i="10"/>
  <c r="H507" i="10" s="1"/>
  <c r="G506" i="10"/>
  <c r="H506" i="10" s="1"/>
  <c r="G505" i="10"/>
  <c r="H505" i="10" s="1"/>
  <c r="G504" i="10"/>
  <c r="H504" i="10" s="1"/>
  <c r="G503" i="10"/>
  <c r="H503" i="10" s="1"/>
  <c r="G502" i="10"/>
  <c r="H502" i="10" s="1"/>
  <c r="G501" i="10"/>
  <c r="H501" i="10" s="1"/>
  <c r="G500" i="10"/>
  <c r="H500" i="10" s="1"/>
  <c r="G499" i="10"/>
  <c r="H499" i="10" s="1"/>
  <c r="G498" i="10"/>
  <c r="H498" i="10" s="1"/>
  <c r="H491" i="10"/>
  <c r="H490" i="10"/>
  <c r="H489" i="10"/>
  <c r="H488" i="10"/>
  <c r="H487" i="10"/>
  <c r="H486" i="10"/>
  <c r="H475" i="10"/>
  <c r="H474" i="10"/>
  <c r="H473" i="10"/>
  <c r="G469" i="10"/>
  <c r="H469" i="10" s="1"/>
  <c r="G468" i="10"/>
  <c r="H468" i="10" s="1"/>
  <c r="G467" i="10"/>
  <c r="H467" i="10" s="1"/>
  <c r="G466" i="10"/>
  <c r="H466" i="10" s="1"/>
  <c r="G465" i="10"/>
  <c r="H465" i="10" s="1"/>
  <c r="G464" i="10"/>
  <c r="H464" i="10" s="1"/>
  <c r="G463" i="10"/>
  <c r="H463" i="10" s="1"/>
  <c r="G462" i="10"/>
  <c r="H462" i="10" s="1"/>
  <c r="G461" i="10"/>
  <c r="H461" i="10" s="1"/>
  <c r="G460" i="10"/>
  <c r="H460" i="10" s="1"/>
  <c r="G459" i="10"/>
  <c r="H459" i="10" s="1"/>
  <c r="G458" i="10"/>
  <c r="H458" i="10" s="1"/>
  <c r="G457" i="10"/>
  <c r="H457" i="10" s="1"/>
  <c r="G456" i="10"/>
  <c r="H456" i="10" s="1"/>
  <c r="G455" i="10"/>
  <c r="H455" i="10" s="1"/>
  <c r="G454" i="10"/>
  <c r="H454" i="10" s="1"/>
  <c r="G453" i="10"/>
  <c r="H453" i="10" s="1"/>
  <c r="G452" i="10"/>
  <c r="H452" i="10" s="1"/>
  <c r="G451" i="10"/>
  <c r="H451" i="10" s="1"/>
  <c r="G450" i="10"/>
  <c r="H450" i="10" s="1"/>
  <c r="G449" i="10"/>
  <c r="H449" i="10" s="1"/>
  <c r="G448" i="10"/>
  <c r="H448" i="10" s="1"/>
  <c r="G447" i="10"/>
  <c r="H447" i="10" s="1"/>
  <c r="G446" i="10"/>
  <c r="H446" i="10" s="1"/>
  <c r="G445" i="10"/>
  <c r="H445" i="10" s="1"/>
  <c r="G444" i="10"/>
  <c r="H444" i="10" s="1"/>
  <c r="G443" i="10"/>
  <c r="H443" i="10" s="1"/>
  <c r="G442" i="10"/>
  <c r="H442" i="10" s="1"/>
  <c r="G441" i="10"/>
  <c r="H441" i="10" s="1"/>
  <c r="G440" i="10"/>
  <c r="H440" i="10" s="1"/>
  <c r="G439" i="10"/>
  <c r="H439" i="10" s="1"/>
  <c r="G438" i="10"/>
  <c r="H438" i="10" s="1"/>
  <c r="G430" i="10"/>
  <c r="H430" i="10" s="1"/>
  <c r="G429" i="10"/>
  <c r="H429" i="10" s="1"/>
  <c r="G426" i="10"/>
  <c r="H426" i="10" s="1"/>
  <c r="G417" i="10"/>
  <c r="H417" i="10" s="1"/>
  <c r="G416" i="10"/>
  <c r="H416" i="10" s="1"/>
  <c r="G405" i="10"/>
  <c r="H405" i="10" s="1"/>
  <c r="G404" i="10"/>
  <c r="H404" i="10" s="1"/>
  <c r="G403" i="10"/>
  <c r="H403" i="10" s="1"/>
  <c r="G402" i="10"/>
  <c r="H402" i="10" s="1"/>
  <c r="G401" i="10"/>
  <c r="H401" i="10" s="1"/>
  <c r="G400" i="10"/>
  <c r="H400" i="10" s="1"/>
  <c r="G399" i="10"/>
  <c r="H399" i="10" s="1"/>
  <c r="G398" i="10"/>
  <c r="H398" i="10" s="1"/>
  <c r="G397" i="10"/>
  <c r="H397" i="10" s="1"/>
  <c r="G396" i="10"/>
  <c r="H396" i="10" s="1"/>
  <c r="G395" i="10"/>
  <c r="H395" i="10" s="1"/>
  <c r="G394" i="10"/>
  <c r="H394" i="10" s="1"/>
  <c r="G393" i="10"/>
  <c r="H393" i="10" s="1"/>
  <c r="G392" i="10"/>
  <c r="H392" i="10" s="1"/>
  <c r="G391" i="10"/>
  <c r="H391" i="10" s="1"/>
  <c r="G390" i="10"/>
  <c r="H390" i="10" s="1"/>
  <c r="G389" i="10"/>
  <c r="H389" i="10" s="1"/>
  <c r="G388" i="10"/>
  <c r="H388" i="10" s="1"/>
  <c r="G387" i="10"/>
  <c r="H387" i="10" s="1"/>
  <c r="G386" i="10"/>
  <c r="H386" i="10" s="1"/>
  <c r="G385" i="10"/>
  <c r="H385" i="10" s="1"/>
  <c r="G384" i="10"/>
  <c r="H384" i="10" s="1"/>
  <c r="G383" i="10"/>
  <c r="H383" i="10" s="1"/>
  <c r="G382" i="10"/>
  <c r="H382" i="10" s="1"/>
  <c r="G381" i="10"/>
  <c r="H381" i="10" s="1"/>
  <c r="G380" i="10"/>
  <c r="H380" i="10" s="1"/>
  <c r="G379" i="10"/>
  <c r="H379" i="10" s="1"/>
  <c r="G368" i="10"/>
  <c r="H368" i="10" s="1"/>
  <c r="G367" i="10"/>
  <c r="H367" i="10" s="1"/>
  <c r="G366" i="10"/>
  <c r="H366" i="10" s="1"/>
  <c r="G365" i="10"/>
  <c r="H365" i="10" s="1"/>
  <c r="G364" i="10"/>
  <c r="H364" i="10" s="1"/>
  <c r="G363" i="10"/>
  <c r="H363" i="10" s="1"/>
  <c r="G362" i="10"/>
  <c r="H362" i="10" s="1"/>
  <c r="G361" i="10"/>
  <c r="H361" i="10" s="1"/>
  <c r="G360" i="10"/>
  <c r="H360" i="10" s="1"/>
  <c r="G359" i="10"/>
  <c r="H359" i="10" s="1"/>
  <c r="G358" i="10"/>
  <c r="H358" i="10" s="1"/>
  <c r="G357" i="10"/>
  <c r="H357" i="10" s="1"/>
  <c r="G356" i="10"/>
  <c r="H356" i="10" s="1"/>
  <c r="G355" i="10"/>
  <c r="H355" i="10" s="1"/>
  <c r="G354" i="10"/>
  <c r="H354" i="10" s="1"/>
  <c r="G353" i="10"/>
  <c r="H353" i="10" s="1"/>
  <c r="G352" i="10"/>
  <c r="H352" i="10" s="1"/>
  <c r="G351" i="10"/>
  <c r="H351" i="10" s="1"/>
  <c r="G350" i="10"/>
  <c r="H350" i="10" s="1"/>
  <c r="G349" i="10"/>
  <c r="H349" i="10" s="1"/>
  <c r="G348" i="10"/>
  <c r="H348" i="10" s="1"/>
  <c r="G347" i="10"/>
  <c r="H347" i="10" s="1"/>
  <c r="G346" i="10"/>
  <c r="H346" i="10" s="1"/>
  <c r="G345" i="10"/>
  <c r="H345" i="10" s="1"/>
  <c r="G344" i="10"/>
  <c r="H344" i="10" s="1"/>
  <c r="G343" i="10"/>
  <c r="H343" i="10" s="1"/>
  <c r="G342" i="10"/>
  <c r="H342" i="10" s="1"/>
  <c r="G341" i="10"/>
  <c r="H341" i="10" s="1"/>
  <c r="G340" i="10"/>
  <c r="H340" i="10" s="1"/>
  <c r="G339" i="10"/>
  <c r="H339" i="10" s="1"/>
  <c r="G338" i="10"/>
  <c r="H338" i="10" s="1"/>
  <c r="G337" i="10"/>
  <c r="H337" i="10" s="1"/>
  <c r="G336" i="10"/>
  <c r="H336" i="10" s="1"/>
  <c r="G334" i="10"/>
  <c r="H334" i="10" s="1"/>
  <c r="G333" i="10"/>
  <c r="H333" i="10" s="1"/>
  <c r="G332" i="10"/>
  <c r="H332" i="10" s="1"/>
  <c r="G331" i="10"/>
  <c r="H331" i="10" s="1"/>
  <c r="G330" i="10"/>
  <c r="H330" i="10" s="1"/>
  <c r="G329" i="10"/>
  <c r="H329" i="10" s="1"/>
  <c r="G328" i="10"/>
  <c r="H328" i="10" s="1"/>
  <c r="G327" i="10"/>
  <c r="H327" i="10" s="1"/>
  <c r="G326" i="10"/>
  <c r="H326" i="10" s="1"/>
  <c r="G325" i="10"/>
  <c r="H325" i="10" s="1"/>
  <c r="G324" i="10"/>
  <c r="H324" i="10" s="1"/>
  <c r="G323" i="10"/>
  <c r="H323" i="10" s="1"/>
  <c r="G322" i="10"/>
  <c r="H322" i="10" s="1"/>
  <c r="G321" i="10"/>
  <c r="H321" i="10" s="1"/>
  <c r="G320" i="10"/>
  <c r="H320" i="10" s="1"/>
  <c r="G319" i="10"/>
  <c r="H319" i="10" s="1"/>
  <c r="G318" i="10"/>
  <c r="H318" i="10" s="1"/>
  <c r="G317" i="10"/>
  <c r="H317" i="10" s="1"/>
  <c r="G316" i="10"/>
  <c r="H316" i="10" s="1"/>
  <c r="G315" i="10"/>
  <c r="H315" i="10" s="1"/>
  <c r="G314" i="10"/>
  <c r="H314" i="10" s="1"/>
  <c r="G313" i="10"/>
  <c r="H313" i="10" s="1"/>
  <c r="G312" i="10"/>
  <c r="H312" i="10" s="1"/>
  <c r="G311" i="10"/>
  <c r="H311" i="10" s="1"/>
  <c r="G310" i="10"/>
  <c r="H310" i="10" s="1"/>
  <c r="G309" i="10"/>
  <c r="H309" i="10" s="1"/>
  <c r="G308" i="10"/>
  <c r="H308" i="10" s="1"/>
  <c r="G307" i="10"/>
  <c r="H307" i="10" s="1"/>
  <c r="G306" i="10"/>
  <c r="H306" i="10" s="1"/>
  <c r="G305" i="10"/>
  <c r="H305" i="10" s="1"/>
  <c r="G304" i="10"/>
  <c r="H304" i="10" s="1"/>
  <c r="G303" i="10"/>
  <c r="H303" i="10" s="1"/>
  <c r="G271" i="10"/>
  <c r="H271" i="10" s="1"/>
  <c r="G270" i="10"/>
  <c r="H270" i="10" s="1"/>
  <c r="G269" i="10"/>
  <c r="H269" i="10" s="1"/>
  <c r="G268" i="10"/>
  <c r="H268" i="10" s="1"/>
  <c r="G267" i="10"/>
  <c r="H267" i="10" s="1"/>
  <c r="G266" i="10"/>
  <c r="H266" i="10" s="1"/>
  <c r="G265" i="10"/>
  <c r="H265" i="10" s="1"/>
  <c r="G264" i="10"/>
  <c r="H264" i="10" s="1"/>
  <c r="G263" i="10"/>
  <c r="H263" i="10" s="1"/>
  <c r="G262" i="10"/>
  <c r="H262" i="10" s="1"/>
  <c r="G261" i="10"/>
  <c r="H261" i="10" s="1"/>
  <c r="G260" i="10"/>
  <c r="H260" i="10" s="1"/>
  <c r="G259" i="10"/>
  <c r="H259" i="10" s="1"/>
  <c r="G258" i="10"/>
  <c r="H258" i="10" s="1"/>
  <c r="G257" i="10"/>
  <c r="H257" i="10" s="1"/>
  <c r="G256" i="10"/>
  <c r="H256" i="10" s="1"/>
  <c r="G247" i="10"/>
  <c r="H247" i="10" s="1"/>
  <c r="G246" i="10"/>
  <c r="H246" i="10" s="1"/>
  <c r="G245" i="10"/>
  <c r="H245" i="10" s="1"/>
  <c r="G244" i="10"/>
  <c r="H244" i="10" s="1"/>
  <c r="G243" i="10"/>
  <c r="H243" i="10" s="1"/>
  <c r="G242" i="10"/>
  <c r="H242" i="10" s="1"/>
  <c r="G241" i="10"/>
  <c r="H241" i="10" s="1"/>
  <c r="G240" i="10"/>
  <c r="H240" i="10" s="1"/>
  <c r="G239" i="10"/>
  <c r="H239" i="10" s="1"/>
  <c r="G238" i="10"/>
  <c r="H238" i="10" s="1"/>
  <c r="G237" i="10"/>
  <c r="H237" i="10" s="1"/>
  <c r="G231" i="10"/>
  <c r="H231" i="10" s="1"/>
  <c r="G230" i="10"/>
  <c r="H230" i="10" s="1"/>
  <c r="G229" i="10"/>
  <c r="H229" i="10" s="1"/>
  <c r="G228" i="10"/>
  <c r="H228" i="10" s="1"/>
  <c r="G226" i="10"/>
  <c r="H226" i="10" s="1"/>
  <c r="G225" i="10"/>
  <c r="H225" i="10" s="1"/>
  <c r="G224" i="10"/>
  <c r="H224" i="10" s="1"/>
  <c r="G223" i="10"/>
  <c r="H223" i="10" s="1"/>
  <c r="G222" i="10"/>
  <c r="H222" i="10" s="1"/>
  <c r="G221" i="10"/>
  <c r="H221" i="10" s="1"/>
  <c r="G220" i="10"/>
  <c r="H220" i="10" s="1"/>
  <c r="G219" i="10"/>
  <c r="H219" i="10" s="1"/>
  <c r="G218" i="10"/>
  <c r="H218" i="10" s="1"/>
  <c r="G217" i="10"/>
  <c r="H217" i="10" s="1"/>
  <c r="G216" i="10"/>
  <c r="H216" i="10" s="1"/>
  <c r="G215" i="10"/>
  <c r="H215" i="10" s="1"/>
  <c r="G214" i="10"/>
  <c r="H214" i="10" s="1"/>
  <c r="G213" i="10"/>
  <c r="H213" i="10" s="1"/>
  <c r="G212" i="10"/>
  <c r="H212" i="10" s="1"/>
  <c r="G211" i="10"/>
  <c r="H211" i="10" s="1"/>
  <c r="G210" i="10"/>
  <c r="H210" i="10" s="1"/>
  <c r="G209" i="10"/>
  <c r="H209" i="10" s="1"/>
  <c r="G208" i="10"/>
  <c r="H208" i="10" s="1"/>
  <c r="G207" i="10"/>
  <c r="H207" i="10" s="1"/>
  <c r="G206" i="10"/>
  <c r="H206" i="10" s="1"/>
  <c r="G205" i="10"/>
  <c r="H205" i="10" s="1"/>
  <c r="G204" i="10"/>
  <c r="H204" i="10" s="1"/>
  <c r="G203" i="10"/>
  <c r="H203" i="10" s="1"/>
  <c r="G202" i="10"/>
  <c r="H202" i="10" s="1"/>
  <c r="G195" i="10"/>
  <c r="H195" i="10" s="1"/>
  <c r="G194" i="10"/>
  <c r="H194" i="10" s="1"/>
  <c r="G183" i="10"/>
  <c r="H183" i="10" s="1"/>
  <c r="G182" i="10"/>
  <c r="H182" i="10" s="1"/>
  <c r="G181" i="10"/>
  <c r="H181" i="10" s="1"/>
  <c r="G180" i="10"/>
  <c r="H180" i="10" s="1"/>
  <c r="G179" i="10"/>
  <c r="H179" i="10" s="1"/>
  <c r="G178" i="10"/>
  <c r="H178" i="10" s="1"/>
  <c r="G177" i="10"/>
  <c r="H177" i="10" s="1"/>
  <c r="G176" i="10"/>
  <c r="H176" i="10" s="1"/>
  <c r="G175" i="10"/>
  <c r="H175" i="10" s="1"/>
  <c r="G174" i="10"/>
  <c r="H174" i="10" s="1"/>
  <c r="G173" i="10"/>
  <c r="H173" i="10" s="1"/>
  <c r="G172" i="10"/>
  <c r="H172" i="10" s="1"/>
  <c r="G171" i="10"/>
  <c r="H171" i="10" s="1"/>
  <c r="G170" i="10"/>
  <c r="H170" i="10" s="1"/>
  <c r="G169" i="10"/>
  <c r="H169" i="10" s="1"/>
  <c r="G168" i="10"/>
  <c r="H168" i="10" s="1"/>
  <c r="G167" i="10"/>
  <c r="H167" i="10" s="1"/>
  <c r="G166" i="10"/>
  <c r="H166" i="10" s="1"/>
  <c r="G165" i="10"/>
  <c r="H165" i="10" s="1"/>
  <c r="G164" i="10"/>
  <c r="H164" i="10" s="1"/>
  <c r="G163" i="10"/>
  <c r="H163" i="10" s="1"/>
  <c r="G162" i="10"/>
  <c r="H162" i="10" s="1"/>
  <c r="G161" i="10"/>
  <c r="H161" i="10" s="1"/>
  <c r="G160" i="10"/>
  <c r="H160" i="10" s="1"/>
  <c r="G159" i="10"/>
  <c r="H159" i="10" s="1"/>
  <c r="G158" i="10"/>
  <c r="H158" i="10" s="1"/>
  <c r="G157" i="10"/>
  <c r="H157" i="10" s="1"/>
  <c r="G156" i="10"/>
  <c r="H156" i="10" s="1"/>
  <c r="G155" i="10"/>
  <c r="H155" i="10" s="1"/>
  <c r="G154" i="10"/>
  <c r="H154" i="10" s="1"/>
  <c r="G153" i="10"/>
  <c r="H153" i="10" s="1"/>
  <c r="G152" i="10"/>
  <c r="H152" i="10" s="1"/>
  <c r="G151" i="10"/>
  <c r="H151" i="10" s="1"/>
  <c r="G150" i="10"/>
  <c r="H150" i="10" s="1"/>
  <c r="G149" i="10"/>
  <c r="H149" i="10" s="1"/>
  <c r="G148" i="10"/>
  <c r="H148" i="10" s="1"/>
  <c r="G147" i="10"/>
  <c r="H147" i="10" s="1"/>
  <c r="G146" i="10"/>
  <c r="H146" i="10" s="1"/>
  <c r="G145" i="10"/>
  <c r="H145" i="10" s="1"/>
  <c r="G144" i="10"/>
  <c r="H144" i="10" s="1"/>
  <c r="G143" i="10"/>
  <c r="H143" i="10" s="1"/>
  <c r="G142" i="10"/>
  <c r="H142" i="10" s="1"/>
  <c r="G141" i="10"/>
  <c r="H141" i="10" s="1"/>
  <c r="G140" i="10"/>
  <c r="H140" i="10" s="1"/>
  <c r="G139" i="10"/>
  <c r="H139" i="10" s="1"/>
  <c r="G138" i="10"/>
  <c r="H138" i="10" s="1"/>
  <c r="G137" i="10"/>
  <c r="H137" i="10" s="1"/>
  <c r="G136" i="10"/>
  <c r="H136" i="10" s="1"/>
  <c r="G127" i="10"/>
  <c r="H127" i="10" s="1"/>
  <c r="G126" i="10"/>
  <c r="H126" i="10" s="1"/>
  <c r="G125" i="10"/>
  <c r="H125" i="10" s="1"/>
  <c r="G124" i="10"/>
  <c r="H124" i="10" s="1"/>
  <c r="G123" i="10"/>
  <c r="H123" i="10" s="1"/>
  <c r="G122" i="10"/>
  <c r="H122" i="10" s="1"/>
  <c r="G121" i="10"/>
  <c r="H121" i="10" s="1"/>
  <c r="G65" i="10"/>
  <c r="H65" i="10" s="1"/>
  <c r="G64" i="10"/>
  <c r="H64" i="10" s="1"/>
  <c r="G63" i="10"/>
  <c r="H63" i="10" s="1"/>
  <c r="G62" i="10"/>
  <c r="H62" i="10" s="1"/>
  <c r="G61" i="10"/>
  <c r="H61" i="10" s="1"/>
  <c r="G60" i="10"/>
  <c r="H60" i="10" s="1"/>
  <c r="G59" i="10"/>
  <c r="H59" i="10" s="1"/>
  <c r="G58" i="10"/>
  <c r="H58" i="10" s="1"/>
  <c r="G57" i="10"/>
  <c r="H57" i="10" s="1"/>
  <c r="G56" i="10"/>
  <c r="H56" i="10" s="1"/>
  <c r="G55" i="10"/>
  <c r="H55" i="10" s="1"/>
  <c r="G54" i="10"/>
  <c r="H54" i="10" s="1"/>
  <c r="G53" i="10"/>
  <c r="H53" i="10" s="1"/>
  <c r="G52" i="10"/>
  <c r="H52" i="10" s="1"/>
  <c r="G51" i="10"/>
  <c r="H51" i="10" s="1"/>
  <c r="G50" i="10"/>
  <c r="H50" i="10" s="1"/>
  <c r="G49" i="10"/>
  <c r="H49" i="10" s="1"/>
  <c r="G48" i="10"/>
  <c r="H48" i="10" s="1"/>
  <c r="G47" i="10"/>
  <c r="H47" i="10" s="1"/>
  <c r="G46" i="10"/>
  <c r="H46" i="10" s="1"/>
  <c r="G45" i="10"/>
  <c r="H45" i="10" s="1"/>
  <c r="G44" i="10"/>
  <c r="H44" i="10" s="1"/>
  <c r="G43" i="10"/>
  <c r="H43" i="10" s="1"/>
  <c r="G42" i="10"/>
  <c r="H42" i="10" s="1"/>
  <c r="G41" i="10"/>
  <c r="H41" i="10" s="1"/>
  <c r="G40" i="10"/>
  <c r="H40" i="10" s="1"/>
  <c r="G39" i="10"/>
  <c r="H39" i="10" s="1"/>
  <c r="G38" i="10"/>
  <c r="H38" i="10" s="1"/>
  <c r="G37" i="10"/>
  <c r="H37" i="10" s="1"/>
  <c r="G36" i="10"/>
  <c r="H36" i="10" s="1"/>
  <c r="G35" i="10"/>
  <c r="H35" i="10" s="1"/>
  <c r="G34" i="10"/>
  <c r="H34" i="10" s="1"/>
  <c r="G33" i="10"/>
  <c r="H33" i="10" s="1"/>
  <c r="G32" i="10"/>
  <c r="H32" i="10" s="1"/>
  <c r="G31" i="10"/>
  <c r="H31" i="10" s="1"/>
  <c r="G30" i="10"/>
  <c r="H30" i="10" s="1"/>
  <c r="G29" i="10"/>
  <c r="H29" i="10" s="1"/>
  <c r="G27" i="10"/>
  <c r="H27" i="10" s="1"/>
  <c r="G26" i="10"/>
  <c r="H26" i="10" s="1"/>
  <c r="G25" i="10"/>
  <c r="H25" i="10" s="1"/>
  <c r="G24" i="10"/>
  <c r="H24" i="10" s="1"/>
  <c r="G23" i="10"/>
  <c r="H23" i="10" s="1"/>
  <c r="G22" i="10"/>
  <c r="H22" i="10" s="1"/>
  <c r="G21" i="10"/>
  <c r="H21" i="10" s="1"/>
  <c r="G20" i="10"/>
  <c r="H20" i="10" s="1"/>
  <c r="G19" i="10"/>
  <c r="H19" i="10" s="1"/>
  <c r="G18" i="10"/>
  <c r="H18" i="10" s="1"/>
  <c r="G7" i="10"/>
  <c r="H7" i="10" s="1"/>
  <c r="G6" i="10"/>
  <c r="H6" i="10" s="1"/>
  <c r="I1001" i="10"/>
  <c r="I1000" i="10"/>
  <c r="I999" i="10"/>
  <c r="I998" i="10"/>
  <c r="I997" i="10"/>
  <c r="I996" i="10"/>
  <c r="I995" i="10"/>
  <c r="I994" i="10"/>
  <c r="I993" i="10"/>
  <c r="I985" i="10"/>
  <c r="I984" i="10"/>
  <c r="I983" i="10"/>
  <c r="I982" i="10"/>
  <c r="I981" i="10"/>
  <c r="I980" i="10"/>
  <c r="I979" i="10"/>
  <c r="I978" i="10"/>
  <c r="I977" i="10"/>
  <c r="I976" i="10"/>
  <c r="I974" i="10"/>
  <c r="I972" i="10"/>
  <c r="I971" i="10"/>
  <c r="I970" i="10"/>
  <c r="I969" i="10"/>
  <c r="I968" i="10"/>
  <c r="I967" i="10"/>
  <c r="I966" i="10"/>
  <c r="I965" i="10"/>
  <c r="I964" i="10"/>
  <c r="I963" i="10"/>
  <c r="I962" i="10"/>
  <c r="I961" i="10"/>
  <c r="I960" i="10"/>
  <c r="I959" i="10"/>
  <c r="I958" i="10"/>
  <c r="I957" i="10"/>
  <c r="I956" i="10"/>
  <c r="I955" i="10"/>
  <c r="I941" i="10"/>
  <c r="I932" i="10"/>
  <c r="I909" i="10"/>
  <c r="I910" i="10" s="1"/>
  <c r="J910" i="10" s="1"/>
  <c r="I907" i="10"/>
  <c r="I896" i="10"/>
  <c r="I894" i="10"/>
  <c r="I893" i="10"/>
  <c r="I886" i="10"/>
  <c r="I885" i="10"/>
  <c r="I884" i="10"/>
  <c r="I883" i="10"/>
  <c r="I882" i="10"/>
  <c r="I881" i="10"/>
  <c r="I866" i="10"/>
  <c r="I865" i="10"/>
  <c r="I864" i="10"/>
  <c r="I863" i="10"/>
  <c r="I862" i="10"/>
  <c r="I861" i="10"/>
  <c r="I860" i="10"/>
  <c r="I859" i="10"/>
  <c r="I858" i="10"/>
  <c r="I857" i="10"/>
  <c r="I856" i="10"/>
  <c r="I848" i="10"/>
  <c r="I839" i="10"/>
  <c r="I838" i="10"/>
  <c r="I837" i="10"/>
  <c r="I836" i="10"/>
  <c r="I827" i="10"/>
  <c r="I826" i="10"/>
  <c r="I825" i="10"/>
  <c r="I824" i="10"/>
  <c r="I823" i="10"/>
  <c r="I822" i="10"/>
  <c r="I814" i="10"/>
  <c r="I813" i="10"/>
  <c r="I811" i="10"/>
  <c r="I810" i="10"/>
  <c r="I809" i="10"/>
  <c r="I808" i="10"/>
  <c r="I807" i="10"/>
  <c r="I806" i="10"/>
  <c r="I805" i="10"/>
  <c r="I804" i="10"/>
  <c r="I800" i="10"/>
  <c r="I793" i="10"/>
  <c r="I783" i="10"/>
  <c r="I754" i="10"/>
  <c r="I718" i="10"/>
  <c r="I717" i="10"/>
  <c r="I716" i="10"/>
  <c r="I710" i="10"/>
  <c r="I708" i="10"/>
  <c r="I707" i="10"/>
  <c r="I706" i="10"/>
  <c r="I705" i="10"/>
  <c r="I704" i="10"/>
  <c r="I703" i="10"/>
  <c r="I702" i="10"/>
  <c r="I701" i="10"/>
  <c r="I700" i="10"/>
  <c r="I699" i="10"/>
  <c r="I698" i="10"/>
  <c r="I697" i="10"/>
  <c r="I696" i="10"/>
  <c r="I695" i="10"/>
  <c r="I694" i="10"/>
  <c r="I693" i="10"/>
  <c r="I692" i="10"/>
  <c r="I691" i="10"/>
  <c r="I690" i="10"/>
  <c r="I689" i="10"/>
  <c r="I688" i="10"/>
  <c r="I687" i="10"/>
  <c r="I686" i="10"/>
  <c r="I685" i="10"/>
  <c r="I684" i="10"/>
  <c r="I683" i="10"/>
  <c r="I682" i="10"/>
  <c r="I681" i="10"/>
  <c r="I680" i="10"/>
  <c r="I679" i="10"/>
  <c r="I678" i="10"/>
  <c r="I677" i="10"/>
  <c r="I676" i="10"/>
  <c r="I675" i="10"/>
  <c r="I674" i="10"/>
  <c r="I673" i="10"/>
  <c r="I672" i="10"/>
  <c r="I671" i="10"/>
  <c r="I670" i="10"/>
  <c r="I665" i="10"/>
  <c r="I664" i="10"/>
  <c r="I662" i="10"/>
  <c r="I659" i="10"/>
  <c r="I658" i="10"/>
  <c r="I657" i="10"/>
  <c r="I656" i="10"/>
  <c r="I655" i="10"/>
  <c r="I654" i="10"/>
  <c r="I653" i="10"/>
  <c r="I652" i="10"/>
  <c r="I651" i="10"/>
  <c r="I650" i="10"/>
  <c r="I649" i="10"/>
  <c r="I648" i="10"/>
  <c r="I647" i="10"/>
  <c r="I646" i="10"/>
  <c r="I645" i="10"/>
  <c r="I644" i="10"/>
  <c r="I643" i="10"/>
  <c r="I642" i="10"/>
  <c r="I641" i="10"/>
  <c r="I640" i="10"/>
  <c r="I639" i="10"/>
  <c r="I638" i="10"/>
  <c r="I637" i="10"/>
  <c r="I636" i="10"/>
  <c r="I635" i="10"/>
  <c r="I634" i="10"/>
  <c r="I633" i="10"/>
  <c r="I632" i="10"/>
  <c r="I631" i="10"/>
  <c r="I630" i="10"/>
  <c r="I629" i="10"/>
  <c r="I628" i="10"/>
  <c r="I627" i="10"/>
  <c r="I626" i="10"/>
  <c r="I625" i="10"/>
  <c r="I624" i="10"/>
  <c r="I622" i="10"/>
  <c r="I614" i="10"/>
  <c r="I613" i="10"/>
  <c r="I612" i="10"/>
  <c r="I611" i="10"/>
  <c r="I610" i="10"/>
  <c r="I609" i="10"/>
  <c r="I608" i="10"/>
  <c r="I607" i="10"/>
  <c r="I606" i="10"/>
  <c r="I605" i="10"/>
  <c r="I604" i="10"/>
  <c r="I603" i="10"/>
  <c r="I602" i="10"/>
  <c r="I601" i="10"/>
  <c r="I600" i="10"/>
  <c r="I599" i="10"/>
  <c r="I598" i="10"/>
  <c r="I597" i="10"/>
  <c r="I595" i="10"/>
  <c r="I594" i="10"/>
  <c r="I593" i="10"/>
  <c r="I592" i="10"/>
  <c r="I591" i="10"/>
  <c r="I590" i="10"/>
  <c r="I589" i="10"/>
  <c r="I588" i="10"/>
  <c r="I587" i="10"/>
  <c r="I586" i="10"/>
  <c r="I585" i="10"/>
  <c r="I584" i="10"/>
  <c r="I583" i="10"/>
  <c r="I582" i="10"/>
  <c r="I581" i="10"/>
  <c r="I580" i="10"/>
  <c r="I579" i="10"/>
  <c r="I578" i="10"/>
  <c r="I577" i="10"/>
  <c r="I576" i="10"/>
  <c r="I575" i="10"/>
  <c r="I574" i="10"/>
  <c r="I573" i="10"/>
  <c r="I572" i="10"/>
  <c r="I571" i="10"/>
  <c r="I570" i="10"/>
  <c r="I569" i="10"/>
  <c r="I568" i="10"/>
  <c r="I567" i="10"/>
  <c r="I566" i="10"/>
  <c r="I565" i="10"/>
  <c r="I564" i="10"/>
  <c r="I563" i="10"/>
  <c r="I562" i="10"/>
  <c r="I561" i="10"/>
  <c r="I560" i="10"/>
  <c r="I555" i="10"/>
  <c r="I549" i="10"/>
  <c r="I548" i="10"/>
  <c r="I547" i="10"/>
  <c r="I546" i="10"/>
  <c r="I545" i="10"/>
  <c r="I543" i="10"/>
  <c r="I542" i="10"/>
  <c r="I536" i="10"/>
  <c r="I535" i="10"/>
  <c r="I534" i="10"/>
  <c r="I533" i="10"/>
  <c r="I532" i="10"/>
  <c r="I531" i="10"/>
  <c r="I530" i="10"/>
  <c r="I529" i="10"/>
  <c r="I528" i="10"/>
  <c r="I527" i="10"/>
  <c r="I526" i="10"/>
  <c r="I525" i="10"/>
  <c r="I524" i="10"/>
  <c r="I523" i="10"/>
  <c r="I522" i="10"/>
  <c r="I521" i="10"/>
  <c r="I520" i="10"/>
  <c r="I519" i="10"/>
  <c r="I518" i="10"/>
  <c r="I517" i="10"/>
  <c r="I516" i="10"/>
  <c r="I515" i="10"/>
  <c r="I514" i="10"/>
  <c r="I513" i="10"/>
  <c r="I512" i="10"/>
  <c r="I511" i="10"/>
  <c r="I510" i="10"/>
  <c r="I509" i="10"/>
  <c r="I508" i="10"/>
  <c r="I507" i="10"/>
  <c r="I506" i="10"/>
  <c r="I505" i="10"/>
  <c r="I504" i="10"/>
  <c r="I503" i="10"/>
  <c r="I502" i="10"/>
  <c r="I501" i="10"/>
  <c r="I500" i="10"/>
  <c r="I499" i="10"/>
  <c r="I498" i="10"/>
  <c r="I491" i="10"/>
  <c r="I490" i="10"/>
  <c r="I489" i="10"/>
  <c r="I488" i="10"/>
  <c r="I487" i="10"/>
  <c r="I486" i="10"/>
  <c r="I475" i="10"/>
  <c r="I474" i="10"/>
  <c r="I473" i="10"/>
  <c r="I469" i="10"/>
  <c r="I468" i="10"/>
  <c r="I467" i="10"/>
  <c r="I466" i="10"/>
  <c r="I465" i="10"/>
  <c r="I464" i="10"/>
  <c r="I463" i="10"/>
  <c r="I462" i="10"/>
  <c r="I461" i="10"/>
  <c r="I460" i="10"/>
  <c r="I459" i="10"/>
  <c r="I458" i="10"/>
  <c r="I457" i="10"/>
  <c r="I456" i="10"/>
  <c r="I455" i="10"/>
  <c r="I454" i="10"/>
  <c r="I453" i="10"/>
  <c r="I452" i="10"/>
  <c r="I451" i="10"/>
  <c r="I450" i="10"/>
  <c r="I449" i="10"/>
  <c r="I448" i="10"/>
  <c r="I447" i="10"/>
  <c r="I446" i="10"/>
  <c r="I445" i="10"/>
  <c r="I444" i="10"/>
  <c r="I443" i="10"/>
  <c r="I442" i="10"/>
  <c r="I441" i="10"/>
  <c r="I440" i="10"/>
  <c r="I439" i="10"/>
  <c r="I438" i="10"/>
  <c r="I430" i="10"/>
  <c r="I429" i="10"/>
  <c r="I426" i="10"/>
  <c r="I417" i="10"/>
  <c r="I416" i="10"/>
  <c r="I405" i="10"/>
  <c r="I404" i="10"/>
  <c r="I403" i="10"/>
  <c r="I402" i="10"/>
  <c r="I401" i="10"/>
  <c r="I400" i="10"/>
  <c r="I399" i="10"/>
  <c r="I398" i="10"/>
  <c r="I397" i="10"/>
  <c r="I396" i="10"/>
  <c r="I395" i="10"/>
  <c r="I394" i="10"/>
  <c r="I393" i="10"/>
  <c r="I392" i="10"/>
  <c r="I391" i="10"/>
  <c r="I390" i="10"/>
  <c r="I389" i="10"/>
  <c r="I388" i="10"/>
  <c r="I387" i="10"/>
  <c r="I386" i="10"/>
  <c r="I385" i="10"/>
  <c r="I384" i="10"/>
  <c r="I383" i="10"/>
  <c r="I382" i="10"/>
  <c r="I381" i="10"/>
  <c r="I380" i="10"/>
  <c r="I379" i="10"/>
  <c r="I368" i="10"/>
  <c r="I367" i="10"/>
  <c r="I366" i="10"/>
  <c r="I365" i="10"/>
  <c r="I364" i="10"/>
  <c r="I363" i="10"/>
  <c r="I362" i="10"/>
  <c r="I361" i="10"/>
  <c r="I360" i="10"/>
  <c r="I359" i="10"/>
  <c r="I358" i="10"/>
  <c r="I357" i="10"/>
  <c r="I356" i="10"/>
  <c r="I355" i="10"/>
  <c r="I354" i="10"/>
  <c r="I353" i="10"/>
  <c r="I352" i="10"/>
  <c r="I351" i="10"/>
  <c r="I350" i="10"/>
  <c r="I349" i="10"/>
  <c r="I348" i="10"/>
  <c r="I347" i="10"/>
  <c r="I346" i="10"/>
  <c r="I345" i="10"/>
  <c r="I344" i="10"/>
  <c r="I343" i="10"/>
  <c r="I342" i="10"/>
  <c r="I341" i="10"/>
  <c r="I340" i="10"/>
  <c r="I339" i="10"/>
  <c r="I338" i="10"/>
  <c r="I337" i="10"/>
  <c r="I336" i="10"/>
  <c r="I334" i="10"/>
  <c r="I333" i="10"/>
  <c r="I332" i="10"/>
  <c r="I331" i="10"/>
  <c r="I330" i="10"/>
  <c r="I329" i="10"/>
  <c r="I328" i="10"/>
  <c r="I327" i="10"/>
  <c r="I326" i="10"/>
  <c r="I325" i="10"/>
  <c r="I324" i="10"/>
  <c r="I323" i="10"/>
  <c r="I322" i="10"/>
  <c r="I321" i="10"/>
  <c r="I320" i="10"/>
  <c r="I319" i="10"/>
  <c r="I318" i="10"/>
  <c r="I317" i="10"/>
  <c r="I316" i="10"/>
  <c r="I315" i="10"/>
  <c r="I314" i="10"/>
  <c r="I313" i="10"/>
  <c r="I312" i="10"/>
  <c r="I311" i="10"/>
  <c r="I310" i="10"/>
  <c r="I309" i="10"/>
  <c r="I308" i="10"/>
  <c r="I307" i="10"/>
  <c r="I306" i="10"/>
  <c r="I305" i="10"/>
  <c r="I304" i="10"/>
  <c r="I303" i="10"/>
  <c r="I271" i="10"/>
  <c r="I270" i="10"/>
  <c r="I269" i="10"/>
  <c r="I268" i="10"/>
  <c r="I267" i="10"/>
  <c r="I266" i="10"/>
  <c r="I265" i="10"/>
  <c r="I264" i="10"/>
  <c r="I263" i="10"/>
  <c r="I262" i="10"/>
  <c r="I261" i="10"/>
  <c r="I260" i="10"/>
  <c r="I259" i="10"/>
  <c r="I258" i="10"/>
  <c r="I257" i="10"/>
  <c r="I256" i="10"/>
  <c r="I247" i="10"/>
  <c r="I246" i="10"/>
  <c r="I245" i="10"/>
  <c r="I244" i="10"/>
  <c r="I243" i="10"/>
  <c r="I242" i="10"/>
  <c r="I241" i="10"/>
  <c r="I240" i="10"/>
  <c r="I239" i="10"/>
  <c r="I238" i="10"/>
  <c r="I237" i="10"/>
  <c r="I231" i="10"/>
  <c r="I230" i="10"/>
  <c r="I229" i="10"/>
  <c r="I228" i="10"/>
  <c r="I226" i="10"/>
  <c r="I225" i="10"/>
  <c r="I224" i="10"/>
  <c r="I223" i="10"/>
  <c r="I222" i="10"/>
  <c r="I221" i="10"/>
  <c r="I220" i="10"/>
  <c r="I219" i="10"/>
  <c r="I218" i="10"/>
  <c r="I217" i="10"/>
  <c r="I216" i="10"/>
  <c r="I215" i="10"/>
  <c r="I214" i="10"/>
  <c r="I213" i="10"/>
  <c r="I212" i="10"/>
  <c r="I211" i="10"/>
  <c r="I210" i="10"/>
  <c r="I209" i="10"/>
  <c r="I208" i="10"/>
  <c r="I207" i="10"/>
  <c r="I206" i="10"/>
  <c r="I205" i="10"/>
  <c r="I204" i="10"/>
  <c r="I203" i="10"/>
  <c r="I202" i="10"/>
  <c r="I195" i="10"/>
  <c r="I194" i="10"/>
  <c r="I183" i="10"/>
  <c r="I182" i="10"/>
  <c r="I181" i="10"/>
  <c r="I180" i="10"/>
  <c r="I179" i="10"/>
  <c r="I178" i="10"/>
  <c r="I177" i="10"/>
  <c r="I176" i="10"/>
  <c r="I175" i="10"/>
  <c r="I174" i="10"/>
  <c r="I173" i="10"/>
  <c r="I172" i="10"/>
  <c r="I171" i="10"/>
  <c r="I170" i="10"/>
  <c r="I169" i="10"/>
  <c r="I168" i="10"/>
  <c r="I167" i="10"/>
  <c r="I166" i="10"/>
  <c r="I165" i="10"/>
  <c r="I164" i="10"/>
  <c r="I163" i="10"/>
  <c r="I162" i="10"/>
  <c r="I161" i="10"/>
  <c r="I160" i="10"/>
  <c r="I159" i="10"/>
  <c r="I158" i="10"/>
  <c r="I157" i="10"/>
  <c r="I156" i="10"/>
  <c r="I155" i="10"/>
  <c r="I154" i="10"/>
  <c r="I153" i="10"/>
  <c r="I152" i="10"/>
  <c r="I151" i="10"/>
  <c r="I150" i="10"/>
  <c r="I149" i="10"/>
  <c r="I148" i="10"/>
  <c r="I147" i="10"/>
  <c r="I146" i="10"/>
  <c r="I145" i="10"/>
  <c r="I144" i="10"/>
  <c r="I143" i="10"/>
  <c r="I142" i="10"/>
  <c r="I141" i="10"/>
  <c r="I140" i="10"/>
  <c r="I139" i="10"/>
  <c r="I138" i="10"/>
  <c r="I137" i="10"/>
  <c r="I136" i="10"/>
  <c r="I127" i="10"/>
  <c r="I126" i="10"/>
  <c r="I125" i="10"/>
  <c r="I124" i="10"/>
  <c r="I123" i="10"/>
  <c r="I122" i="10"/>
  <c r="I121" i="10"/>
  <c r="I65" i="10"/>
  <c r="I64" i="10"/>
  <c r="I63" i="10"/>
  <c r="I62" i="10"/>
  <c r="I61" i="10"/>
  <c r="I60" i="10"/>
  <c r="I59" i="10"/>
  <c r="I58" i="10"/>
  <c r="I57" i="10"/>
  <c r="I56" i="10"/>
  <c r="I55" i="10"/>
  <c r="I54" i="10"/>
  <c r="I53" i="10"/>
  <c r="I52" i="10"/>
  <c r="I51" i="10"/>
  <c r="I50" i="10"/>
  <c r="I49" i="10"/>
  <c r="I48" i="10"/>
  <c r="I47" i="10"/>
  <c r="I46" i="10"/>
  <c r="I45" i="10"/>
  <c r="I44" i="10"/>
  <c r="I43" i="10"/>
  <c r="I42" i="10"/>
  <c r="I41" i="10"/>
  <c r="I40" i="10"/>
  <c r="I39" i="10"/>
  <c r="I38" i="10"/>
  <c r="I37" i="10"/>
  <c r="I36" i="10"/>
  <c r="I35" i="10"/>
  <c r="I34" i="10"/>
  <c r="I33" i="10"/>
  <c r="I32" i="10"/>
  <c r="I31" i="10"/>
  <c r="I30" i="10"/>
  <c r="I29" i="10"/>
  <c r="I27" i="10"/>
  <c r="I26" i="10"/>
  <c r="I25" i="10"/>
  <c r="I24" i="10"/>
  <c r="I23" i="10"/>
  <c r="I22" i="10"/>
  <c r="I21" i="10"/>
  <c r="I20" i="10"/>
  <c r="I19" i="10"/>
  <c r="I18" i="10"/>
  <c r="I7" i="10"/>
  <c r="I6" i="10"/>
  <c r="I4" i="10"/>
  <c r="G4" i="10"/>
  <c r="H4" i="10" s="1"/>
  <c r="I3" i="10"/>
  <c r="G3" i="10"/>
  <c r="H3" i="10" s="1"/>
  <c r="I2" i="10"/>
  <c r="G2" i="10"/>
  <c r="H2" i="10" s="1"/>
  <c r="C69" i="15" l="1"/>
  <c r="C714" i="15"/>
  <c r="C746" i="15"/>
  <c r="C837" i="15"/>
  <c r="C959" i="15"/>
  <c r="A31" i="13"/>
  <c r="A34" i="16"/>
  <c r="A29" i="13"/>
  <c r="A32" i="16"/>
  <c r="A27" i="13"/>
  <c r="A30" i="16"/>
  <c r="A25" i="13"/>
  <c r="A28" i="16"/>
  <c r="A23" i="13"/>
  <c r="A26" i="16"/>
  <c r="A20" i="13"/>
  <c r="A23" i="16"/>
  <c r="A18" i="13"/>
  <c r="A21" i="16"/>
  <c r="A37" i="13"/>
  <c r="A48" i="16"/>
  <c r="A35" i="13"/>
  <c r="A46" i="16"/>
  <c r="A41" i="13"/>
  <c r="A52" i="16"/>
  <c r="A39" i="13"/>
  <c r="A50" i="16"/>
  <c r="A44" i="13"/>
  <c r="A55" i="16"/>
  <c r="A42" i="13"/>
  <c r="A53" i="16"/>
  <c r="A46" i="13"/>
  <c r="A57" i="16"/>
  <c r="A13" i="13"/>
  <c r="A14" i="16"/>
  <c r="A30" i="13"/>
  <c r="A33" i="16"/>
  <c r="A28" i="13"/>
  <c r="A31" i="16"/>
  <c r="A26" i="13"/>
  <c r="A29" i="16"/>
  <c r="A24" i="13"/>
  <c r="A27" i="16"/>
  <c r="A22" i="13"/>
  <c r="A25" i="16"/>
  <c r="A19" i="13"/>
  <c r="A22" i="16"/>
  <c r="A17" i="13"/>
  <c r="A20" i="16"/>
  <c r="A36" i="13"/>
  <c r="A47" i="16"/>
  <c r="A34" i="13"/>
  <c r="A45" i="16"/>
  <c r="A40" i="13"/>
  <c r="A51" i="16"/>
  <c r="A38" i="13"/>
  <c r="A49" i="16"/>
  <c r="A43" i="13"/>
  <c r="A54" i="16"/>
  <c r="A47" i="13"/>
  <c r="A58" i="16"/>
  <c r="A45" i="13"/>
  <c r="A56" i="16"/>
  <c r="A14" i="13"/>
  <c r="A15" i="16"/>
  <c r="H910" i="10"/>
  <c r="C812" i="15"/>
  <c r="S61" i="1"/>
  <c r="C825" i="15"/>
  <c r="D825" i="15" s="1"/>
  <c r="D13" i="13"/>
  <c r="C39" i="15"/>
  <c r="E16" i="3"/>
  <c r="C100" i="15"/>
  <c r="C116" i="15" s="1"/>
  <c r="D116" i="15" s="1"/>
  <c r="E21" i="3"/>
  <c r="C222" i="15"/>
  <c r="E24" i="3"/>
  <c r="C313" i="15"/>
  <c r="E26" i="3"/>
  <c r="C374" i="15"/>
  <c r="E28" i="3"/>
  <c r="C435" i="15"/>
  <c r="E31" i="3"/>
  <c r="C499" i="15"/>
  <c r="D714" i="15"/>
  <c r="C723" i="15"/>
  <c r="C730" i="15"/>
  <c r="D730" i="15" s="1"/>
  <c r="C853" i="15"/>
  <c r="D853" i="15" s="1"/>
  <c r="D837" i="15"/>
  <c r="C846" i="15"/>
  <c r="D69" i="15"/>
  <c r="C85" i="15"/>
  <c r="D85" i="15" s="1"/>
  <c r="E17" i="3"/>
  <c r="C130" i="15"/>
  <c r="C146" i="15" s="1"/>
  <c r="E19" i="3"/>
  <c r="C191" i="15"/>
  <c r="C207" i="15" s="1"/>
  <c r="D207" i="15" s="1"/>
  <c r="E25" i="3"/>
  <c r="C344" i="15"/>
  <c r="E27" i="3"/>
  <c r="C404" i="15"/>
  <c r="E29" i="3"/>
  <c r="C466" i="15"/>
  <c r="D746" i="15"/>
  <c r="C755" i="15"/>
  <c r="D42" i="13"/>
  <c r="H42" i="13" s="1"/>
  <c r="C807" i="15"/>
  <c r="E57" i="3"/>
  <c r="C683" i="15"/>
  <c r="D959" i="15"/>
  <c r="C968" i="15"/>
  <c r="D14" i="13"/>
  <c r="H14" i="13" s="1"/>
  <c r="E48" i="3"/>
  <c r="D36" i="13"/>
  <c r="H36" i="13" s="1"/>
  <c r="E51" i="3"/>
  <c r="D47" i="13"/>
  <c r="H47" i="13" s="1"/>
  <c r="E59" i="3"/>
  <c r="E63" i="2"/>
  <c r="D35" i="13"/>
  <c r="H35" i="13" s="1"/>
  <c r="E50" i="3"/>
  <c r="D43" i="13"/>
  <c r="H43" i="13" s="1"/>
  <c r="E54" i="3"/>
  <c r="D45" i="13"/>
  <c r="H45" i="13" s="1"/>
  <c r="D26" i="13"/>
  <c r="H26" i="13" s="1"/>
  <c r="D28" i="13"/>
  <c r="H28" i="13" s="1"/>
  <c r="D30" i="13"/>
  <c r="H30" i="13" s="1"/>
  <c r="D22" i="13"/>
  <c r="H22" i="13" s="1"/>
  <c r="D25" i="13"/>
  <c r="H25" i="13" s="1"/>
  <c r="D27" i="13"/>
  <c r="H27" i="13" s="1"/>
  <c r="D31" i="13"/>
  <c r="H31" i="13" s="1"/>
  <c r="D20" i="13"/>
  <c r="D18" i="13"/>
  <c r="H18" i="13" s="1"/>
  <c r="D17" i="13"/>
  <c r="H17" i="13" s="1"/>
  <c r="D50" i="11"/>
  <c r="D51" i="11"/>
  <c r="D53" i="11"/>
  <c r="I940" i="10"/>
  <c r="J940" i="10" s="1"/>
  <c r="H940" i="10"/>
  <c r="H55" i="16" s="1"/>
  <c r="J55" i="16" s="1"/>
  <c r="I33" i="11"/>
  <c r="D29" i="13"/>
  <c r="H29" i="13" s="1"/>
  <c r="I32" i="11"/>
  <c r="I35" i="11"/>
  <c r="I31" i="11"/>
  <c r="H761" i="10"/>
  <c r="H45" i="16" s="1"/>
  <c r="I34" i="11"/>
  <c r="I22" i="11"/>
  <c r="I15" i="11"/>
  <c r="K15" i="11" s="1"/>
  <c r="I16" i="11"/>
  <c r="H120" i="10"/>
  <c r="H931" i="10"/>
  <c r="H54" i="16" s="1"/>
  <c r="J54" i="16" s="1"/>
  <c r="H986" i="10"/>
  <c r="H57" i="16" s="1"/>
  <c r="J57" i="16" s="1"/>
  <c r="H1002" i="10"/>
  <c r="H58" i="16" s="1"/>
  <c r="J58" i="16" s="1"/>
  <c r="I29" i="11"/>
  <c r="I30" i="11"/>
  <c r="H661" i="10"/>
  <c r="H32" i="16" s="1"/>
  <c r="H835" i="10"/>
  <c r="H49" i="16" s="1"/>
  <c r="J49" i="16" s="1"/>
  <c r="H895" i="10"/>
  <c r="H51" i="16" s="1"/>
  <c r="J51" i="16" s="1"/>
  <c r="H302" i="10"/>
  <c r="H25" i="16" s="1"/>
  <c r="H428" i="10"/>
  <c r="H27" i="16" s="1"/>
  <c r="H497" i="10"/>
  <c r="H29" i="16" s="1"/>
  <c r="H596" i="10"/>
  <c r="H31" i="16" s="1"/>
  <c r="H709" i="10"/>
  <c r="H33" i="16" s="1"/>
  <c r="H335" i="10"/>
  <c r="H26" i="16" s="1"/>
  <c r="H779" i="10"/>
  <c r="H46" i="16" s="1"/>
  <c r="J46" i="16" s="1"/>
  <c r="I54" i="11"/>
  <c r="H232" i="10"/>
  <c r="H812" i="10"/>
  <c r="H48" i="16" s="1"/>
  <c r="J48" i="16" s="1"/>
  <c r="H975" i="10"/>
  <c r="H56" i="16" s="1"/>
  <c r="J56" i="16" s="1"/>
  <c r="H472" i="10"/>
  <c r="H28" i="16" s="1"/>
  <c r="I57" i="11"/>
  <c r="K57" i="11" s="1"/>
  <c r="H193" i="10"/>
  <c r="H22" i="16" s="1"/>
  <c r="J22" i="16" s="1"/>
  <c r="H792" i="10"/>
  <c r="H47" i="16" s="1"/>
  <c r="J47" i="16" s="1"/>
  <c r="H855" i="10"/>
  <c r="H50" i="16" s="1"/>
  <c r="J50" i="16" s="1"/>
  <c r="H544" i="10"/>
  <c r="H30" i="16" s="1"/>
  <c r="H753" i="10"/>
  <c r="H34" i="16" s="1"/>
  <c r="I24" i="11"/>
  <c r="I47" i="11"/>
  <c r="K47" i="11" s="1"/>
  <c r="I59" i="11"/>
  <c r="K59" i="11" s="1"/>
  <c r="H908" i="10"/>
  <c r="H52" i="16" s="1"/>
  <c r="J52" i="16" s="1"/>
  <c r="D1003" i="10"/>
  <c r="I55" i="11"/>
  <c r="K55" i="11" s="1"/>
  <c r="D58" i="11"/>
  <c r="D56" i="11"/>
  <c r="D49" i="11"/>
  <c r="D46" i="11"/>
  <c r="D28" i="11"/>
  <c r="I232" i="10"/>
  <c r="J232" i="10" s="1"/>
  <c r="M24" i="11" s="1"/>
  <c r="D27" i="11"/>
  <c r="D23" i="11"/>
  <c r="I120" i="10"/>
  <c r="J120" i="10" s="1"/>
  <c r="M22" i="11" s="1"/>
  <c r="I48" i="11"/>
  <c r="K48" i="11" s="1"/>
  <c r="I302" i="10"/>
  <c r="J302" i="10" s="1"/>
  <c r="M26" i="11" s="1"/>
  <c r="I709" i="10"/>
  <c r="J709" i="10" s="1"/>
  <c r="M34" i="11" s="1"/>
  <c r="I761" i="10"/>
  <c r="J761" i="10" s="1"/>
  <c r="I28" i="10"/>
  <c r="I335" i="10"/>
  <c r="J335" i="10" s="1"/>
  <c r="M27" i="11" s="1"/>
  <c r="S22" i="1" s="1"/>
  <c r="I812" i="10"/>
  <c r="J812" i="10" s="1"/>
  <c r="I661" i="10"/>
  <c r="J661" i="10" s="1"/>
  <c r="M33" i="11" s="1"/>
  <c r="I975" i="10"/>
  <c r="J975" i="10" s="1"/>
  <c r="I753" i="10"/>
  <c r="J753" i="10" s="1"/>
  <c r="M35" i="11" s="1"/>
  <c r="S31" i="1" s="1"/>
  <c r="I779" i="10"/>
  <c r="J779" i="10" s="1"/>
  <c r="I986" i="10"/>
  <c r="J986" i="10" s="1"/>
  <c r="I544" i="10"/>
  <c r="J544" i="10" s="1"/>
  <c r="M31" i="11" s="1"/>
  <c r="I835" i="10"/>
  <c r="J835" i="10" s="1"/>
  <c r="I428" i="10"/>
  <c r="J428" i="10" s="1"/>
  <c r="M28" i="11" s="1"/>
  <c r="I497" i="10"/>
  <c r="J497" i="10" s="1"/>
  <c r="M30" i="11" s="1"/>
  <c r="I193" i="10"/>
  <c r="J193" i="10" s="1"/>
  <c r="M23" i="11" s="1"/>
  <c r="I931" i="10"/>
  <c r="J931" i="10" s="1"/>
  <c r="I66" i="10"/>
  <c r="J66" i="10" s="1"/>
  <c r="M21" i="11" s="1"/>
  <c r="I596" i="10"/>
  <c r="J596" i="10" s="1"/>
  <c r="M32" i="11" s="1"/>
  <c r="I1002" i="10"/>
  <c r="J1002" i="10" s="1"/>
  <c r="I26" i="11"/>
  <c r="I472" i="10"/>
  <c r="J472" i="10" s="1"/>
  <c r="M29" i="11" s="1"/>
  <c r="I792" i="10"/>
  <c r="J792" i="10" s="1"/>
  <c r="I50" i="11"/>
  <c r="I52" i="11"/>
  <c r="K52" i="11" s="1"/>
  <c r="I53" i="11"/>
  <c r="K73" i="11" s="1"/>
  <c r="I21" i="11"/>
  <c r="I895" i="10"/>
  <c r="I855" i="10"/>
  <c r="I908" i="10"/>
  <c r="I5" i="10"/>
  <c r="H66" i="10"/>
  <c r="H20" i="16" s="1"/>
  <c r="H28" i="10"/>
  <c r="H5" i="10"/>
  <c r="H14" i="16" s="1"/>
  <c r="S56" i="1" l="1"/>
  <c r="C764" i="15"/>
  <c r="J14" i="16"/>
  <c r="K54" i="11"/>
  <c r="O54" i="11" s="1"/>
  <c r="Q54" i="11" s="1"/>
  <c r="C561" i="15"/>
  <c r="K50" i="11"/>
  <c r="C652" i="15"/>
  <c r="C668" i="15" s="1"/>
  <c r="D668" i="15" s="1"/>
  <c r="K53" i="11"/>
  <c r="C929" i="15"/>
  <c r="H17" i="3"/>
  <c r="H21" i="16"/>
  <c r="C135" i="15" s="1"/>
  <c r="D135" i="15" s="1"/>
  <c r="C74" i="15"/>
  <c r="H15" i="16"/>
  <c r="H16" i="16" s="1"/>
  <c r="H19" i="3"/>
  <c r="I19" i="3" s="1"/>
  <c r="H23" i="16"/>
  <c r="J45" i="16"/>
  <c r="H53" i="3"/>
  <c r="H53" i="16"/>
  <c r="J53" i="16" s="1"/>
  <c r="I17" i="3"/>
  <c r="O48" i="11"/>
  <c r="H47" i="3"/>
  <c r="J47" i="3" s="1"/>
  <c r="C44" i="15"/>
  <c r="H51" i="3"/>
  <c r="K51" i="3" s="1"/>
  <c r="C751" i="15"/>
  <c r="H57" i="3"/>
  <c r="K57" i="3" s="1"/>
  <c r="C688" i="15"/>
  <c r="H50" i="3"/>
  <c r="K50" i="3" s="1"/>
  <c r="C719" i="15"/>
  <c r="H29" i="3"/>
  <c r="C471" i="15"/>
  <c r="H38" i="3"/>
  <c r="J38" i="3" s="1"/>
  <c r="C566" i="15"/>
  <c r="H59" i="3"/>
  <c r="K59" i="3" s="1"/>
  <c r="C964" i="15"/>
  <c r="H54" i="3"/>
  <c r="K54" i="3" s="1"/>
  <c r="C842" i="15"/>
  <c r="H49" i="3"/>
  <c r="J49" i="3" s="1"/>
  <c r="C536" i="15"/>
  <c r="H55" i="3"/>
  <c r="C872" i="15"/>
  <c r="C814" i="15"/>
  <c r="D814" i="15" s="1"/>
  <c r="D812" i="15"/>
  <c r="D74" i="15"/>
  <c r="H41" i="3"/>
  <c r="J41" i="3" s="1"/>
  <c r="C657" i="15"/>
  <c r="H31" i="3"/>
  <c r="I31" i="3" s="1"/>
  <c r="C504" i="15"/>
  <c r="H39" i="3"/>
  <c r="C597" i="15"/>
  <c r="H52" i="3"/>
  <c r="C781" i="15"/>
  <c r="H40" i="3"/>
  <c r="I40" i="3" s="1"/>
  <c r="C627" i="15"/>
  <c r="H58" i="3"/>
  <c r="J58" i="3" s="1"/>
  <c r="C934" i="15"/>
  <c r="H26" i="3"/>
  <c r="C379" i="15"/>
  <c r="H25" i="3"/>
  <c r="I25" i="3" s="1"/>
  <c r="C349" i="15"/>
  <c r="H21" i="3"/>
  <c r="C227" i="15"/>
  <c r="H24" i="3"/>
  <c r="I24" i="3" s="1"/>
  <c r="C318" i="15"/>
  <c r="H22" i="3"/>
  <c r="C256" i="15"/>
  <c r="H27" i="3"/>
  <c r="C409" i="15"/>
  <c r="H23" i="3"/>
  <c r="C288" i="15"/>
  <c r="H28" i="3"/>
  <c r="C440" i="15"/>
  <c r="H16" i="3"/>
  <c r="I16" i="3" s="1"/>
  <c r="C105" i="15"/>
  <c r="H18" i="3"/>
  <c r="C165" i="15"/>
  <c r="S65" i="1"/>
  <c r="C701" i="15"/>
  <c r="D701" i="15" s="1"/>
  <c r="E49" i="3"/>
  <c r="C531" i="15"/>
  <c r="S63" i="1"/>
  <c r="C885" i="15"/>
  <c r="D885" i="15" s="1"/>
  <c r="I51" i="11"/>
  <c r="K51" i="11" s="1"/>
  <c r="C592" i="15"/>
  <c r="D683" i="15"/>
  <c r="C692" i="15"/>
  <c r="C699" i="15"/>
  <c r="D699" i="15" s="1"/>
  <c r="D807" i="15"/>
  <c r="C816" i="15"/>
  <c r="D466" i="15"/>
  <c r="C482" i="15"/>
  <c r="D482" i="15" s="1"/>
  <c r="D404" i="15"/>
  <c r="C420" i="15"/>
  <c r="D420" i="15" s="1"/>
  <c r="D344" i="15"/>
  <c r="C360" i="15"/>
  <c r="D360" i="15" s="1"/>
  <c r="D191" i="15"/>
  <c r="D130" i="15"/>
  <c r="D146" i="15"/>
  <c r="D499" i="15"/>
  <c r="C515" i="15"/>
  <c r="D515" i="15" s="1"/>
  <c r="D435" i="15"/>
  <c r="C451" i="15"/>
  <c r="D451" i="15" s="1"/>
  <c r="D374" i="15"/>
  <c r="C390" i="15"/>
  <c r="D390" i="15" s="1"/>
  <c r="D313" i="15"/>
  <c r="C329" i="15"/>
  <c r="D329" i="15" s="1"/>
  <c r="D222" i="15"/>
  <c r="C238" i="15"/>
  <c r="D238" i="15" s="1"/>
  <c r="D100" i="15"/>
  <c r="D39" i="15"/>
  <c r="C48" i="15"/>
  <c r="S24" i="1"/>
  <c r="C331" i="15"/>
  <c r="D331" i="15" s="1"/>
  <c r="S16" i="1"/>
  <c r="C118" i="15"/>
  <c r="D118" i="15" s="1"/>
  <c r="S18" i="1"/>
  <c r="C178" i="15"/>
  <c r="D178" i="15" s="1"/>
  <c r="S23" i="1"/>
  <c r="C301" i="15"/>
  <c r="D301" i="15" s="1"/>
  <c r="S26" i="1"/>
  <c r="C392" i="15"/>
  <c r="D392" i="15" s="1"/>
  <c r="S55" i="1"/>
  <c r="C732" i="15"/>
  <c r="D732" i="15" s="1"/>
  <c r="D764" i="15"/>
  <c r="S57" i="1"/>
  <c r="C794" i="15"/>
  <c r="D794" i="15" s="1"/>
  <c r="S29" i="1"/>
  <c r="C484" i="15"/>
  <c r="D484" i="15" s="1"/>
  <c r="C517" i="15"/>
  <c r="D517" i="15" s="1"/>
  <c r="E18" i="3"/>
  <c r="C160" i="15"/>
  <c r="S19" i="1"/>
  <c r="C209" i="15"/>
  <c r="D209" i="15" s="1"/>
  <c r="E55" i="3"/>
  <c r="C867" i="15"/>
  <c r="D867" i="15" s="1"/>
  <c r="J42" i="13"/>
  <c r="L42" i="13" s="1"/>
  <c r="N42" i="13" s="1"/>
  <c r="C826" i="15"/>
  <c r="D826" i="15" s="1"/>
  <c r="S27" i="1"/>
  <c r="C422" i="15"/>
  <c r="D422" i="15" s="1"/>
  <c r="S62" i="1"/>
  <c r="C855" i="15"/>
  <c r="D855" i="15" s="1"/>
  <c r="S25" i="1"/>
  <c r="C362" i="15"/>
  <c r="D362" i="15" s="1"/>
  <c r="S38" i="1"/>
  <c r="C579" i="15"/>
  <c r="D579" i="15" s="1"/>
  <c r="S66" i="1"/>
  <c r="C947" i="15"/>
  <c r="D947" i="15" s="1"/>
  <c r="S28" i="1"/>
  <c r="C453" i="15"/>
  <c r="D453" i="15" s="1"/>
  <c r="S54" i="1"/>
  <c r="C549" i="15"/>
  <c r="D549" i="15" s="1"/>
  <c r="S21" i="1"/>
  <c r="C269" i="15"/>
  <c r="D269" i="15" s="1"/>
  <c r="S17" i="1"/>
  <c r="C148" i="15"/>
  <c r="D148" i="15" s="1"/>
  <c r="E22" i="3"/>
  <c r="C251" i="15"/>
  <c r="C267" i="15" s="1"/>
  <c r="D267" i="15" s="1"/>
  <c r="E23" i="3"/>
  <c r="C283" i="15"/>
  <c r="E52" i="3"/>
  <c r="C776" i="15"/>
  <c r="C938" i="15"/>
  <c r="D929" i="15"/>
  <c r="D652" i="15"/>
  <c r="C661" i="15"/>
  <c r="C570" i="15"/>
  <c r="D561" i="15"/>
  <c r="D39" i="13"/>
  <c r="H39" i="13" s="1"/>
  <c r="E39" i="3"/>
  <c r="G39" i="3" s="1"/>
  <c r="E62" i="2"/>
  <c r="E58" i="3"/>
  <c r="I58" i="3" s="1"/>
  <c r="D41" i="13"/>
  <c r="H41" i="13" s="1"/>
  <c r="E41" i="3"/>
  <c r="G41" i="3" s="1"/>
  <c r="D38" i="13"/>
  <c r="H38" i="13" s="1"/>
  <c r="E38" i="3"/>
  <c r="G38" i="3" s="1"/>
  <c r="H20" i="13"/>
  <c r="D24" i="13"/>
  <c r="H24" i="13" s="1"/>
  <c r="O47" i="11"/>
  <c r="Q47" i="11" s="1"/>
  <c r="J35" i="13" s="1"/>
  <c r="J51" i="3"/>
  <c r="I27" i="11"/>
  <c r="D23" i="13"/>
  <c r="H23" i="13" s="1"/>
  <c r="I49" i="11"/>
  <c r="D37" i="13"/>
  <c r="H37" i="13" s="1"/>
  <c r="I58" i="11"/>
  <c r="D46" i="13"/>
  <c r="I23" i="11"/>
  <c r="D19" i="13"/>
  <c r="I46" i="11"/>
  <c r="K46" i="11" s="1"/>
  <c r="D60" i="11"/>
  <c r="D34" i="13"/>
  <c r="H34" i="13" s="1"/>
  <c r="I56" i="11"/>
  <c r="D44" i="13"/>
  <c r="H44" i="13" s="1"/>
  <c r="I50" i="3"/>
  <c r="J54" i="3"/>
  <c r="I1003" i="10"/>
  <c r="I29" i="3"/>
  <c r="J52" i="3"/>
  <c r="J57" i="3"/>
  <c r="I51" i="3"/>
  <c r="I52" i="3"/>
  <c r="J39" i="3"/>
  <c r="H48" i="3"/>
  <c r="I47" i="3"/>
  <c r="K47" i="3"/>
  <c r="H1003" i="10"/>
  <c r="D36" i="11"/>
  <c r="O55" i="11"/>
  <c r="Q55" i="11" s="1"/>
  <c r="O50" i="11"/>
  <c r="Q50" i="11" s="1"/>
  <c r="I28" i="11"/>
  <c r="Q48" i="11"/>
  <c r="C765" i="15" s="1"/>
  <c r="O57" i="11"/>
  <c r="Q57" i="11" s="1"/>
  <c r="J5" i="10"/>
  <c r="M15" i="11" s="1"/>
  <c r="S47" i="1" s="1"/>
  <c r="J28" i="10"/>
  <c r="M16" i="11" s="1"/>
  <c r="J895" i="10"/>
  <c r="C640" i="15" s="1"/>
  <c r="D640" i="15" s="1"/>
  <c r="J855" i="10"/>
  <c r="C610" i="15" s="1"/>
  <c r="D610" i="15" s="1"/>
  <c r="J908" i="10"/>
  <c r="C670" i="15" s="1"/>
  <c r="D670" i="15" s="1"/>
  <c r="D71" i="11" l="1"/>
  <c r="D81" i="11" s="1"/>
  <c r="K49" i="11"/>
  <c r="O49" i="11" s="1"/>
  <c r="Q49" i="11" s="1"/>
  <c r="J37" i="13" s="1"/>
  <c r="C577" i="15"/>
  <c r="D577" i="15" s="1"/>
  <c r="K56" i="11"/>
  <c r="O56" i="11" s="1"/>
  <c r="Q56" i="11" s="1"/>
  <c r="Q58" i="11"/>
  <c r="K58" i="11"/>
  <c r="J36" i="13"/>
  <c r="L36" i="13" s="1"/>
  <c r="N36" i="13" s="1"/>
  <c r="P55" i="2"/>
  <c r="I18" i="3"/>
  <c r="K49" i="3"/>
  <c r="H35" i="16"/>
  <c r="H59" i="16"/>
  <c r="J53" i="3"/>
  <c r="I53" i="3"/>
  <c r="K53" i="3"/>
  <c r="J59" i="16"/>
  <c r="I55" i="3"/>
  <c r="I21" i="3"/>
  <c r="I22" i="3"/>
  <c r="J50" i="3"/>
  <c r="I57" i="3"/>
  <c r="J40" i="3"/>
  <c r="I49" i="3"/>
  <c r="J55" i="3"/>
  <c r="K39" i="3"/>
  <c r="I26" i="3"/>
  <c r="I28" i="3"/>
  <c r="I27" i="3"/>
  <c r="I54" i="3"/>
  <c r="I59" i="3"/>
  <c r="J59" i="3"/>
  <c r="K55" i="3"/>
  <c r="K40" i="3"/>
  <c r="I23" i="3"/>
  <c r="K52" i="3"/>
  <c r="I39" i="3"/>
  <c r="K58" i="3"/>
  <c r="C936" i="15"/>
  <c r="D936" i="15" s="1"/>
  <c r="D934" i="15"/>
  <c r="D627" i="15"/>
  <c r="C629" i="15"/>
  <c r="D629" i="15" s="1"/>
  <c r="D781" i="15"/>
  <c r="C783" i="15"/>
  <c r="D783" i="15" s="1"/>
  <c r="D597" i="15"/>
  <c r="C599" i="15"/>
  <c r="D599" i="15" s="1"/>
  <c r="D504" i="15"/>
  <c r="D657" i="15"/>
  <c r="C659" i="15"/>
  <c r="D659" i="15" s="1"/>
  <c r="C874" i="15"/>
  <c r="D874" i="15" s="1"/>
  <c r="D872" i="15"/>
  <c r="C538" i="15"/>
  <c r="D538" i="15" s="1"/>
  <c r="D536" i="15"/>
  <c r="C844" i="15"/>
  <c r="D844" i="15" s="1"/>
  <c r="D842" i="15"/>
  <c r="C966" i="15"/>
  <c r="D966" i="15" s="1"/>
  <c r="D964" i="15"/>
  <c r="C568" i="15"/>
  <c r="D568" i="15" s="1"/>
  <c r="D566" i="15"/>
  <c r="D471" i="15"/>
  <c r="D719" i="15"/>
  <c r="C721" i="15"/>
  <c r="D721" i="15" s="1"/>
  <c r="D688" i="15"/>
  <c r="C690" i="15"/>
  <c r="D690" i="15" s="1"/>
  <c r="D751" i="15"/>
  <c r="C753" i="15"/>
  <c r="D753" i="15" s="1"/>
  <c r="D44" i="15"/>
  <c r="C46" i="15"/>
  <c r="D46" i="15" s="1"/>
  <c r="D440" i="15"/>
  <c r="D288" i="15"/>
  <c r="D409" i="15"/>
  <c r="D256" i="15"/>
  <c r="D318" i="15"/>
  <c r="D227" i="15"/>
  <c r="D349" i="15"/>
  <c r="D379" i="15"/>
  <c r="D165" i="15"/>
  <c r="D105" i="15"/>
  <c r="J45" i="13"/>
  <c r="L45" i="13" s="1"/>
  <c r="N45" i="13" s="1"/>
  <c r="C702" i="15"/>
  <c r="J38" i="13"/>
  <c r="L38" i="13" s="1"/>
  <c r="N38" i="13" s="1"/>
  <c r="C580" i="15"/>
  <c r="S67" i="1"/>
  <c r="C977" i="15"/>
  <c r="D977" i="15" s="1"/>
  <c r="L35" i="13"/>
  <c r="N35" i="13" s="1"/>
  <c r="C733" i="15"/>
  <c r="E33" i="3"/>
  <c r="D592" i="15"/>
  <c r="C601" i="15"/>
  <c r="C608" i="15"/>
  <c r="D608" i="15" s="1"/>
  <c r="C540" i="15"/>
  <c r="D531" i="15"/>
  <c r="C547" i="15"/>
  <c r="D547" i="15" s="1"/>
  <c r="S48" i="1"/>
  <c r="C87" i="15"/>
  <c r="D87" i="15" s="1"/>
  <c r="J43" i="13"/>
  <c r="L43" i="13" s="1"/>
  <c r="N43" i="13" s="1"/>
  <c r="C856" i="15"/>
  <c r="J44" i="13"/>
  <c r="L44" i="13" s="1"/>
  <c r="N44" i="13" s="1"/>
  <c r="C886" i="15"/>
  <c r="D886" i="15" s="1"/>
  <c r="N46" i="13"/>
  <c r="L37" i="13"/>
  <c r="C795" i="15"/>
  <c r="D795" i="15" s="1"/>
  <c r="D776" i="15"/>
  <c r="C785" i="15"/>
  <c r="D283" i="15"/>
  <c r="C299" i="15"/>
  <c r="D299" i="15" s="1"/>
  <c r="D251" i="15"/>
  <c r="C876" i="15"/>
  <c r="D160" i="15"/>
  <c r="C176" i="15"/>
  <c r="D176" i="15" s="1"/>
  <c r="C827" i="15"/>
  <c r="D827" i="15" s="1"/>
  <c r="K38" i="3"/>
  <c r="K41" i="3"/>
  <c r="D53" i="13"/>
  <c r="I38" i="3"/>
  <c r="I41" i="3"/>
  <c r="J1003" i="10"/>
  <c r="I60" i="11"/>
  <c r="H19" i="13"/>
  <c r="H53" i="13" s="1"/>
  <c r="O59" i="11"/>
  <c r="Q59" i="11" s="1"/>
  <c r="O46" i="11"/>
  <c r="K60" i="11"/>
  <c r="Q15" i="11"/>
  <c r="I48" i="3"/>
  <c r="I36" i="11"/>
  <c r="O53" i="11"/>
  <c r="Q53" i="11" s="1"/>
  <c r="S41" i="1"/>
  <c r="O51" i="11"/>
  <c r="Q51" i="11" s="1"/>
  <c r="C611" i="15" s="1"/>
  <c r="S39" i="1"/>
  <c r="O52" i="11"/>
  <c r="Q52" i="11" s="1"/>
  <c r="S40" i="1"/>
  <c r="T16" i="1"/>
  <c r="D580" i="15" l="1"/>
  <c r="C581" i="15"/>
  <c r="D581" i="15" s="1"/>
  <c r="N37" i="13"/>
  <c r="H70" i="16"/>
  <c r="H79" i="16" s="1"/>
  <c r="C887" i="15"/>
  <c r="D887" i="15" s="1"/>
  <c r="C796" i="15"/>
  <c r="D796" i="15" s="1"/>
  <c r="J40" i="13"/>
  <c r="L40" i="13" s="1"/>
  <c r="N40" i="13" s="1"/>
  <c r="C641" i="15"/>
  <c r="J39" i="13"/>
  <c r="L39" i="13" s="1"/>
  <c r="N39" i="13" s="1"/>
  <c r="J41" i="13"/>
  <c r="L41" i="13" s="1"/>
  <c r="N41" i="13" s="1"/>
  <c r="C671" i="15"/>
  <c r="N13" i="13"/>
  <c r="C58" i="15"/>
  <c r="J47" i="13"/>
  <c r="L47" i="13" s="1"/>
  <c r="C978" i="15"/>
  <c r="D765" i="15"/>
  <c r="C766" i="15"/>
  <c r="D766" i="15" s="1"/>
  <c r="D702" i="15"/>
  <c r="C703" i="15"/>
  <c r="D703" i="15" s="1"/>
  <c r="D948" i="15"/>
  <c r="D949" i="15"/>
  <c r="D856" i="15"/>
  <c r="C857" i="15"/>
  <c r="D857" i="15" s="1"/>
  <c r="C734" i="15"/>
  <c r="D734" i="15" s="1"/>
  <c r="D733" i="15"/>
  <c r="D85" i="11"/>
  <c r="Q46" i="11"/>
  <c r="J34" i="13" s="1"/>
  <c r="O60" i="11"/>
  <c r="U11" i="3"/>
  <c r="D611" i="15" l="1"/>
  <c r="C612" i="15"/>
  <c r="D612" i="15" s="1"/>
  <c r="N47" i="13"/>
  <c r="L34" i="13"/>
  <c r="C550" i="15"/>
  <c r="D978" i="15"/>
  <c r="C979" i="15"/>
  <c r="D979" i="15" s="1"/>
  <c r="C59" i="15"/>
  <c r="D59" i="15" s="1"/>
  <c r="D58" i="15"/>
  <c r="D671" i="15"/>
  <c r="C672" i="15"/>
  <c r="D672" i="15" s="1"/>
  <c r="D641" i="15"/>
  <c r="C642" i="15"/>
  <c r="D642" i="15" s="1"/>
  <c r="E46" i="3"/>
  <c r="C7" i="15" s="1"/>
  <c r="N34" i="13" l="1"/>
  <c r="C23" i="15"/>
  <c r="D23" i="15" s="1"/>
  <c r="D7" i="15"/>
  <c r="C27" i="15"/>
  <c r="D27" i="15" s="1"/>
  <c r="D550" i="15"/>
  <c r="C551" i="15"/>
  <c r="D551" i="15" s="1"/>
  <c r="I56" i="3"/>
  <c r="K56" i="3"/>
  <c r="K46" i="3"/>
  <c r="K45" i="3"/>
  <c r="I46" i="3"/>
  <c r="I45" i="3"/>
  <c r="G56" i="3"/>
  <c r="V64" i="1" s="1"/>
  <c r="W64" i="1" s="1"/>
  <c r="G55" i="3"/>
  <c r="V63" i="1" s="1"/>
  <c r="W63" i="1" s="1"/>
  <c r="G46" i="3"/>
  <c r="V46" i="1" s="1"/>
  <c r="W46" i="1" s="1"/>
  <c r="G30" i="3"/>
  <c r="V30" i="1" s="1"/>
  <c r="H22" i="2"/>
  <c r="H21" i="2"/>
  <c r="H19" i="2"/>
  <c r="H18" i="2"/>
  <c r="H17" i="2"/>
  <c r="H16" i="2"/>
  <c r="W30" i="1" l="1"/>
  <c r="X30" i="1" s="1"/>
  <c r="Z30" i="1" s="1"/>
  <c r="C292" i="5"/>
  <c r="A292" i="5"/>
  <c r="R298" i="5"/>
  <c r="O298" i="5"/>
  <c r="R297" i="5"/>
  <c r="O297" i="5"/>
  <c r="R296" i="5"/>
  <c r="O296" i="5"/>
  <c r="R295" i="5"/>
  <c r="O295" i="5"/>
  <c r="R294" i="5"/>
  <c r="O294" i="5"/>
  <c r="R293" i="5"/>
  <c r="O293" i="5"/>
  <c r="R290" i="5"/>
  <c r="O290" i="5"/>
  <c r="O289" i="5"/>
  <c r="R288" i="5"/>
  <c r="O288" i="5"/>
  <c r="R287" i="5"/>
  <c r="O287" i="5"/>
  <c r="R286" i="5"/>
  <c r="O286" i="5"/>
  <c r="O285" i="5"/>
  <c r="R282" i="5"/>
  <c r="O282" i="5"/>
  <c r="O281" i="5"/>
  <c r="R280" i="5"/>
  <c r="O280" i="5"/>
  <c r="R279" i="5"/>
  <c r="O279" i="5"/>
  <c r="R278" i="5"/>
  <c r="O278" i="5"/>
  <c r="O277" i="5"/>
  <c r="R274" i="5"/>
  <c r="O274" i="5"/>
  <c r="O273" i="5"/>
  <c r="R272" i="5"/>
  <c r="O272" i="5"/>
  <c r="R271" i="5"/>
  <c r="O271" i="5"/>
  <c r="R270" i="5"/>
  <c r="O270" i="5"/>
  <c r="O269" i="5"/>
  <c r="R266" i="5"/>
  <c r="O266" i="5"/>
  <c r="O265" i="5"/>
  <c r="R264" i="5"/>
  <c r="O264" i="5"/>
  <c r="R263" i="5"/>
  <c r="O263" i="5"/>
  <c r="R262" i="5"/>
  <c r="O262" i="5"/>
  <c r="O261" i="5"/>
  <c r="R258" i="5"/>
  <c r="O258" i="5"/>
  <c r="O257" i="5"/>
  <c r="R256" i="5"/>
  <c r="O256" i="5"/>
  <c r="R255" i="5"/>
  <c r="O255" i="5"/>
  <c r="R254" i="5"/>
  <c r="O254" i="5"/>
  <c r="O253" i="5"/>
  <c r="R250" i="5"/>
  <c r="O250" i="5"/>
  <c r="O249" i="5"/>
  <c r="R248" i="5"/>
  <c r="O248" i="5"/>
  <c r="R247" i="5"/>
  <c r="O247" i="5"/>
  <c r="R246" i="5"/>
  <c r="O246" i="5"/>
  <c r="O245" i="5"/>
  <c r="R242" i="5"/>
  <c r="O242" i="5"/>
  <c r="O241" i="5"/>
  <c r="R240" i="5"/>
  <c r="O240" i="5"/>
  <c r="R239" i="5"/>
  <c r="O239" i="5"/>
  <c r="R238" i="5"/>
  <c r="O238" i="5"/>
  <c r="O237" i="5"/>
  <c r="R234" i="5"/>
  <c r="O234" i="5"/>
  <c r="O233" i="5"/>
  <c r="R232" i="5"/>
  <c r="O232" i="5"/>
  <c r="R231" i="5"/>
  <c r="O231" i="5"/>
  <c r="R230" i="5"/>
  <c r="O230" i="5"/>
  <c r="O229" i="5"/>
  <c r="R226" i="5"/>
  <c r="O226" i="5"/>
  <c r="O225" i="5"/>
  <c r="R224" i="5"/>
  <c r="O224" i="5"/>
  <c r="R223" i="5"/>
  <c r="O223" i="5"/>
  <c r="R222" i="5"/>
  <c r="O222" i="5"/>
  <c r="O221" i="5"/>
  <c r="R218" i="5"/>
  <c r="O218" i="5"/>
  <c r="O217" i="5"/>
  <c r="R215" i="5"/>
  <c r="O215" i="5"/>
  <c r="O214" i="5"/>
  <c r="O213" i="5"/>
  <c r="R210" i="5"/>
  <c r="O210" i="5"/>
  <c r="O209" i="5"/>
  <c r="R207" i="5"/>
  <c r="O207" i="5"/>
  <c r="O206" i="5"/>
  <c r="O205" i="5"/>
  <c r="R202" i="5"/>
  <c r="O202" i="5"/>
  <c r="O201" i="5"/>
  <c r="R199" i="5"/>
  <c r="O199" i="5"/>
  <c r="O198" i="5"/>
  <c r="O197" i="5"/>
  <c r="R194" i="5"/>
  <c r="O194" i="5"/>
  <c r="O193" i="5"/>
  <c r="R191" i="5"/>
  <c r="O191" i="5"/>
  <c r="O190" i="5"/>
  <c r="O189" i="5"/>
  <c r="C186" i="5"/>
  <c r="C177" i="5"/>
  <c r="A177" i="5"/>
  <c r="R183" i="5"/>
  <c r="O183" i="5"/>
  <c r="R182" i="5"/>
  <c r="O182" i="5"/>
  <c r="R181" i="5"/>
  <c r="O181" i="5"/>
  <c r="R180" i="5"/>
  <c r="O180" i="5"/>
  <c r="R179" i="5"/>
  <c r="O179" i="5"/>
  <c r="R178" i="5"/>
  <c r="O178" i="5"/>
  <c r="R175" i="5"/>
  <c r="O175" i="5"/>
  <c r="O174" i="5"/>
  <c r="R173" i="5"/>
  <c r="O173" i="5"/>
  <c r="R172" i="5"/>
  <c r="O172" i="5"/>
  <c r="R171" i="5"/>
  <c r="O171" i="5"/>
  <c r="O170" i="5"/>
  <c r="R167" i="5"/>
  <c r="O167" i="5"/>
  <c r="O166" i="5"/>
  <c r="R165" i="5"/>
  <c r="O165" i="5"/>
  <c r="R164" i="5"/>
  <c r="O164" i="5"/>
  <c r="R163" i="5"/>
  <c r="O163" i="5"/>
  <c r="O162" i="5"/>
  <c r="R159" i="5"/>
  <c r="O159" i="5"/>
  <c r="O158" i="5"/>
  <c r="R157" i="5"/>
  <c r="O157" i="5"/>
  <c r="R156" i="5"/>
  <c r="O156" i="5"/>
  <c r="R155" i="5"/>
  <c r="O155" i="5"/>
  <c r="O154" i="5"/>
  <c r="R151" i="5"/>
  <c r="O151" i="5"/>
  <c r="O150" i="5"/>
  <c r="R149" i="5"/>
  <c r="O149" i="5"/>
  <c r="R148" i="5"/>
  <c r="O148" i="5"/>
  <c r="R147" i="5"/>
  <c r="O147" i="5"/>
  <c r="O146" i="5"/>
  <c r="R143" i="5"/>
  <c r="R141" i="5"/>
  <c r="R140" i="5"/>
  <c r="R139" i="5"/>
  <c r="C135" i="5"/>
  <c r="R133" i="5"/>
  <c r="O133" i="5"/>
  <c r="O132" i="5"/>
  <c r="R131" i="5"/>
  <c r="O131" i="5"/>
  <c r="R130" i="5"/>
  <c r="O130" i="5"/>
  <c r="R129" i="5"/>
  <c r="O129" i="5"/>
  <c r="O128" i="5"/>
  <c r="R125" i="5"/>
  <c r="O125" i="5"/>
  <c r="O124" i="5"/>
  <c r="R123" i="5"/>
  <c r="O123" i="5"/>
  <c r="R122" i="5"/>
  <c r="O122" i="5"/>
  <c r="R121" i="5"/>
  <c r="O121" i="5"/>
  <c r="O120" i="5"/>
  <c r="R117" i="5"/>
  <c r="O117" i="5"/>
  <c r="O116" i="5"/>
  <c r="R115" i="5"/>
  <c r="O115" i="5"/>
  <c r="R114" i="5"/>
  <c r="O114" i="5"/>
  <c r="R113" i="5"/>
  <c r="O113" i="5"/>
  <c r="O112" i="5"/>
  <c r="R109" i="5"/>
  <c r="O109" i="5"/>
  <c r="O108" i="5"/>
  <c r="R107" i="5"/>
  <c r="O107" i="5"/>
  <c r="R106" i="5"/>
  <c r="O106" i="5"/>
  <c r="R105" i="5"/>
  <c r="O105" i="5"/>
  <c r="O104" i="5"/>
  <c r="R101" i="5"/>
  <c r="O101" i="5"/>
  <c r="O100" i="5"/>
  <c r="R99" i="5"/>
  <c r="O99" i="5"/>
  <c r="R98" i="5"/>
  <c r="O98" i="5"/>
  <c r="R97" i="5"/>
  <c r="O97" i="5"/>
  <c r="O96" i="5"/>
  <c r="R93" i="5"/>
  <c r="O93" i="5"/>
  <c r="O92" i="5"/>
  <c r="R91" i="5"/>
  <c r="O91" i="5"/>
  <c r="R90" i="5"/>
  <c r="O90" i="5"/>
  <c r="R89" i="5"/>
  <c r="O89" i="5"/>
  <c r="O88" i="5"/>
  <c r="R85" i="5"/>
  <c r="O85" i="5"/>
  <c r="O84" i="5"/>
  <c r="R83" i="5"/>
  <c r="O83" i="5"/>
  <c r="R82" i="5"/>
  <c r="O82" i="5"/>
  <c r="R81" i="5"/>
  <c r="O81" i="5"/>
  <c r="O80" i="5"/>
  <c r="R77" i="5"/>
  <c r="O77" i="5"/>
  <c r="O76" i="5"/>
  <c r="R75" i="5"/>
  <c r="O75" i="5"/>
  <c r="R74" i="5"/>
  <c r="O74" i="5"/>
  <c r="R73" i="5"/>
  <c r="O73" i="5"/>
  <c r="O72" i="5"/>
  <c r="R69" i="5"/>
  <c r="O69" i="5"/>
  <c r="O68" i="5"/>
  <c r="R67" i="5"/>
  <c r="O67" i="5"/>
  <c r="R66" i="5"/>
  <c r="O66" i="5"/>
  <c r="R65" i="5"/>
  <c r="O65" i="5"/>
  <c r="O64" i="5"/>
  <c r="R61" i="5"/>
  <c r="O61" i="5"/>
  <c r="O60" i="5"/>
  <c r="R59" i="5"/>
  <c r="O59" i="5"/>
  <c r="R58" i="5"/>
  <c r="O58" i="5"/>
  <c r="R57" i="5"/>
  <c r="O57" i="5"/>
  <c r="O56" i="5"/>
  <c r="R53" i="5"/>
  <c r="O53" i="5"/>
  <c r="O52" i="5"/>
  <c r="R51" i="5"/>
  <c r="O51" i="5"/>
  <c r="R50" i="5"/>
  <c r="O50" i="5"/>
  <c r="R49" i="5"/>
  <c r="O49" i="5"/>
  <c r="O48" i="5"/>
  <c r="R45" i="5"/>
  <c r="O45" i="5"/>
  <c r="O44" i="5"/>
  <c r="R43" i="5"/>
  <c r="O43" i="5"/>
  <c r="R42" i="5"/>
  <c r="O42" i="5"/>
  <c r="R41" i="5"/>
  <c r="O41" i="5"/>
  <c r="O40" i="5"/>
  <c r="R37" i="5"/>
  <c r="O37" i="5"/>
  <c r="O36" i="5"/>
  <c r="R35" i="5"/>
  <c r="O35" i="5"/>
  <c r="R34" i="5"/>
  <c r="O34" i="5"/>
  <c r="R33" i="5"/>
  <c r="O33" i="5"/>
  <c r="O32" i="5"/>
  <c r="R29" i="5"/>
  <c r="O29" i="5"/>
  <c r="O28" i="5"/>
  <c r="R27" i="5"/>
  <c r="O27" i="5"/>
  <c r="R26" i="5"/>
  <c r="O26" i="5"/>
  <c r="R25" i="5"/>
  <c r="O25" i="5"/>
  <c r="O24" i="5"/>
  <c r="R21" i="5"/>
  <c r="O21" i="5"/>
  <c r="O20" i="5"/>
  <c r="R19" i="5"/>
  <c r="O19" i="5"/>
  <c r="R18" i="5"/>
  <c r="O18" i="5"/>
  <c r="R17" i="5"/>
  <c r="O17" i="5"/>
  <c r="O16" i="5"/>
  <c r="C13" i="5"/>
  <c r="A3" i="5"/>
  <c r="E45" i="2" l="1"/>
  <c r="P45" i="2"/>
  <c r="H45" i="2"/>
  <c r="T46" i="1"/>
  <c r="H46" i="2"/>
  <c r="E47" i="2"/>
  <c r="M47" i="3"/>
  <c r="T47" i="1"/>
  <c r="H47" i="2"/>
  <c r="E48" i="2"/>
  <c r="M48" i="3"/>
  <c r="T48" i="1"/>
  <c r="H48" i="2"/>
  <c r="E53" i="2"/>
  <c r="M49" i="3"/>
  <c r="T54" i="1"/>
  <c r="H53" i="2"/>
  <c r="E54" i="2"/>
  <c r="M50" i="3"/>
  <c r="T55" i="1"/>
  <c r="H54" i="2"/>
  <c r="E55" i="2"/>
  <c r="M51" i="3"/>
  <c r="T56" i="1"/>
  <c r="H55" i="2"/>
  <c r="E56" i="2"/>
  <c r="M52" i="3"/>
  <c r="T57" i="1"/>
  <c r="H56" i="2"/>
  <c r="E57" i="2"/>
  <c r="M53" i="3"/>
  <c r="T61" i="1"/>
  <c r="H57" i="2"/>
  <c r="E58" i="2"/>
  <c r="M54" i="3"/>
  <c r="M55" i="3"/>
  <c r="T62" i="1"/>
  <c r="H58" i="2"/>
  <c r="E59" i="2"/>
  <c r="T63" i="1"/>
  <c r="H59" i="2"/>
  <c r="E60" i="2"/>
  <c r="T64" i="1"/>
  <c r="H60" i="2"/>
  <c r="E61" i="2"/>
  <c r="M57" i="3"/>
  <c r="T65" i="1"/>
  <c r="H61" i="2"/>
  <c r="M58" i="3"/>
  <c r="T66" i="1"/>
  <c r="H62" i="2"/>
  <c r="M59" i="3"/>
  <c r="T67" i="1"/>
  <c r="H63" i="2"/>
  <c r="M16" i="3"/>
  <c r="E16" i="2"/>
  <c r="M17" i="3"/>
  <c r="E17" i="2"/>
  <c r="T17" i="1"/>
  <c r="M18" i="3"/>
  <c r="T18" i="1"/>
  <c r="M19" i="3"/>
  <c r="T19" i="1"/>
  <c r="M21" i="3"/>
  <c r="T21" i="1"/>
  <c r="M22" i="3"/>
  <c r="T22" i="1"/>
  <c r="M23" i="3"/>
  <c r="T23" i="1"/>
  <c r="H23" i="2"/>
  <c r="M24" i="3"/>
  <c r="T24" i="1"/>
  <c r="H24" i="2"/>
  <c r="M25" i="3"/>
  <c r="E25" i="2"/>
  <c r="T25" i="1"/>
  <c r="H25" i="2"/>
  <c r="M26" i="3"/>
  <c r="E26" i="2"/>
  <c r="T26" i="1"/>
  <c r="H26" i="2"/>
  <c r="M27" i="3"/>
  <c r="T27" i="1"/>
  <c r="H27" i="2"/>
  <c r="M28" i="3"/>
  <c r="T28" i="1"/>
  <c r="H28" i="2"/>
  <c r="M29" i="3"/>
  <c r="E29" i="2"/>
  <c r="T29" i="1"/>
  <c r="H29" i="2"/>
  <c r="T30" i="1"/>
  <c r="E30" i="2"/>
  <c r="H30" i="2"/>
  <c r="M31" i="3"/>
  <c r="T31" i="1"/>
  <c r="H31" i="2"/>
  <c r="M38" i="3"/>
  <c r="T38" i="1"/>
  <c r="H38" i="2"/>
  <c r="M39" i="3"/>
  <c r="E39" i="2"/>
  <c r="T39" i="1"/>
  <c r="H39" i="2"/>
  <c r="M40" i="3"/>
  <c r="E40" i="2"/>
  <c r="T40" i="1"/>
  <c r="H40" i="2"/>
  <c r="M41" i="3"/>
  <c r="E41" i="2"/>
  <c r="T41" i="1"/>
  <c r="H41" i="2"/>
  <c r="M45" i="3"/>
  <c r="M46" i="3"/>
  <c r="M56" i="3"/>
  <c r="C14" i="2"/>
  <c r="O59" i="3"/>
  <c r="O58" i="3"/>
  <c r="O57" i="3"/>
  <c r="O56" i="3"/>
  <c r="O55" i="3"/>
  <c r="O54" i="3"/>
  <c r="O53" i="3"/>
  <c r="O52" i="3"/>
  <c r="O51" i="3"/>
  <c r="O50" i="3"/>
  <c r="O49" i="3"/>
  <c r="O48" i="3"/>
  <c r="O47" i="3"/>
  <c r="O46" i="3"/>
  <c r="O45" i="3"/>
  <c r="O41" i="3"/>
  <c r="O40" i="3"/>
  <c r="O39" i="3"/>
  <c r="O38" i="3"/>
  <c r="O31" i="3"/>
  <c r="O30" i="3"/>
  <c r="O29" i="3"/>
  <c r="O28" i="3"/>
  <c r="O27" i="3"/>
  <c r="O26" i="3"/>
  <c r="O25" i="3"/>
  <c r="O24" i="3"/>
  <c r="O23" i="3"/>
  <c r="O22" i="3"/>
  <c r="O21" i="3"/>
  <c r="O19" i="3"/>
  <c r="O18" i="3"/>
  <c r="O17" i="3"/>
  <c r="O16" i="3"/>
  <c r="M30" i="3"/>
  <c r="S76" i="3"/>
  <c r="L53" i="2"/>
  <c r="L48" i="2"/>
  <c r="L47" i="2"/>
  <c r="L46" i="2"/>
  <c r="L31" i="2"/>
  <c r="L29" i="2"/>
  <c r="L27" i="2"/>
  <c r="L26" i="2"/>
  <c r="L25" i="2"/>
  <c r="L24" i="2"/>
  <c r="L23" i="2"/>
  <c r="L22" i="2"/>
  <c r="L21" i="2"/>
  <c r="L19" i="2"/>
  <c r="L18" i="2"/>
  <c r="L17" i="2"/>
  <c r="L16" i="2"/>
  <c r="L41" i="2"/>
  <c r="L40" i="2"/>
  <c r="L39" i="2"/>
  <c r="L38" i="2"/>
  <c r="L61" i="2"/>
  <c r="L60" i="2"/>
  <c r="C913" i="15" s="1"/>
  <c r="D913" i="15" s="1"/>
  <c r="L59" i="2"/>
  <c r="C882" i="15" s="1"/>
  <c r="L58" i="2"/>
  <c r="L57" i="2"/>
  <c r="C822" i="15" s="1"/>
  <c r="L56" i="2"/>
  <c r="C791" i="15" s="1"/>
  <c r="L55" i="2"/>
  <c r="C761" i="15" s="1"/>
  <c r="L54" i="2"/>
  <c r="A59" i="2"/>
  <c r="A63" i="1"/>
  <c r="C63" i="1"/>
  <c r="C260" i="5" s="1"/>
  <c r="C14" i="3"/>
  <c r="C43" i="3"/>
  <c r="C36" i="3"/>
  <c r="C16" i="1"/>
  <c r="C15" i="5" s="1"/>
  <c r="A16" i="1"/>
  <c r="C16" i="2"/>
  <c r="A16" i="2"/>
  <c r="L30" i="2"/>
  <c r="L63" i="2"/>
  <c r="C974" i="15" s="1"/>
  <c r="C31" i="1"/>
  <c r="C127" i="5" s="1"/>
  <c r="C31" i="2"/>
  <c r="A31" i="2"/>
  <c r="C30" i="2"/>
  <c r="A30" i="2"/>
  <c r="C29" i="2"/>
  <c r="A29" i="2"/>
  <c r="C28" i="2"/>
  <c r="A28" i="2"/>
  <c r="C27" i="2"/>
  <c r="A27" i="2"/>
  <c r="C26" i="2"/>
  <c r="A26" i="2"/>
  <c r="C25" i="2"/>
  <c r="A25" i="2"/>
  <c r="C24" i="2"/>
  <c r="A24" i="2"/>
  <c r="C23" i="2"/>
  <c r="A23" i="2"/>
  <c r="C22" i="2"/>
  <c r="A22" i="2"/>
  <c r="C21" i="2"/>
  <c r="A21" i="2"/>
  <c r="C19" i="2"/>
  <c r="A19" i="2"/>
  <c r="C18" i="2"/>
  <c r="A18" i="2"/>
  <c r="A31" i="1"/>
  <c r="A127" i="5" s="1"/>
  <c r="C63" i="2"/>
  <c r="A63" i="2"/>
  <c r="C62" i="2"/>
  <c r="A62" i="2"/>
  <c r="C61" i="2"/>
  <c r="A61" i="2"/>
  <c r="C60" i="2"/>
  <c r="A60" i="2"/>
  <c r="C58" i="2"/>
  <c r="A58" i="2"/>
  <c r="C57" i="2"/>
  <c r="A57" i="2"/>
  <c r="C56" i="2"/>
  <c r="A56" i="2"/>
  <c r="C55" i="2"/>
  <c r="A55" i="2"/>
  <c r="C54" i="2"/>
  <c r="A54" i="2"/>
  <c r="C48" i="2"/>
  <c r="A48" i="2"/>
  <c r="C47" i="2"/>
  <c r="A47" i="2"/>
  <c r="C46" i="2"/>
  <c r="A46" i="2"/>
  <c r="C45" i="2"/>
  <c r="A45" i="2"/>
  <c r="C41" i="2"/>
  <c r="A41" i="2"/>
  <c r="B53" i="11" s="1"/>
  <c r="B52" i="16" s="1"/>
  <c r="C40" i="2"/>
  <c r="A40" i="2"/>
  <c r="B52" i="11" s="1"/>
  <c r="B51" i="16" s="1"/>
  <c r="C39" i="2"/>
  <c r="A39" i="2"/>
  <c r="B51" i="11" s="1"/>
  <c r="B50" i="16" s="1"/>
  <c r="C38" i="2"/>
  <c r="A38" i="2"/>
  <c r="B50" i="11" s="1"/>
  <c r="B49" i="16" s="1"/>
  <c r="C53" i="2"/>
  <c r="A53" i="2"/>
  <c r="C67" i="1"/>
  <c r="C284" i="5" s="1"/>
  <c r="A67" i="1"/>
  <c r="A284" i="5" s="1"/>
  <c r="C66" i="1"/>
  <c r="C276" i="5" s="1"/>
  <c r="A66" i="1"/>
  <c r="A276" i="5" s="1"/>
  <c r="C65" i="1"/>
  <c r="C268" i="5" s="1"/>
  <c r="A65" i="1"/>
  <c r="C64" i="1"/>
  <c r="A64" i="1"/>
  <c r="C62" i="1"/>
  <c r="C252" i="5" s="1"/>
  <c r="A62" i="1"/>
  <c r="C61" i="1"/>
  <c r="C244" i="5" s="1"/>
  <c r="A61" i="1"/>
  <c r="A244" i="5" s="1"/>
  <c r="C57" i="1"/>
  <c r="C236" i="5" s="1"/>
  <c r="A57" i="1"/>
  <c r="C56" i="1"/>
  <c r="C228" i="5" s="1"/>
  <c r="A56" i="1"/>
  <c r="A228" i="5" s="1"/>
  <c r="C55" i="1"/>
  <c r="C220" i="5" s="1"/>
  <c r="A55" i="1"/>
  <c r="C48" i="1"/>
  <c r="C204" i="5" s="1"/>
  <c r="A48" i="1"/>
  <c r="A204" i="5" s="1"/>
  <c r="C47" i="1"/>
  <c r="C196" i="5" s="1"/>
  <c r="A47" i="1"/>
  <c r="A196" i="5" s="1"/>
  <c r="C46" i="1"/>
  <c r="C188" i="5" s="1"/>
  <c r="A46" i="1"/>
  <c r="A188" i="5" s="1"/>
  <c r="C45" i="1"/>
  <c r="A45" i="1"/>
  <c r="C41" i="1"/>
  <c r="C169" i="5" s="1"/>
  <c r="A41" i="1"/>
  <c r="A169" i="5" s="1"/>
  <c r="C40" i="1"/>
  <c r="C161" i="5" s="1"/>
  <c r="A40" i="1"/>
  <c r="A161" i="5" s="1"/>
  <c r="C39" i="1"/>
  <c r="C153" i="5" s="1"/>
  <c r="A39" i="1"/>
  <c r="A153" i="5" s="1"/>
  <c r="C38" i="1"/>
  <c r="C145" i="5" s="1"/>
  <c r="A38" i="1"/>
  <c r="A145" i="5" s="1"/>
  <c r="C54" i="1"/>
  <c r="C212" i="5" s="1"/>
  <c r="A54" i="1"/>
  <c r="A212" i="5" s="1"/>
  <c r="C30" i="1"/>
  <c r="C119" i="5" s="1"/>
  <c r="A30" i="1"/>
  <c r="C29" i="1"/>
  <c r="C111" i="5" s="1"/>
  <c r="A29" i="1"/>
  <c r="A111" i="5" s="1"/>
  <c r="C28" i="1"/>
  <c r="C103" i="5" s="1"/>
  <c r="A28" i="1"/>
  <c r="A103" i="5" s="1"/>
  <c r="C27" i="1"/>
  <c r="C95" i="5" s="1"/>
  <c r="A27" i="1"/>
  <c r="A95" i="5" s="1"/>
  <c r="C26" i="1"/>
  <c r="C87" i="5" s="1"/>
  <c r="A26" i="1"/>
  <c r="A87" i="5" s="1"/>
  <c r="C25" i="1"/>
  <c r="C79" i="5" s="1"/>
  <c r="A25" i="1"/>
  <c r="A79" i="5" s="1"/>
  <c r="C24" i="1"/>
  <c r="C71" i="5" s="1"/>
  <c r="A24" i="1"/>
  <c r="C23" i="1"/>
  <c r="C63" i="5" s="1"/>
  <c r="A23" i="1"/>
  <c r="A63" i="5" s="1"/>
  <c r="C22" i="1"/>
  <c r="C55" i="5" s="1"/>
  <c r="A22" i="1"/>
  <c r="A55" i="5" s="1"/>
  <c r="C21" i="1"/>
  <c r="C47" i="5" s="1"/>
  <c r="A21" i="1"/>
  <c r="A47" i="5" s="1"/>
  <c r="C19" i="1"/>
  <c r="C39" i="5" s="1"/>
  <c r="A19" i="1"/>
  <c r="C18" i="1"/>
  <c r="C31" i="5" s="1"/>
  <c r="A18" i="1"/>
  <c r="A31" i="5" s="1"/>
  <c r="C17" i="2"/>
  <c r="A17" i="1"/>
  <c r="A23" i="5" s="1"/>
  <c r="C17" i="1"/>
  <c r="C23" i="5" s="1"/>
  <c r="O14" i="3"/>
  <c r="A17" i="2"/>
  <c r="C36" i="2"/>
  <c r="C43" i="2"/>
  <c r="E5" i="2"/>
  <c r="M44" i="2"/>
  <c r="N44" i="2" s="1"/>
  <c r="L28" i="2"/>
  <c r="F11" i="2"/>
  <c r="E11" i="2"/>
  <c r="Q11" i="3"/>
  <c r="L5" i="2"/>
  <c r="A2" i="2"/>
  <c r="F11" i="3"/>
  <c r="M2" i="3"/>
  <c r="A2" i="3"/>
  <c r="O43" i="3"/>
  <c r="O36" i="3"/>
  <c r="O33" i="3"/>
  <c r="U72" i="3"/>
  <c r="L45" i="2"/>
  <c r="H33" i="3"/>
  <c r="H61" i="3"/>
  <c r="I55" i="2" l="1"/>
  <c r="H69" i="3"/>
  <c r="D791" i="15"/>
  <c r="C792" i="15"/>
  <c r="D792" i="15" s="1"/>
  <c r="L62" i="2"/>
  <c r="C944" i="15"/>
  <c r="C950" i="15" s="1"/>
  <c r="J56" i="13" s="1"/>
  <c r="D974" i="15"/>
  <c r="C975" i="15"/>
  <c r="D975" i="15" s="1"/>
  <c r="D761" i="15"/>
  <c r="C762" i="15"/>
  <c r="D762" i="15" s="1"/>
  <c r="D822" i="15"/>
  <c r="C823" i="15"/>
  <c r="D823" i="15" s="1"/>
  <c r="D882" i="15"/>
  <c r="C883" i="15"/>
  <c r="D883" i="15" s="1"/>
  <c r="I41" i="2"/>
  <c r="I40" i="2"/>
  <c r="I39" i="2"/>
  <c r="I17" i="2"/>
  <c r="I16" i="2"/>
  <c r="I60" i="2"/>
  <c r="I58" i="2"/>
  <c r="I57" i="2"/>
  <c r="I56" i="2"/>
  <c r="I54" i="2"/>
  <c r="I53" i="2"/>
  <c r="I48" i="2"/>
  <c r="I30" i="2"/>
  <c r="I29" i="2"/>
  <c r="I26" i="2"/>
  <c r="I25" i="2"/>
  <c r="I63" i="2"/>
  <c r="I61" i="2"/>
  <c r="I59" i="2"/>
  <c r="Q45" i="2"/>
  <c r="I45" i="2"/>
  <c r="M30" i="2"/>
  <c r="F75" i="3"/>
  <c r="E24" i="2"/>
  <c r="E19" i="2"/>
  <c r="E18" i="2"/>
  <c r="E76" i="3"/>
  <c r="A15" i="5"/>
  <c r="M55" i="2"/>
  <c r="X46" i="1"/>
  <c r="Z46" i="1" s="1"/>
  <c r="R193" i="5"/>
  <c r="A260" i="5"/>
  <c r="M58" i="2"/>
  <c r="M54" i="2"/>
  <c r="M17" i="2"/>
  <c r="M60" i="2"/>
  <c r="M57" i="2"/>
  <c r="M53" i="2"/>
  <c r="A39" i="5"/>
  <c r="A71" i="5"/>
  <c r="A119" i="5"/>
  <c r="A220" i="5"/>
  <c r="A236" i="5"/>
  <c r="A252" i="5"/>
  <c r="A268" i="5"/>
  <c r="M39" i="2"/>
  <c r="R142" i="5"/>
  <c r="R124" i="5"/>
  <c r="M16" i="2"/>
  <c r="M56" i="2"/>
  <c r="E23" i="2"/>
  <c r="M62" i="2"/>
  <c r="E31" i="2"/>
  <c r="M63" i="2"/>
  <c r="M29" i="2"/>
  <c r="M25" i="2"/>
  <c r="E61" i="3"/>
  <c r="E69" i="3" s="1"/>
  <c r="M61" i="2"/>
  <c r="M45" i="2"/>
  <c r="M59" i="2"/>
  <c r="M40" i="2"/>
  <c r="M26" i="2"/>
  <c r="M41" i="2"/>
  <c r="E46" i="2"/>
  <c r="E79" i="2"/>
  <c r="E22" i="2"/>
  <c r="E27" i="2"/>
  <c r="E38" i="2"/>
  <c r="E28" i="2"/>
  <c r="E21" i="2"/>
  <c r="X64" i="1"/>
  <c r="Z64" i="1" s="1"/>
  <c r="D944" i="15" l="1"/>
  <c r="C945" i="15"/>
  <c r="D945" i="15" s="1"/>
  <c r="I28" i="2"/>
  <c r="I23" i="2"/>
  <c r="I21" i="2"/>
  <c r="I38" i="2"/>
  <c r="I22" i="2"/>
  <c r="M46" i="2"/>
  <c r="I46" i="2"/>
  <c r="M19" i="2"/>
  <c r="I19" i="2"/>
  <c r="I27" i="2"/>
  <c r="I31" i="2"/>
  <c r="I18" i="2"/>
  <c r="I24" i="2"/>
  <c r="R189" i="5"/>
  <c r="N57" i="2"/>
  <c r="N30" i="2"/>
  <c r="M31" i="2"/>
  <c r="N60" i="2"/>
  <c r="M18" i="2"/>
  <c r="N17" i="2"/>
  <c r="N25" i="2"/>
  <c r="N58" i="2"/>
  <c r="N47" i="2"/>
  <c r="N56" i="2"/>
  <c r="M24" i="2"/>
  <c r="N24" i="2" s="1"/>
  <c r="N54" i="2"/>
  <c r="N62" i="2"/>
  <c r="N39" i="2"/>
  <c r="N55" i="2"/>
  <c r="N53" i="2"/>
  <c r="X63" i="1"/>
  <c r="Z63" i="1" s="1"/>
  <c r="R265" i="5"/>
  <c r="P30" i="2"/>
  <c r="Q30" i="2" s="1"/>
  <c r="R30" i="2" s="1"/>
  <c r="R138" i="5"/>
  <c r="R120" i="5"/>
  <c r="M23" i="2"/>
  <c r="N63" i="2"/>
  <c r="N40" i="2"/>
  <c r="N59" i="2"/>
  <c r="N29" i="2"/>
  <c r="N41" i="2"/>
  <c r="N61" i="2"/>
  <c r="N45" i="2"/>
  <c r="N26" i="2"/>
  <c r="M21" i="2"/>
  <c r="E33" i="2"/>
  <c r="P46" i="2"/>
  <c r="Q46" i="2" s="1"/>
  <c r="N16" i="2"/>
  <c r="E65" i="2"/>
  <c r="M38" i="2"/>
  <c r="R45" i="2"/>
  <c r="M28" i="2"/>
  <c r="M22" i="2"/>
  <c r="M27" i="2"/>
  <c r="E72" i="2" l="1"/>
  <c r="N46" i="2"/>
  <c r="N19" i="2"/>
  <c r="N23" i="2"/>
  <c r="N31" i="2"/>
  <c r="N18" i="2"/>
  <c r="R261" i="5"/>
  <c r="P59" i="2"/>
  <c r="E77" i="3"/>
  <c r="I33" i="2"/>
  <c r="H33" i="2" s="1"/>
  <c r="I65" i="2"/>
  <c r="N27" i="2"/>
  <c r="N22" i="2"/>
  <c r="N28" i="2"/>
  <c r="N21" i="2"/>
  <c r="M33" i="2"/>
  <c r="L33" i="2" s="1"/>
  <c r="P60" i="2"/>
  <c r="N38" i="2"/>
  <c r="N65" i="2" s="1"/>
  <c r="M65" i="2"/>
  <c r="R46" i="2"/>
  <c r="M72" i="2" l="1"/>
  <c r="I72" i="2"/>
  <c r="H72" i="2" s="1"/>
  <c r="Q60" i="2"/>
  <c r="R60" i="2" s="1"/>
  <c r="C917" i="15"/>
  <c r="H65" i="2"/>
  <c r="Q59" i="2"/>
  <c r="R59" i="2" s="1"/>
  <c r="L72" i="2"/>
  <c r="L65" i="2"/>
  <c r="N33" i="2"/>
  <c r="N72" i="2" s="1"/>
  <c r="E80" i="2"/>
  <c r="C918" i="15" l="1"/>
  <c r="D918" i="15" s="1"/>
  <c r="D917" i="15"/>
  <c r="F30" i="2"/>
  <c r="S33" i="3" l="1"/>
  <c r="V38" i="1" l="1"/>
  <c r="W38" i="1" s="1"/>
  <c r="V40" i="1"/>
  <c r="W40" i="1" s="1"/>
  <c r="F39" i="2"/>
  <c r="F41" i="2"/>
  <c r="F40" i="2"/>
  <c r="F38" i="2"/>
  <c r="R166" i="5" l="1"/>
  <c r="X40" i="1"/>
  <c r="Z40" i="1" s="1"/>
  <c r="X38" i="1"/>
  <c r="R150" i="5"/>
  <c r="V39" i="1"/>
  <c r="W39" i="1" s="1"/>
  <c r="V41" i="1"/>
  <c r="W41" i="1" s="1"/>
  <c r="Z38" i="1" l="1"/>
  <c r="P38" i="2"/>
  <c r="Q38" i="2" s="1"/>
  <c r="R146" i="5"/>
  <c r="X41" i="1"/>
  <c r="Z41" i="1" s="1"/>
  <c r="R174" i="5"/>
  <c r="R162" i="5"/>
  <c r="P40" i="2"/>
  <c r="R158" i="5"/>
  <c r="X39" i="1"/>
  <c r="Z39" i="1" s="1"/>
  <c r="G52" i="3"/>
  <c r="V57" i="1" s="1"/>
  <c r="W57" i="1" s="1"/>
  <c r="F62" i="2"/>
  <c r="G57" i="3"/>
  <c r="V65" i="1" s="1"/>
  <c r="W65" i="1" s="1"/>
  <c r="F61" i="2"/>
  <c r="G45" i="3"/>
  <c r="G54" i="3"/>
  <c r="V62" i="1" s="1"/>
  <c r="W62" i="1" s="1"/>
  <c r="F60" i="2"/>
  <c r="G50" i="3"/>
  <c r="V55" i="1" s="1"/>
  <c r="W55" i="1" s="1"/>
  <c r="F59" i="2"/>
  <c r="J46" i="3"/>
  <c r="G58" i="3"/>
  <c r="V66" i="1" s="1"/>
  <c r="J45" i="3"/>
  <c r="G59" i="3"/>
  <c r="V67" i="1" s="1"/>
  <c r="W67" i="1" s="1"/>
  <c r="G53" i="3"/>
  <c r="F45" i="2"/>
  <c r="V61" i="1" l="1"/>
  <c r="W61" i="1" s="1"/>
  <c r="Q40" i="2"/>
  <c r="R40" i="2" s="1"/>
  <c r="X55" i="1"/>
  <c r="Z55" i="1" s="1"/>
  <c r="R225" i="5"/>
  <c r="R241" i="5"/>
  <c r="X57" i="1"/>
  <c r="Z57" i="1" s="1"/>
  <c r="P41" i="2"/>
  <c r="R170" i="5"/>
  <c r="R154" i="5"/>
  <c r="P39" i="2"/>
  <c r="Q39" i="2" s="1"/>
  <c r="R38" i="2"/>
  <c r="R249" i="5"/>
  <c r="X61" i="1"/>
  <c r="Z61" i="1" s="1"/>
  <c r="R257" i="5"/>
  <c r="X62" i="1"/>
  <c r="Z62" i="1" s="1"/>
  <c r="X65" i="1"/>
  <c r="Z65" i="1" s="1"/>
  <c r="R273" i="5"/>
  <c r="R281" i="5"/>
  <c r="X66" i="1"/>
  <c r="Z66" i="1" s="1"/>
  <c r="X67" i="1"/>
  <c r="R289" i="5"/>
  <c r="F63" i="2"/>
  <c r="G49" i="3"/>
  <c r="V54" i="1" s="1"/>
  <c r="W54" i="1" s="1"/>
  <c r="S61" i="3"/>
  <c r="S77" i="3" s="1"/>
  <c r="F58" i="2"/>
  <c r="G51" i="3"/>
  <c r="V56" i="1" s="1"/>
  <c r="G47" i="3"/>
  <c r="V47" i="1" s="1"/>
  <c r="W47" i="1" s="1"/>
  <c r="F57" i="2"/>
  <c r="F46" i="2"/>
  <c r="W56" i="1" l="1"/>
  <c r="X56" i="1"/>
  <c r="Z67" i="1"/>
  <c r="P63" i="2"/>
  <c r="Q63" i="2" s="1"/>
  <c r="Q41" i="2"/>
  <c r="R41" i="2" s="1"/>
  <c r="R217" i="5"/>
  <c r="X54" i="1"/>
  <c r="Z54" i="1" s="1"/>
  <c r="R233" i="5"/>
  <c r="Z56" i="1"/>
  <c r="R237" i="5"/>
  <c r="P56" i="2"/>
  <c r="Q56" i="2" s="1"/>
  <c r="R221" i="5"/>
  <c r="P54" i="2"/>
  <c r="Q54" i="2" s="1"/>
  <c r="R201" i="5"/>
  <c r="X47" i="1"/>
  <c r="Z47" i="1" s="1"/>
  <c r="R39" i="2"/>
  <c r="R253" i="5"/>
  <c r="P58" i="2"/>
  <c r="Q58" i="2" s="1"/>
  <c r="R245" i="5"/>
  <c r="P57" i="2"/>
  <c r="Q57" i="2" s="1"/>
  <c r="R285" i="5"/>
  <c r="R277" i="5"/>
  <c r="R269" i="5"/>
  <c r="P61" i="2"/>
  <c r="Q61" i="2" s="1"/>
  <c r="P53" i="2" l="1"/>
  <c r="Q53" i="2" s="1"/>
  <c r="R213" i="5"/>
  <c r="R56" i="2"/>
  <c r="R54" i="2"/>
  <c r="Q55" i="2"/>
  <c r="R55" i="2" s="1"/>
  <c r="R229" i="5"/>
  <c r="R197" i="5"/>
  <c r="R58" i="2"/>
  <c r="R57" i="2"/>
  <c r="R62" i="2"/>
  <c r="R61" i="2"/>
  <c r="R63" i="2"/>
  <c r="R53" i="2" l="1"/>
  <c r="R47" i="2"/>
  <c r="J20" i="16" l="1"/>
  <c r="J26" i="16"/>
  <c r="J23" i="16"/>
  <c r="J25" i="16"/>
  <c r="J27" i="16"/>
  <c r="J24" i="16"/>
  <c r="J21" i="16"/>
  <c r="J30" i="16"/>
  <c r="J29" i="16"/>
  <c r="J31" i="16"/>
  <c r="J33" i="16"/>
  <c r="J32" i="16"/>
  <c r="J28" i="16"/>
  <c r="J15" i="16" l="1"/>
  <c r="N15" i="16"/>
  <c r="F16" i="16"/>
  <c r="N16" i="16" l="1"/>
  <c r="F48" i="2"/>
  <c r="E16" i="11"/>
  <c r="K16" i="11" s="1"/>
  <c r="F48" i="3"/>
  <c r="F65" i="2" l="1"/>
  <c r="Q48" i="3"/>
  <c r="J48" i="3"/>
  <c r="J61" i="3" s="1"/>
  <c r="G48" i="3"/>
  <c r="V48" i="1" s="1"/>
  <c r="F61" i="3"/>
  <c r="K48" i="3"/>
  <c r="O16" i="11"/>
  <c r="Q16" i="11" s="1"/>
  <c r="C75" i="15"/>
  <c r="C78" i="15" l="1"/>
  <c r="D75" i="15"/>
  <c r="C76" i="15"/>
  <c r="D76" i="15" s="1"/>
  <c r="W48" i="1"/>
  <c r="X48" i="1" s="1"/>
  <c r="R209" i="5"/>
  <c r="U48" i="3"/>
  <c r="U61" i="3" s="1"/>
  <c r="Q61" i="3"/>
  <c r="J14" i="13"/>
  <c r="L14" i="13" s="1"/>
  <c r="C88" i="15"/>
  <c r="D88" i="15" s="1"/>
  <c r="K61" i="3"/>
  <c r="Z48" i="1" l="1"/>
  <c r="P48" i="2"/>
  <c r="Q48" i="2" s="1"/>
  <c r="R205" i="5"/>
  <c r="N14" i="13"/>
  <c r="R48" i="2" l="1"/>
  <c r="R65" i="2" s="1"/>
  <c r="Q65" i="2"/>
  <c r="P65" i="2" l="1"/>
  <c r="F35" i="16"/>
  <c r="J34" i="16"/>
  <c r="J35" i="16" l="1"/>
  <c r="L22" i="16" l="1"/>
  <c r="N22" i="16" s="1"/>
  <c r="L23" i="16"/>
  <c r="L25" i="16"/>
  <c r="N25" i="16" s="1"/>
  <c r="E26" i="11" s="1"/>
  <c r="K26" i="11" s="1"/>
  <c r="E23" i="11"/>
  <c r="K23" i="11" s="1"/>
  <c r="O23" i="11" s="1"/>
  <c r="Q23" i="11" s="1"/>
  <c r="L27" i="16"/>
  <c r="N27" i="16" s="1"/>
  <c r="E28" i="11" s="1"/>
  <c r="K28" i="11" s="1"/>
  <c r="L21" i="16"/>
  <c r="N21" i="16" s="1"/>
  <c r="E22" i="11" s="1"/>
  <c r="K22" i="11" s="1"/>
  <c r="L26" i="16"/>
  <c r="N26" i="16" s="1"/>
  <c r="E27" i="11" s="1"/>
  <c r="K27" i="11" s="1"/>
  <c r="L32" i="16"/>
  <c r="N32" i="16" s="1"/>
  <c r="E33" i="11" s="1"/>
  <c r="K33" i="11" s="1"/>
  <c r="L33" i="16"/>
  <c r="N33" i="16" s="1"/>
  <c r="E34" i="11" s="1"/>
  <c r="K34" i="11" s="1"/>
  <c r="L24" i="16"/>
  <c r="N24" i="16" s="1"/>
  <c r="E25" i="11" s="1"/>
  <c r="K25" i="11" s="1"/>
  <c r="N23" i="16"/>
  <c r="E24" i="11" s="1"/>
  <c r="K24" i="11" s="1"/>
  <c r="L29" i="16"/>
  <c r="N29" i="16" s="1"/>
  <c r="E30" i="11" s="1"/>
  <c r="K30" i="11" s="1"/>
  <c r="L30" i="16"/>
  <c r="N30" i="16" s="1"/>
  <c r="E31" i="11" s="1"/>
  <c r="K31" i="11" s="1"/>
  <c r="L31" i="16"/>
  <c r="N31" i="16" s="1"/>
  <c r="E32" i="11" s="1"/>
  <c r="K32" i="11" s="1"/>
  <c r="L28" i="16"/>
  <c r="N28" i="16" s="1"/>
  <c r="E29" i="11" s="1"/>
  <c r="K29" i="11" s="1"/>
  <c r="L20" i="16"/>
  <c r="L34" i="16"/>
  <c r="N34" i="16" s="1"/>
  <c r="E35" i="11" s="1"/>
  <c r="K35" i="11" s="1"/>
  <c r="F24" i="3" l="1"/>
  <c r="F19" i="3"/>
  <c r="F28" i="3"/>
  <c r="F18" i="3"/>
  <c r="F31" i="3"/>
  <c r="F26" i="3"/>
  <c r="F17" i="3"/>
  <c r="N20" i="16"/>
  <c r="E21" i="11" s="1"/>
  <c r="K21" i="11" s="1"/>
  <c r="L35" i="16"/>
  <c r="L70" i="16" s="1"/>
  <c r="F27" i="3"/>
  <c r="F25" i="3"/>
  <c r="F20" i="3"/>
  <c r="F29" i="3"/>
  <c r="F22" i="3"/>
  <c r="F23" i="3"/>
  <c r="F21" i="3"/>
  <c r="G17" i="3" l="1"/>
  <c r="V17" i="1" s="1"/>
  <c r="F17" i="2"/>
  <c r="Q17" i="3"/>
  <c r="U17" i="3" s="1"/>
  <c r="J17" i="3"/>
  <c r="K17" i="3"/>
  <c r="G26" i="3"/>
  <c r="V26" i="1" s="1"/>
  <c r="Q26" i="3"/>
  <c r="U26" i="3" s="1"/>
  <c r="J26" i="3"/>
  <c r="F26" i="2"/>
  <c r="K26" i="3"/>
  <c r="C505" i="15"/>
  <c r="O35" i="11"/>
  <c r="Q35" i="11" s="1"/>
  <c r="G18" i="3"/>
  <c r="V18" i="1" s="1"/>
  <c r="F18" i="2"/>
  <c r="K18" i="3"/>
  <c r="Q18" i="3"/>
  <c r="U18" i="3" s="1"/>
  <c r="J18" i="3"/>
  <c r="J28" i="3"/>
  <c r="G28" i="3"/>
  <c r="V28" i="1" s="1"/>
  <c r="Q28" i="3"/>
  <c r="U28" i="3" s="1"/>
  <c r="K28" i="3"/>
  <c r="F28" i="2"/>
  <c r="Q19" i="3"/>
  <c r="U19" i="3" s="1"/>
  <c r="J19" i="3"/>
  <c r="F19" i="2"/>
  <c r="G19" i="3"/>
  <c r="V19" i="1" s="1"/>
  <c r="K19" i="3"/>
  <c r="Q24" i="3"/>
  <c r="U24" i="3" s="1"/>
  <c r="F24" i="2"/>
  <c r="K24" i="3"/>
  <c r="G24" i="3"/>
  <c r="V24" i="1" s="1"/>
  <c r="J24" i="3"/>
  <c r="J21" i="3"/>
  <c r="Q21" i="3"/>
  <c r="U21" i="3" s="1"/>
  <c r="G21" i="3"/>
  <c r="V21" i="1" s="1"/>
  <c r="F21" i="2"/>
  <c r="K21" i="3"/>
  <c r="G23" i="3"/>
  <c r="V23" i="1" s="1"/>
  <c r="K23" i="3"/>
  <c r="F23" i="2"/>
  <c r="Q23" i="3"/>
  <c r="U23" i="3" s="1"/>
  <c r="J23" i="3"/>
  <c r="C257" i="15"/>
  <c r="O27" i="11"/>
  <c r="Q27" i="11" s="1"/>
  <c r="O34" i="11"/>
  <c r="Q34" i="11" s="1"/>
  <c r="C472" i="15"/>
  <c r="G20" i="3"/>
  <c r="V20" i="1" s="1"/>
  <c r="W20" i="1" s="1"/>
  <c r="X20" i="1" s="1"/>
  <c r="Z20" i="1" s="1"/>
  <c r="J20" i="3"/>
  <c r="K20" i="3"/>
  <c r="F20" i="2"/>
  <c r="Q20" i="3"/>
  <c r="U20" i="3" s="1"/>
  <c r="F25" i="2"/>
  <c r="Q25" i="3"/>
  <c r="U25" i="3" s="1"/>
  <c r="K25" i="3"/>
  <c r="G25" i="3"/>
  <c r="V25" i="1" s="1"/>
  <c r="J25" i="3"/>
  <c r="G27" i="3"/>
  <c r="V27" i="1" s="1"/>
  <c r="Q27" i="3"/>
  <c r="U27" i="3" s="1"/>
  <c r="F27" i="2"/>
  <c r="K27" i="3"/>
  <c r="J27" i="3"/>
  <c r="C228" i="15"/>
  <c r="O26" i="11"/>
  <c r="Q26" i="11" s="1"/>
  <c r="O28" i="11"/>
  <c r="Q28" i="11" s="1"/>
  <c r="C289" i="15"/>
  <c r="G22" i="3"/>
  <c r="V22" i="1" s="1"/>
  <c r="W22" i="1" s="1"/>
  <c r="F22" i="2"/>
  <c r="Q22" i="3"/>
  <c r="U22" i="3" s="1"/>
  <c r="K22" i="3"/>
  <c r="J22" i="3"/>
  <c r="J29" i="3"/>
  <c r="Q29" i="3"/>
  <c r="U29" i="3" s="1"/>
  <c r="G29" i="3"/>
  <c r="V29" i="1" s="1"/>
  <c r="K29" i="3"/>
  <c r="F29" i="2"/>
  <c r="O25" i="11"/>
  <c r="Q25" i="11" s="1"/>
  <c r="C1096" i="15"/>
  <c r="O30" i="11"/>
  <c r="Q30" i="11" s="1"/>
  <c r="C350" i="15"/>
  <c r="O32" i="11"/>
  <c r="Q32" i="11" s="1"/>
  <c r="C410" i="15"/>
  <c r="N35" i="16"/>
  <c r="F16" i="3"/>
  <c r="C136" i="15"/>
  <c r="O22" i="11"/>
  <c r="Q22" i="11" s="1"/>
  <c r="C380" i="15"/>
  <c r="O31" i="11"/>
  <c r="Q31" i="11" s="1"/>
  <c r="G31" i="3"/>
  <c r="V31" i="1" s="1"/>
  <c r="F31" i="2"/>
  <c r="K31" i="3"/>
  <c r="J31" i="3"/>
  <c r="Q31" i="3"/>
  <c r="U31" i="3" s="1"/>
  <c r="C166" i="15"/>
  <c r="O33" i="11"/>
  <c r="Q33" i="11" s="1"/>
  <c r="C441" i="15"/>
  <c r="O24" i="11"/>
  <c r="Q24" i="11" s="1"/>
  <c r="C197" i="15"/>
  <c r="C319" i="15"/>
  <c r="O29" i="11"/>
  <c r="Q29" i="11" s="1"/>
  <c r="J23" i="13" l="1"/>
  <c r="L23" i="13" s="1"/>
  <c r="N23" i="13" s="1"/>
  <c r="C454" i="15"/>
  <c r="J29" i="13"/>
  <c r="L29" i="13" s="1"/>
  <c r="N29" i="13" s="1"/>
  <c r="C149" i="15"/>
  <c r="J18" i="13"/>
  <c r="L18" i="13" s="1"/>
  <c r="N18" i="13" s="1"/>
  <c r="Q16" i="3"/>
  <c r="J16" i="3"/>
  <c r="J33" i="3" s="1"/>
  <c r="K16" i="3"/>
  <c r="F16" i="2"/>
  <c r="F33" i="2" s="1"/>
  <c r="G16" i="3"/>
  <c r="V16" i="1" s="1"/>
  <c r="F33" i="3"/>
  <c r="C423" i="15"/>
  <c r="J28" i="13"/>
  <c r="L28" i="13" s="1"/>
  <c r="N28" i="13" s="1"/>
  <c r="C363" i="15"/>
  <c r="J26" i="13"/>
  <c r="L26" i="13" s="1"/>
  <c r="N26" i="13" s="1"/>
  <c r="C241" i="15"/>
  <c r="C1109" i="15"/>
  <c r="J21" i="13"/>
  <c r="X22" i="1"/>
  <c r="R60" i="5"/>
  <c r="C302" i="15"/>
  <c r="J24" i="13"/>
  <c r="L24" i="13" s="1"/>
  <c r="N24" i="13" s="1"/>
  <c r="C229" i="15"/>
  <c r="D229" i="15" s="1"/>
  <c r="C231" i="15"/>
  <c r="D228" i="15"/>
  <c r="D472" i="15"/>
  <c r="C473" i="15"/>
  <c r="D473" i="15" s="1"/>
  <c r="C475" i="15"/>
  <c r="R68" i="5"/>
  <c r="W23" i="1"/>
  <c r="X23" i="1" s="1"/>
  <c r="W19" i="1"/>
  <c r="X19" i="1" s="1"/>
  <c r="R44" i="5"/>
  <c r="J31" i="13"/>
  <c r="L31" i="13" s="1"/>
  <c r="N31" i="13" s="1"/>
  <c r="C518" i="15"/>
  <c r="W26" i="1"/>
  <c r="X26" i="1" s="1"/>
  <c r="R92" i="5"/>
  <c r="C322" i="15"/>
  <c r="D319" i="15"/>
  <c r="C320" i="15"/>
  <c r="D320" i="15" s="1"/>
  <c r="C210" i="15"/>
  <c r="J20" i="13"/>
  <c r="L20" i="13" s="1"/>
  <c r="N20" i="13" s="1"/>
  <c r="C179" i="15"/>
  <c r="J19" i="13"/>
  <c r="L19" i="13" s="1"/>
  <c r="N19" i="13" s="1"/>
  <c r="C393" i="15"/>
  <c r="J27" i="13"/>
  <c r="L27" i="13" s="1"/>
  <c r="N27" i="13" s="1"/>
  <c r="C332" i="15"/>
  <c r="J25" i="13"/>
  <c r="L25" i="13" s="1"/>
  <c r="N25" i="13" s="1"/>
  <c r="D197" i="15"/>
  <c r="C198" i="15"/>
  <c r="D198" i="15" s="1"/>
  <c r="C200" i="15"/>
  <c r="D441" i="15"/>
  <c r="C442" i="15"/>
  <c r="D442" i="15" s="1"/>
  <c r="C444" i="15"/>
  <c r="D166" i="15"/>
  <c r="C169" i="15"/>
  <c r="C167" i="15"/>
  <c r="D167" i="15" s="1"/>
  <c r="W31" i="1"/>
  <c r="X31" i="1" s="1"/>
  <c r="R132" i="5"/>
  <c r="C381" i="15"/>
  <c r="D381" i="15" s="1"/>
  <c r="D380" i="15"/>
  <c r="C383" i="15"/>
  <c r="D136" i="15"/>
  <c r="C137" i="15"/>
  <c r="D137" i="15" s="1"/>
  <c r="C139" i="15"/>
  <c r="E36" i="11"/>
  <c r="C106" i="15"/>
  <c r="D410" i="15"/>
  <c r="C411" i="15"/>
  <c r="D411" i="15" s="1"/>
  <c r="C413" i="15"/>
  <c r="C353" i="15"/>
  <c r="D350" i="15"/>
  <c r="C351" i="15"/>
  <c r="D351" i="15" s="1"/>
  <c r="D1096" i="15"/>
  <c r="C1099" i="15"/>
  <c r="C1097" i="15"/>
  <c r="D1097" i="15" s="1"/>
  <c r="W29" i="1"/>
  <c r="X29" i="1" s="1"/>
  <c r="R116" i="5"/>
  <c r="C292" i="15"/>
  <c r="D289" i="15"/>
  <c r="C290" i="15"/>
  <c r="D290" i="15" s="1"/>
  <c r="C270" i="15"/>
  <c r="J22" i="13"/>
  <c r="L22" i="13" s="1"/>
  <c r="N22" i="13" s="1"/>
  <c r="W27" i="1"/>
  <c r="X27" i="1" s="1"/>
  <c r="R100" i="5"/>
  <c r="W25" i="1"/>
  <c r="X25" i="1" s="1"/>
  <c r="R84" i="5"/>
  <c r="C485" i="15"/>
  <c r="J30" i="13"/>
  <c r="L30" i="13" s="1"/>
  <c r="N30" i="13" s="1"/>
  <c r="C260" i="15"/>
  <c r="C258" i="15"/>
  <c r="D258" i="15" s="1"/>
  <c r="D257" i="15"/>
  <c r="W21" i="1"/>
  <c r="X21" i="1" s="1"/>
  <c r="R52" i="5"/>
  <c r="W24" i="1"/>
  <c r="X24" i="1" s="1"/>
  <c r="R76" i="5"/>
  <c r="W28" i="1"/>
  <c r="X28" i="1" s="1"/>
  <c r="R108" i="5"/>
  <c r="W18" i="1"/>
  <c r="X18" i="1" s="1"/>
  <c r="R36" i="5"/>
  <c r="C506" i="15"/>
  <c r="D506" i="15" s="1"/>
  <c r="C508" i="15"/>
  <c r="D505" i="15"/>
  <c r="W17" i="1"/>
  <c r="X17" i="1" s="1"/>
  <c r="R28" i="5"/>
  <c r="P18" i="2" l="1"/>
  <c r="Q18" i="2" s="1"/>
  <c r="R18" i="2" s="1"/>
  <c r="R32" i="5"/>
  <c r="Z18" i="1"/>
  <c r="R48" i="5"/>
  <c r="Z21" i="1"/>
  <c r="P21" i="2"/>
  <c r="Q21" i="2" s="1"/>
  <c r="R21" i="2" s="1"/>
  <c r="R88" i="5"/>
  <c r="P26" i="2"/>
  <c r="Q26" i="2" s="1"/>
  <c r="R26" i="2" s="1"/>
  <c r="Z26" i="1"/>
  <c r="Z19" i="1"/>
  <c r="R40" i="5"/>
  <c r="P19" i="2"/>
  <c r="Q19" i="2" s="1"/>
  <c r="R19" i="2" s="1"/>
  <c r="D302" i="15"/>
  <c r="C303" i="15"/>
  <c r="D303" i="15" s="1"/>
  <c r="R56" i="5"/>
  <c r="Z22" i="1"/>
  <c r="P22" i="2"/>
  <c r="Q22" i="2" s="1"/>
  <c r="R22" i="2" s="1"/>
  <c r="C1110" i="15"/>
  <c r="D1110" i="15" s="1"/>
  <c r="D1109" i="15"/>
  <c r="K33" i="3"/>
  <c r="R104" i="5"/>
  <c r="Z28" i="1"/>
  <c r="P28" i="2"/>
  <c r="Q28" i="2" s="1"/>
  <c r="R28" i="2" s="1"/>
  <c r="Z24" i="1"/>
  <c r="P24" i="2"/>
  <c r="Q24" i="2" s="1"/>
  <c r="R24" i="2" s="1"/>
  <c r="R72" i="5"/>
  <c r="P29" i="2"/>
  <c r="Q29" i="2" s="1"/>
  <c r="R29" i="2" s="1"/>
  <c r="R112" i="5"/>
  <c r="Z29" i="1"/>
  <c r="C107" i="15"/>
  <c r="D107" i="15" s="1"/>
  <c r="D106" i="15"/>
  <c r="C109" i="15"/>
  <c r="Z31" i="1"/>
  <c r="R128" i="5"/>
  <c r="P31" i="2"/>
  <c r="Q31" i="2" s="1"/>
  <c r="R31" i="2" s="1"/>
  <c r="Z17" i="1"/>
  <c r="R24" i="5"/>
  <c r="P17" i="2"/>
  <c r="Q17" i="2" s="1"/>
  <c r="R17" i="2" s="1"/>
  <c r="C486" i="15"/>
  <c r="D486" i="15" s="1"/>
  <c r="D485" i="15"/>
  <c r="P25" i="2"/>
  <c r="Q25" i="2" s="1"/>
  <c r="R25" i="2" s="1"/>
  <c r="Z25" i="1"/>
  <c r="R80" i="5"/>
  <c r="P27" i="2"/>
  <c r="Q27" i="2" s="1"/>
  <c r="R27" i="2" s="1"/>
  <c r="R96" i="5"/>
  <c r="Z27" i="1"/>
  <c r="C271" i="15"/>
  <c r="D271" i="15" s="1"/>
  <c r="D270" i="15"/>
  <c r="K36" i="11"/>
  <c r="O21" i="11"/>
  <c r="D332" i="15"/>
  <c r="C333" i="15"/>
  <c r="D333" i="15" s="1"/>
  <c r="C394" i="15"/>
  <c r="D394" i="15" s="1"/>
  <c r="D393" i="15"/>
  <c r="C180" i="15"/>
  <c r="D180" i="15" s="1"/>
  <c r="D179" i="15"/>
  <c r="D210" i="15"/>
  <c r="C211" i="15"/>
  <c r="D211" i="15" s="1"/>
  <c r="C519" i="15"/>
  <c r="D519" i="15" s="1"/>
  <c r="D518" i="15"/>
  <c r="P23" i="2"/>
  <c r="Q23" i="2" s="1"/>
  <c r="R23" i="2" s="1"/>
  <c r="Z23" i="1"/>
  <c r="R64" i="5"/>
  <c r="L21" i="13"/>
  <c r="N21" i="13" s="1"/>
  <c r="P20" i="2"/>
  <c r="Q20" i="2" s="1"/>
  <c r="R20" i="2" s="1"/>
  <c r="D241" i="15"/>
  <c r="C242" i="15"/>
  <c r="D242" i="15" s="1"/>
  <c r="C364" i="15"/>
  <c r="D364" i="15" s="1"/>
  <c r="D363" i="15"/>
  <c r="C424" i="15"/>
  <c r="D424" i="15" s="1"/>
  <c r="D423" i="15"/>
  <c r="W16" i="1"/>
  <c r="X16" i="1" s="1"/>
  <c r="R20" i="5"/>
  <c r="Q33" i="3"/>
  <c r="U16" i="3"/>
  <c r="U33" i="3" s="1"/>
  <c r="C150" i="15"/>
  <c r="D150" i="15" s="1"/>
  <c r="D149" i="15"/>
  <c r="C455" i="15"/>
  <c r="D455" i="15" s="1"/>
  <c r="D454" i="15"/>
  <c r="Z16" i="1" l="1"/>
  <c r="P16" i="2"/>
  <c r="Q16" i="2" s="1"/>
  <c r="R16" i="5"/>
  <c r="O36" i="11"/>
  <c r="Q21" i="11"/>
  <c r="R16" i="2" l="1"/>
  <c r="R33" i="2" s="1"/>
  <c r="Q33" i="2"/>
  <c r="J17" i="13"/>
  <c r="L17" i="13" s="1"/>
  <c r="C119" i="15"/>
  <c r="P33" i="2" l="1"/>
  <c r="C120" i="15"/>
  <c r="D120" i="15" s="1"/>
  <c r="D119" i="15"/>
  <c r="N17" i="13"/>
  <c r="J66" i="16"/>
  <c r="F68" i="16"/>
  <c r="F70" i="16" s="1"/>
  <c r="F79" i="16" s="1"/>
  <c r="N66" i="16"/>
  <c r="N67" i="16"/>
  <c r="F65" i="3" s="1"/>
  <c r="E68" i="11"/>
  <c r="E71" i="11" s="1"/>
  <c r="E81" i="11" s="1"/>
  <c r="J67" i="16"/>
  <c r="J68" i="16" s="1"/>
  <c r="J70" i="16" s="1"/>
  <c r="J79" i="16" s="1"/>
  <c r="F81" i="16" l="1"/>
  <c r="N81" i="16" s="1"/>
  <c r="K68" i="11"/>
  <c r="Q65" i="3"/>
  <c r="F69" i="2"/>
  <c r="L51" i="13"/>
  <c r="U65" i="3"/>
  <c r="N68" i="16"/>
  <c r="N70" i="16" s="1"/>
  <c r="N79" i="16" s="1"/>
  <c r="K65" i="3"/>
  <c r="F64" i="3"/>
  <c r="F68" i="2" s="1"/>
  <c r="G65" i="3"/>
  <c r="V73" i="1" s="1"/>
  <c r="F69" i="3"/>
  <c r="O68" i="11"/>
  <c r="J65" i="3"/>
  <c r="Q68" i="11" l="1"/>
  <c r="O73" i="11"/>
  <c r="F74" i="2"/>
  <c r="F79" i="2" s="1"/>
  <c r="U71" i="3"/>
  <c r="U76" i="3" s="1"/>
  <c r="F71" i="3"/>
  <c r="F76" i="3" s="1"/>
  <c r="F77" i="3" s="1"/>
  <c r="Q71" i="3"/>
  <c r="Q76" i="3" s="1"/>
  <c r="F72" i="2"/>
  <c r="F80" i="2" s="1"/>
  <c r="N51" i="13"/>
  <c r="D1040" i="15"/>
  <c r="C1041" i="15"/>
  <c r="D1041" i="15" s="1"/>
  <c r="X72" i="1"/>
  <c r="Z72" i="1" s="1"/>
  <c r="Q68" i="2"/>
  <c r="R68" i="2" s="1"/>
  <c r="J52" i="13"/>
  <c r="L52" i="13" s="1"/>
  <c r="C1079" i="15"/>
  <c r="W73" i="1"/>
  <c r="C1067" i="15"/>
  <c r="D1067" i="15" s="1"/>
  <c r="C1069" i="15"/>
  <c r="D1066" i="15"/>
  <c r="G64" i="3"/>
  <c r="V72" i="1" s="1"/>
  <c r="Q64" i="3"/>
  <c r="J64" i="3"/>
  <c r="J69" i="3" s="1"/>
  <c r="K64" i="3"/>
  <c r="K69" i="3" s="1"/>
  <c r="E79" i="11" l="1"/>
  <c r="E85" i="11" s="1"/>
  <c r="P69" i="2"/>
  <c r="Q69" i="2" s="1"/>
  <c r="Q72" i="2" s="1"/>
  <c r="P72" i="2" s="1"/>
  <c r="X73" i="1"/>
  <c r="Z73" i="1" s="1"/>
  <c r="U64" i="3"/>
  <c r="U69" i="3" s="1"/>
  <c r="U77" i="3" s="1"/>
  <c r="Q69" i="3"/>
  <c r="Q77" i="3" s="1"/>
  <c r="L53" i="13"/>
  <c r="N52" i="13"/>
  <c r="D1079" i="15"/>
  <c r="C1080" i="15"/>
  <c r="D1080" i="15" s="1"/>
  <c r="N53" i="13" l="1"/>
  <c r="R69" i="2"/>
  <c r="R7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Hensley, Marianella</author>
    <author>cenadmin</author>
    <author>JKLAS</author>
  </authors>
  <commentList>
    <comment ref="E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Hensley, Marianella:</t>
        </r>
        <r>
          <rPr>
            <sz val="9"/>
            <color indexed="81"/>
            <rFont val="Tahoma"/>
            <family val="2"/>
          </rPr>
          <t xml:space="preserve">
Copy from final approved rate</t>
        </r>
      </text>
    </comment>
    <comment ref="N7" authorId="1" shapeId="0" xr:uid="{00000000-0006-0000-0000-000002000000}">
      <text>
        <r>
          <rPr>
            <b/>
            <sz val="8"/>
            <color indexed="81"/>
            <rFont val="Tahoma"/>
            <family val="2"/>
          </rPr>
          <t>cenadmin:</t>
        </r>
        <r>
          <rPr>
            <sz val="8"/>
            <color indexed="81"/>
            <rFont val="Tahoma"/>
            <family val="2"/>
          </rPr>
          <t xml:space="preserve">
3</t>
        </r>
      </text>
    </comment>
    <comment ref="R11" authorId="1" shapeId="0" xr:uid="{00000000-0006-0000-0000-000003000000}">
      <text>
        <r>
          <rPr>
            <b/>
            <sz val="8"/>
            <color indexed="81"/>
            <rFont val="Tahoma"/>
            <family val="2"/>
          </rPr>
          <t>cenadmin:</t>
        </r>
        <r>
          <rPr>
            <sz val="8"/>
            <color indexed="81"/>
            <rFont val="Tahoma"/>
            <family val="2"/>
          </rPr>
          <t xml:space="preserve">
Det Original Cost Values..end</t>
        </r>
      </text>
    </comment>
    <comment ref="T11" authorId="2" shapeId="0" xr:uid="{00000000-0006-0000-0000-000004000000}">
      <text>
        <r>
          <rPr>
            <b/>
            <sz val="9"/>
            <color indexed="81"/>
            <rFont val="Tahoma"/>
            <family val="2"/>
          </rPr>
          <t xml:space="preserve">Anthony Trask:
</t>
        </r>
        <r>
          <rPr>
            <sz val="9"/>
            <color indexed="81"/>
            <rFont val="Tahoma"/>
            <family val="2"/>
          </rPr>
          <t>Round greater than 20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cenadmin</author>
    <author>Hensley, Marianella</author>
  </authors>
  <commentList>
    <comment ref="H9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cenadmin:</t>
        </r>
        <r>
          <rPr>
            <sz val="8"/>
            <color indexed="81"/>
            <rFont val="Tahoma"/>
            <family val="2"/>
          </rPr>
          <t xml:space="preserve">
column V - Det Original Cost Values</t>
        </r>
      </text>
    </comment>
    <comment ref="S77" authorId="1" shapeId="0" xr:uid="{00000000-0006-0000-0200-000004000000}">
      <text>
        <r>
          <rPr>
            <b/>
            <sz val="9"/>
            <color indexed="81"/>
            <rFont val="Tahoma"/>
            <family val="2"/>
          </rPr>
          <t>Hensley, Marianella:</t>
        </r>
        <r>
          <rPr>
            <sz val="9"/>
            <color indexed="81"/>
            <rFont val="Tahoma"/>
            <family val="2"/>
          </rPr>
          <t xml:space="preserve">
delete mains and add balance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Hensley, Marianella</author>
  </authors>
  <commentList>
    <comment ref="W34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Hensley, Marianella:</t>
        </r>
        <r>
          <rPr>
            <sz val="9"/>
            <color indexed="81"/>
            <rFont val="Tahoma"/>
            <family val="2"/>
          </rPr>
          <t xml:space="preserve">
ask Anthony 04/15. Not use at this moment New for 2015</t>
        </r>
      </text>
    </comment>
    <comment ref="W297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Hensley, Marianella:</t>
        </r>
        <r>
          <rPr>
            <sz val="9"/>
            <color indexed="81"/>
            <rFont val="Tahoma"/>
            <family val="2"/>
          </rPr>
          <t xml:space="preserve">
ask Anthony 04/15</t>
        </r>
      </text>
    </comment>
  </commentList>
</comments>
</file>

<file path=xl/sharedStrings.xml><?xml version="1.0" encoding="utf-8"?>
<sst xmlns="http://schemas.openxmlformats.org/spreadsheetml/2006/main" count="7252" uniqueCount="1369">
  <si>
    <t>Comparison of Rates and Components</t>
  </si>
  <si>
    <t>Whole Life</t>
  </si>
  <si>
    <t>Remaining Life</t>
  </si>
  <si>
    <t>Average</t>
  </si>
  <si>
    <t>Future</t>
  </si>
  <si>
    <t>Approved</t>
  </si>
  <si>
    <t>Reserve</t>
  </si>
  <si>
    <t>Depre-</t>
  </si>
  <si>
    <t>Whole</t>
  </si>
  <si>
    <t>Account</t>
  </si>
  <si>
    <t>Service</t>
  </si>
  <si>
    <t>Remaining</t>
  </si>
  <si>
    <t>Net</t>
  </si>
  <si>
    <t>Curve</t>
  </si>
  <si>
    <t>Ratio</t>
  </si>
  <si>
    <t>ciation</t>
  </si>
  <si>
    <t>Life</t>
  </si>
  <si>
    <t>Number</t>
  </si>
  <si>
    <t>Account Title</t>
  </si>
  <si>
    <t>Salvage</t>
  </si>
  <si>
    <t>Type</t>
  </si>
  <si>
    <t>Rate</t>
  </si>
  <si>
    <t>Age</t>
  </si>
  <si>
    <t>(yrs)</t>
  </si>
  <si>
    <t>(%)</t>
  </si>
  <si>
    <t>R3</t>
  </si>
  <si>
    <t>R2</t>
  </si>
  <si>
    <t>Distribution Plant</t>
  </si>
  <si>
    <t>R4</t>
  </si>
  <si>
    <t>Laboratory Equipment</t>
  </si>
  <si>
    <t>Power Operated Equipment</t>
  </si>
  <si>
    <t>Transportation Equipment</t>
  </si>
  <si>
    <t>Communication Equipment</t>
  </si>
  <si>
    <t>Miscellaneous Equipment</t>
  </si>
  <si>
    <t>Total</t>
  </si>
  <si>
    <t>Change in</t>
  </si>
  <si>
    <t>Depreciation</t>
  </si>
  <si>
    <t>Expense</t>
  </si>
  <si>
    <t>($)</t>
  </si>
  <si>
    <t>Total Distribution Plant</t>
  </si>
  <si>
    <t>Comparison of Reserve - Actual vs Theoretical</t>
  </si>
  <si>
    <t>Theoretical</t>
  </si>
  <si>
    <t>Actual</t>
  </si>
  <si>
    <t>Minus</t>
  </si>
  <si>
    <t>Comparative Analysis</t>
  </si>
  <si>
    <t>Company</t>
  </si>
  <si>
    <t>Current</t>
  </si>
  <si>
    <t>Depreciation Rate</t>
  </si>
  <si>
    <t>Average Remaining Life</t>
  </si>
  <si>
    <t>Future Net Salvage %</t>
  </si>
  <si>
    <t>Reserve Ratio</t>
  </si>
  <si>
    <t>Curve Type</t>
  </si>
  <si>
    <t>R1</t>
  </si>
  <si>
    <t>S1</t>
  </si>
  <si>
    <t xml:space="preserve">Change in </t>
  </si>
  <si>
    <t>Deprec</t>
  </si>
  <si>
    <t xml:space="preserve">Method </t>
  </si>
  <si>
    <t>Used</t>
  </si>
  <si>
    <t>SURV</t>
  </si>
  <si>
    <t>Balance</t>
  </si>
  <si>
    <t>Total General Plant</t>
  </si>
  <si>
    <t>L1</t>
  </si>
  <si>
    <t>General Plant</t>
  </si>
  <si>
    <t>Change in Annual Accruals</t>
  </si>
  <si>
    <t>Proposed</t>
  </si>
  <si>
    <t>Transfers</t>
  </si>
  <si>
    <t>over</t>
  </si>
  <si>
    <t>Check Figure</t>
  </si>
  <si>
    <t>Variance</t>
  </si>
  <si>
    <t>Summary of Reserve Transfers</t>
  </si>
  <si>
    <t>After</t>
  </si>
  <si>
    <t>Accumulated</t>
  </si>
  <si>
    <t>Plant Cost</t>
  </si>
  <si>
    <t>Net Check</t>
  </si>
  <si>
    <t>Retirements</t>
  </si>
  <si>
    <t>COR</t>
  </si>
  <si>
    <t>Dep Val</t>
  </si>
  <si>
    <t>ASR</t>
  </si>
  <si>
    <t>Confirm</t>
  </si>
  <si>
    <t>Average Service Life</t>
  </si>
  <si>
    <t>Amount</t>
  </si>
  <si>
    <t>Annual</t>
  </si>
  <si>
    <t>Additions</t>
  </si>
  <si>
    <t>Balances</t>
  </si>
  <si>
    <t>-</t>
  </si>
  <si>
    <t>Round</t>
  </si>
  <si>
    <t>Depr</t>
  </si>
  <si>
    <t>File</t>
  </si>
  <si>
    <t>PEOPLES GAS SYSTEM</t>
  </si>
  <si>
    <t>Peoples Gas System</t>
  </si>
  <si>
    <t>Franchise &amp; Consents</t>
  </si>
  <si>
    <t>Misc Intangible Plant</t>
  </si>
  <si>
    <t>Custom Intangible Plant</t>
  </si>
  <si>
    <t>Structures &amp; Improvements</t>
  </si>
  <si>
    <t>Mains Steel</t>
  </si>
  <si>
    <t>Mains Plastic</t>
  </si>
  <si>
    <t>Meas &amp; Reg Station Eqp Gen</t>
  </si>
  <si>
    <t>Meas &amp; Reg Station Eqp City</t>
  </si>
  <si>
    <t>Services Steel</t>
  </si>
  <si>
    <t>Services Plastic</t>
  </si>
  <si>
    <t>Meters</t>
  </si>
  <si>
    <t>Meter Installations</t>
  </si>
  <si>
    <t>House Regulators</t>
  </si>
  <si>
    <t>House Regulator Installs</t>
  </si>
  <si>
    <t>Meas &amp; Reg Station Eqp Ind</t>
  </si>
  <si>
    <t>Other Property Cust Premise</t>
  </si>
  <si>
    <t>Other Equipment</t>
  </si>
  <si>
    <t>Office Furniture</t>
  </si>
  <si>
    <t>Computer Equipment</t>
  </si>
  <si>
    <t>Office Equipment</t>
  </si>
  <si>
    <t>Vehicles up to 1/2 Tons</t>
  </si>
  <si>
    <t>Vehicles from 1/2 - 1 Tons</t>
  </si>
  <si>
    <t>Trailers &amp; Other</t>
  </si>
  <si>
    <t>Vehicles over 1 Ton</t>
  </si>
  <si>
    <t>Stores Equipment</t>
  </si>
  <si>
    <t>Tools, Shop &amp; Garage Equip</t>
  </si>
  <si>
    <t>Comparative Analysis of Latest Rates</t>
  </si>
  <si>
    <t>ANNUAL STATUS REPORT</t>
  </si>
  <si>
    <t>PLANT</t>
  </si>
  <si>
    <t>RESERVE</t>
  </si>
  <si>
    <t>Gross</t>
  </si>
  <si>
    <t>Division</t>
  </si>
  <si>
    <t>PowerPlant Depr Group</t>
  </si>
  <si>
    <t>Depr Description</t>
  </si>
  <si>
    <t>BOP</t>
  </si>
  <si>
    <t>Adj / Xfers</t>
  </si>
  <si>
    <t>EOP</t>
  </si>
  <si>
    <t>13-mth Avg</t>
  </si>
  <si>
    <t>Subtotal</t>
  </si>
  <si>
    <t>PGS - ANNUAL STATUS REPORT</t>
  </si>
  <si>
    <t>ASSETS</t>
  </si>
  <si>
    <t>Data</t>
  </si>
  <si>
    <t>Sum of BOP</t>
  </si>
  <si>
    <t>Sum of Additions</t>
  </si>
  <si>
    <t>Sum of Retirements</t>
  </si>
  <si>
    <t>Sum of Adj / Xfers</t>
  </si>
  <si>
    <t>Sum of EOP</t>
  </si>
  <si>
    <t>Sum of 13-mth Avg</t>
  </si>
  <si>
    <t>30100 - Organization</t>
  </si>
  <si>
    <t>30200 - Franchise &amp; Consents</t>
  </si>
  <si>
    <t>30300 - Misc Intangible Plant</t>
  </si>
  <si>
    <t>30301 - Custom Intangible Plant</t>
  </si>
  <si>
    <t>37400 - Land Distribution</t>
  </si>
  <si>
    <t>37402 - Land Rights</t>
  </si>
  <si>
    <t>37500 - Structures &amp; Improvements</t>
  </si>
  <si>
    <t>37600 - Mains Steel</t>
  </si>
  <si>
    <t>37602 - Mains Plastic</t>
  </si>
  <si>
    <t>37800 - Meas &amp; Reg Station Eqp Gen</t>
  </si>
  <si>
    <t>37900 - Meas &amp; Reg Station Eqp City</t>
  </si>
  <si>
    <t>38000 - Services Steel</t>
  </si>
  <si>
    <t>38002 - Services Plastic</t>
  </si>
  <si>
    <t>38100 - Meters</t>
  </si>
  <si>
    <t>38200 - Meter Installations</t>
  </si>
  <si>
    <t>38300 - House Regulators</t>
  </si>
  <si>
    <t>38400 - House Regulator Installs</t>
  </si>
  <si>
    <t>38500 - Meas &amp; Reg Station Eqp Ind</t>
  </si>
  <si>
    <t>38700 - Other Equipment</t>
  </si>
  <si>
    <t>39000 - Structures &amp; Improvements</t>
  </si>
  <si>
    <t>39002 - Structur &amp; Improv Leasehold</t>
  </si>
  <si>
    <t>39100 - Office Furniture</t>
  </si>
  <si>
    <t>39101 - Computer Equipment</t>
  </si>
  <si>
    <t>39102 - Office Equipment</t>
  </si>
  <si>
    <t>39103 - Office Furniture</t>
  </si>
  <si>
    <t>39201 - Vehicles up to 1/2 Tons</t>
  </si>
  <si>
    <t>39202 - Vehicles from 1/2 - 1 Tons</t>
  </si>
  <si>
    <t>39203 - Airplane</t>
  </si>
  <si>
    <t>39204 - Trailers &amp; Other</t>
  </si>
  <si>
    <t>39205 - Vehicles over 1 Ton</t>
  </si>
  <si>
    <t xml:space="preserve">39300 - Stores Equipment </t>
  </si>
  <si>
    <t>39400 - Tools, Shop &amp; Garage Equip</t>
  </si>
  <si>
    <t>39500 - Laboratory Equipment</t>
  </si>
  <si>
    <t>39600 - Power Operated Equipment</t>
  </si>
  <si>
    <t>39700 - Communication Equipment</t>
  </si>
  <si>
    <t>39800 - Miscellaneous Equipment</t>
  </si>
  <si>
    <t>Grand Total</t>
  </si>
  <si>
    <t>105 Property Held for Future Use</t>
  </si>
  <si>
    <t>114 Acquisition Adjustments</t>
  </si>
  <si>
    <t>Total Plant</t>
  </si>
  <si>
    <t>Check Figure Variance</t>
  </si>
  <si>
    <t>RESERVES</t>
  </si>
  <si>
    <t>Sum of Depreciation</t>
  </si>
  <si>
    <t>Sum of Salvage</t>
  </si>
  <si>
    <t>Sum of COR</t>
  </si>
  <si>
    <t>115 Acquisition Adjustments</t>
  </si>
  <si>
    <t>Total Reserve</t>
  </si>
  <si>
    <t>001 / 01 - DADE - BROWARD / 30100</t>
  </si>
  <si>
    <t>001 / 01 - DADE - BROWARD / 30200</t>
  </si>
  <si>
    <t>001 / 01 - DADE - BROWARD / 30301</t>
  </si>
  <si>
    <t>001 / 01 - DADE - BROWARD / 37400</t>
  </si>
  <si>
    <t>001 / 01 - DADE - BROWARD / 37402</t>
  </si>
  <si>
    <t>001 / 01 - DADE - BROWARD / 37500</t>
  </si>
  <si>
    <t>001 / 01 - DADE - BROWARD / 37600</t>
  </si>
  <si>
    <t>001 / 01 - DADE - BROWARD / 37602</t>
  </si>
  <si>
    <t>001 / 01 - DADE - BROWARD / 37602S</t>
  </si>
  <si>
    <t>001 / 01 - DADE - BROWARD / 37800</t>
  </si>
  <si>
    <t>001 / 01 - DADE - BROWARD / 37900</t>
  </si>
  <si>
    <t>001 / 01 - DADE - BROWARD / 38000</t>
  </si>
  <si>
    <t>001 / 01 - DADE - BROWARD / 38002</t>
  </si>
  <si>
    <t>001 / 01 - DADE - BROWARD / 38200</t>
  </si>
  <si>
    <t>001 / 01 - DADE - BROWARD / 38300</t>
  </si>
  <si>
    <t>001 / 01 - DADE - BROWARD / 38400</t>
  </si>
  <si>
    <t>001 / 01 - DADE - BROWARD / 38500</t>
  </si>
  <si>
    <t>001 / 01 - DADE - BROWARD / 38700</t>
  </si>
  <si>
    <t>001 / 01 - DADE - BROWARD / 39000</t>
  </si>
  <si>
    <t>001 / 01 - DADE - BROWARD / 39002</t>
  </si>
  <si>
    <t>001 / 01 - DADE - BROWARD / 39100</t>
  </si>
  <si>
    <t>001 / 01 - DADE - BROWARD / 39101</t>
  </si>
  <si>
    <t>001 / 01 - DADE - BROWARD / 39102</t>
  </si>
  <si>
    <t>001 / 01 - DADE - BROWARD / 39201</t>
  </si>
  <si>
    <t>001 / 01 - DADE - BROWARD / 39202</t>
  </si>
  <si>
    <t>001 / 01 - DADE - BROWARD / 39204</t>
  </si>
  <si>
    <t>001 / 01 - DADE - BROWARD / 39205</t>
  </si>
  <si>
    <t>001 / 01 - DADE - BROWARD / 39300</t>
  </si>
  <si>
    <t>001 / 01 - DADE - BROWARD / 39400</t>
  </si>
  <si>
    <t>001 / 01 - DADE - BROWARD / 39500</t>
  </si>
  <si>
    <t>001 / 01 - DADE - BROWARD / 39600</t>
  </si>
  <si>
    <t>001 / 01 - DADE - BROWARD / 39700</t>
  </si>
  <si>
    <t>001 / 01 - DADE - BROWARD / 39800</t>
  </si>
  <si>
    <t>001 / 02 - TAMPA / 30301</t>
  </si>
  <si>
    <t>001 / 02 - TAMPA / 37400</t>
  </si>
  <si>
    <t>001 / 02 - TAMPA / 37500</t>
  </si>
  <si>
    <t>001 / 02 - TAMPA / 37600</t>
  </si>
  <si>
    <t>001 / 02 - TAMPA / 37602</t>
  </si>
  <si>
    <t>001 / 02 - TAMPA / 37602D</t>
  </si>
  <si>
    <t>001 / 02 - TAMPA / 37602S</t>
  </si>
  <si>
    <t>001 / 02 - TAMPA / 37800</t>
  </si>
  <si>
    <t>001 / 02 - TAMPA / 37900</t>
  </si>
  <si>
    <t>001 / 02 - TAMPA / 38000</t>
  </si>
  <si>
    <t>001 / 02 - TAMPA / 38002</t>
  </si>
  <si>
    <t>001 / 02 - TAMPA / 38200</t>
  </si>
  <si>
    <t>001 / 02 - TAMPA / 38300</t>
  </si>
  <si>
    <t>001 / 02 - TAMPA / 38400</t>
  </si>
  <si>
    <t>001 / 02 - TAMPA / 38500</t>
  </si>
  <si>
    <t>001 / 02 - TAMPA / 38700</t>
  </si>
  <si>
    <t>001 / 02 - TAMPA / 39100</t>
  </si>
  <si>
    <t>001 / 02 - TAMPA / 39101</t>
  </si>
  <si>
    <t>001 / 02 - TAMPA / 39102</t>
  </si>
  <si>
    <t>001 / 02 - TAMPA / 39201</t>
  </si>
  <si>
    <t>001 / 02 - TAMPA / 39202</t>
  </si>
  <si>
    <t>001 / 02 - TAMPA / 39204</t>
  </si>
  <si>
    <t>001 / 02 - TAMPA / 39205</t>
  </si>
  <si>
    <t>001 / 02 - TAMPA / 39300</t>
  </si>
  <si>
    <t>001 / 02 - TAMPA / 39400</t>
  </si>
  <si>
    <t>001 / 02 - TAMPA / 39500</t>
  </si>
  <si>
    <t>001 / 02 - TAMPA / 39600</t>
  </si>
  <si>
    <t>001 / 02 - TAMPA / 39700</t>
  </si>
  <si>
    <t>001 / 02 - TAMPA / 39800</t>
  </si>
  <si>
    <t>001 / 03 - ST PETERSBURG / 30100</t>
  </si>
  <si>
    <t>001 / 03 - ST PETERSBURG / 30200</t>
  </si>
  <si>
    <t>001 / 03 - ST PETERSBURG / 30301</t>
  </si>
  <si>
    <t>001 / 03 - ST PETERSBURG / 37400</t>
  </si>
  <si>
    <t>001 / 03 - ST PETERSBURG / 37402</t>
  </si>
  <si>
    <t>001 / 03 - ST PETERSBURG / 37500</t>
  </si>
  <si>
    <t>001 / 03 - ST PETERSBURG / 37600</t>
  </si>
  <si>
    <t>001 / 03 - ST PETERSBURG / 37602</t>
  </si>
  <si>
    <t>001 / 03 - ST PETERSBURG / 37602D</t>
  </si>
  <si>
    <t>001 / 03 - ST PETERSBURG / 37602S</t>
  </si>
  <si>
    <t>001 / 03 - ST PETERSBURG / 37800</t>
  </si>
  <si>
    <t>001 / 03 - ST PETERSBURG / 37900</t>
  </si>
  <si>
    <t>001 / 03 - ST PETERSBURG / 38000</t>
  </si>
  <si>
    <t>001 / 03 - ST PETERSBURG / 38002</t>
  </si>
  <si>
    <t>001 / 03 - ST PETERSBURG / 38200</t>
  </si>
  <si>
    <t>001 / 03 - ST PETERSBURG / 38300</t>
  </si>
  <si>
    <t>001 / 03 - ST PETERSBURG / 38400</t>
  </si>
  <si>
    <t>001 / 03 - ST PETERSBURG / 38500</t>
  </si>
  <si>
    <t>001 / 03 - ST PETERSBURG / 38700</t>
  </si>
  <si>
    <t>001 / 03 - ST PETERSBURG / 39100</t>
  </si>
  <si>
    <t>001 / 03 - ST PETERSBURG / 39101</t>
  </si>
  <si>
    <t>001 / 03 - ST PETERSBURG / 39102</t>
  </si>
  <si>
    <t>001 / 03 - ST PETERSBURG / 39201</t>
  </si>
  <si>
    <t>001 / 03 - ST PETERSBURG / 39202</t>
  </si>
  <si>
    <t>001 / 03 - ST PETERSBURG / 39204</t>
  </si>
  <si>
    <t>001 / 03 - ST PETERSBURG / 39205</t>
  </si>
  <si>
    <t>001 / 03 - ST PETERSBURG / 39300</t>
  </si>
  <si>
    <t>001 / 03 - ST PETERSBURG / 39400</t>
  </si>
  <si>
    <t>001 / 03 - ST PETERSBURG / 39600</t>
  </si>
  <si>
    <t>001 / 03 - ST PETERSBURG / 39700</t>
  </si>
  <si>
    <t>001 / 03 - ST PETERSBURG / 39800</t>
  </si>
  <si>
    <t>001 / 04 - ORLANDO / 30301</t>
  </si>
  <si>
    <t>001 / 04 - ORLANDO / 37400</t>
  </si>
  <si>
    <t>001 / 04 - ORLANDO / 37402</t>
  </si>
  <si>
    <t>001 / 04 - ORLANDO / 37500</t>
  </si>
  <si>
    <t>001 / 04 - ORLANDO / 37600</t>
  </si>
  <si>
    <t>001 / 04 - ORLANDO / 37602</t>
  </si>
  <si>
    <t>001 / 04 - ORLANDO / 37602D</t>
  </si>
  <si>
    <t>001 / 04 - ORLANDO / 37602S</t>
  </si>
  <si>
    <t>001 / 04 - ORLANDO / 37800</t>
  </si>
  <si>
    <t>001 / 04 - ORLANDO / 37900</t>
  </si>
  <si>
    <t>001 / 04 - ORLANDO / 38000</t>
  </si>
  <si>
    <t>001 / 04 - ORLANDO / 38002</t>
  </si>
  <si>
    <t>001 / 04 - ORLANDO / 38200</t>
  </si>
  <si>
    <t>001 / 04 - ORLANDO / 38300</t>
  </si>
  <si>
    <t>001 / 04 - ORLANDO / 38400</t>
  </si>
  <si>
    <t>001 / 04 - ORLANDO / 38500</t>
  </si>
  <si>
    <t>001 / 04 - ORLANDO / 38700</t>
  </si>
  <si>
    <t>001 / 04 - ORLANDO / 39002</t>
  </si>
  <si>
    <t>001 / 04 - ORLANDO / 39100</t>
  </si>
  <si>
    <t>001 / 04 - ORLANDO / 39101</t>
  </si>
  <si>
    <t>001 / 04 - ORLANDO / 39102</t>
  </si>
  <si>
    <t>001 / 04 - ORLANDO / 39201</t>
  </si>
  <si>
    <t>001 / 04 - ORLANDO / 39202</t>
  </si>
  <si>
    <t>001 / 04 - ORLANDO / 39204</t>
  </si>
  <si>
    <t>001 / 04 - ORLANDO / 39205</t>
  </si>
  <si>
    <t>001 / 04 - ORLANDO / 39300</t>
  </si>
  <si>
    <t>001 / 04 - ORLANDO / 39400</t>
  </si>
  <si>
    <t>001 / 04 - ORLANDO / 39600</t>
  </si>
  <si>
    <t>001 / 04 - ORLANDO / 39700</t>
  </si>
  <si>
    <t>001 / 04 - ORLANDO / 39800</t>
  </si>
  <si>
    <t>001 / 05 - TRIANGLE / 30200</t>
  </si>
  <si>
    <t>001 / 05 - TRIANGLE / 30301</t>
  </si>
  <si>
    <t>001 / 05 - TRIANGLE / 37400</t>
  </si>
  <si>
    <t>001 / 05 - TRIANGLE / 37402</t>
  </si>
  <si>
    <t>001 / 05 - TRIANGLE / 37500</t>
  </si>
  <si>
    <t>001 / 05 - TRIANGLE / 37600</t>
  </si>
  <si>
    <t>001 / 05 - TRIANGLE / 37602</t>
  </si>
  <si>
    <t>001 / 05 - TRIANGLE / 37602D</t>
  </si>
  <si>
    <t>001 / 05 - TRIANGLE / 37800</t>
  </si>
  <si>
    <t>001 / 05 - TRIANGLE / 37900</t>
  </si>
  <si>
    <t>001 / 05 - TRIANGLE / 38000</t>
  </si>
  <si>
    <t>001 / 05 - TRIANGLE / 38002</t>
  </si>
  <si>
    <t>001 / 05 - TRIANGLE / 38200</t>
  </si>
  <si>
    <t>001 / 05 - TRIANGLE / 38300</t>
  </si>
  <si>
    <t>001 / 05 - TRIANGLE / 38400</t>
  </si>
  <si>
    <t>001 / 05 - TRIANGLE / 38500</t>
  </si>
  <si>
    <t>001 / 05 - TRIANGLE / 38700</t>
  </si>
  <si>
    <t>001 / 05 - TRIANGLE / 39000</t>
  </si>
  <si>
    <t>001 / 05 - TRIANGLE / 39100</t>
  </si>
  <si>
    <t>001 / 05 - TRIANGLE / 39101</t>
  </si>
  <si>
    <t>001 / 05 - TRIANGLE / 39102</t>
  </si>
  <si>
    <t>001 / 05 - TRIANGLE / 39201</t>
  </si>
  <si>
    <t>001 / 05 - TRIANGLE / 39202</t>
  </si>
  <si>
    <t>001 / 05 - TRIANGLE / 39204</t>
  </si>
  <si>
    <t>001 / 05 - TRIANGLE / 39205</t>
  </si>
  <si>
    <t>001 / 05 - TRIANGLE / 39300</t>
  </si>
  <si>
    <t>001 / 05 - TRIANGLE / 39400</t>
  </si>
  <si>
    <t>001 / 05 - TRIANGLE / 39600</t>
  </si>
  <si>
    <t>001 / 05 - TRIANGLE / 39700</t>
  </si>
  <si>
    <t>001 / 05 - TRIANGLE / 39800</t>
  </si>
  <si>
    <t>001 / 06 - JACKSONVILLE / 30301</t>
  </si>
  <si>
    <t>001 / 06 - JACKSONVILLE / 37400</t>
  </si>
  <si>
    <t>001 / 06 - JACKSONVILLE / 37402</t>
  </si>
  <si>
    <t>001 / 06 - JACKSONVILLE / 37500</t>
  </si>
  <si>
    <t>001 / 06 - JACKSONVILLE / 37600</t>
  </si>
  <si>
    <t>001 / 06 - JACKSONVILLE / 37602</t>
  </si>
  <si>
    <t>001 / 06 - JACKSONVILLE / 37602D</t>
  </si>
  <si>
    <t>001 / 06 - JACKSONVILLE / 37602S</t>
  </si>
  <si>
    <t>001 / 06 - JACKSONVILLE / 37800</t>
  </si>
  <si>
    <t>001 / 06 - JACKSONVILLE / 37900</t>
  </si>
  <si>
    <t>001 / 06 - JACKSONVILLE / 38000</t>
  </si>
  <si>
    <t>001 / 06 - JACKSONVILLE / 38002</t>
  </si>
  <si>
    <t>001 / 06 - JACKSONVILLE / 38200</t>
  </si>
  <si>
    <t>001 / 06 - JACKSONVILLE / 38300</t>
  </si>
  <si>
    <t>001 / 06 - JACKSONVILLE / 38400</t>
  </si>
  <si>
    <t>001 / 06 - JACKSONVILLE / 38500</t>
  </si>
  <si>
    <t>001 / 06 - JACKSONVILLE / 38700</t>
  </si>
  <si>
    <t>001 / 06 - JACKSONVILLE / 39000</t>
  </si>
  <si>
    <t>001 / 06 - JACKSONVILLE / 39100</t>
  </si>
  <si>
    <t>001 / 06 - JACKSONVILLE / 39101</t>
  </si>
  <si>
    <t>001 / 06 - JACKSONVILLE / 39102</t>
  </si>
  <si>
    <t>001 / 06 - JACKSONVILLE / 39201</t>
  </si>
  <si>
    <t>001 / 06 - JACKSONVILLE / 39202</t>
  </si>
  <si>
    <t>001 / 06 - JACKSONVILLE / 39204</t>
  </si>
  <si>
    <t>001 / 06 - JACKSONVILLE / 39205</t>
  </si>
  <si>
    <t>001 / 06 - JACKSONVILLE / 39300</t>
  </si>
  <si>
    <t>001 / 06 - JACKSONVILLE / 39400</t>
  </si>
  <si>
    <t>001 / 06 - JACKSONVILLE / 39600</t>
  </si>
  <si>
    <t>001 / 06 - JACKSONVILLE / 39700</t>
  </si>
  <si>
    <t>001 / 06 - JACKSONVILLE / 39800</t>
  </si>
  <si>
    <t>001 / 07 - MIAMI / 37500</t>
  </si>
  <si>
    <t>001 / 07 - MIAMI / 37600</t>
  </si>
  <si>
    <t>001 / 07 - MIAMI / 37602</t>
  </si>
  <si>
    <t>001 / 07 - MIAMI / 37800</t>
  </si>
  <si>
    <t>001 / 08 - LAKELAND / 30301</t>
  </si>
  <si>
    <t>001 / 08 - LAKELAND / 37400</t>
  </si>
  <si>
    <t>001 / 08 - LAKELAND / 37402</t>
  </si>
  <si>
    <t>001 / 08 - LAKELAND / 37500</t>
  </si>
  <si>
    <t>001 / 08 - LAKELAND / 37600</t>
  </si>
  <si>
    <t>001 / 08 - LAKELAND / 37602</t>
  </si>
  <si>
    <t>001 / 08 - LAKELAND / 37602S</t>
  </si>
  <si>
    <t>001 / 08 - LAKELAND / 37800</t>
  </si>
  <si>
    <t>001 / 08 - LAKELAND / 37900</t>
  </si>
  <si>
    <t>001 / 08 - LAKELAND / 38000</t>
  </si>
  <si>
    <t>001 / 08 - LAKELAND / 38002</t>
  </si>
  <si>
    <t>001 / 08 - LAKELAND / 38200</t>
  </si>
  <si>
    <t>001 / 08 - LAKELAND / 38300</t>
  </si>
  <si>
    <t>001 / 08 - LAKELAND / 38400</t>
  </si>
  <si>
    <t>001 / 08 - LAKELAND / 38500</t>
  </si>
  <si>
    <t>001 / 08 - LAKELAND / 38700</t>
  </si>
  <si>
    <t>001 / 08 - LAKELAND / 39100</t>
  </si>
  <si>
    <t>001 / 08 - LAKELAND / 39101</t>
  </si>
  <si>
    <t>001 / 08 - LAKELAND / 39102</t>
  </si>
  <si>
    <t>001 / 08 - LAKELAND / 39201</t>
  </si>
  <si>
    <t>001 / 08 - LAKELAND / 39202</t>
  </si>
  <si>
    <t>001 / 08 - LAKELAND / 39204</t>
  </si>
  <si>
    <t>001 / 08 - LAKELAND / 39205</t>
  </si>
  <si>
    <t>001 / 08 - LAKELAND / 39300</t>
  </si>
  <si>
    <t>001 / 08 - LAKELAND / 39400</t>
  </si>
  <si>
    <t>001 / 08 - LAKELAND / 39600</t>
  </si>
  <si>
    <t>001 / 08 - LAKELAND / 39700</t>
  </si>
  <si>
    <t>001 / 08 - LAKELAND / 39800</t>
  </si>
  <si>
    <t>001 / 09 - DAYTONA / 30200</t>
  </si>
  <si>
    <t>001 / 09 - DAYTONA / 37400</t>
  </si>
  <si>
    <t>001 / 09 - DAYTONA / 37402</t>
  </si>
  <si>
    <t>001 / 09 - DAYTONA / 37500</t>
  </si>
  <si>
    <t>001 / 09 - DAYTONA / 37600</t>
  </si>
  <si>
    <t>001 / 09 - DAYTONA / 37602</t>
  </si>
  <si>
    <t>001 / 09 - DAYTONA / 37800</t>
  </si>
  <si>
    <t>001 / 09 - DAYTONA / 37900</t>
  </si>
  <si>
    <t>001 / 09 - DAYTONA / 38000</t>
  </si>
  <si>
    <t>001 / 09 - DAYTONA / 38002</t>
  </si>
  <si>
    <t>001 / 09 - DAYTONA / 38200</t>
  </si>
  <si>
    <t>001 / 09 - DAYTONA / 38300</t>
  </si>
  <si>
    <t>001 / 09 - DAYTONA / 38400</t>
  </si>
  <si>
    <t>001 / 09 - DAYTONA / 38500</t>
  </si>
  <si>
    <t>001 / 09 - DAYTONA / 38700</t>
  </si>
  <si>
    <t>001 / 09 - DAYTONA / 39002</t>
  </si>
  <si>
    <t>001 / 09 - DAYTONA / 39100</t>
  </si>
  <si>
    <t>001 / 09 - DAYTONA / 39101</t>
  </si>
  <si>
    <t>001 / 09 - DAYTONA / 39102</t>
  </si>
  <si>
    <t>001 / 09 - DAYTONA / 39201</t>
  </si>
  <si>
    <t>001 / 09 - DAYTONA / 39202</t>
  </si>
  <si>
    <t>001 / 09 - DAYTONA / 39204</t>
  </si>
  <si>
    <t>001 / 09 - DAYTONA / 39205</t>
  </si>
  <si>
    <t>001 / 09 - DAYTONA / 39400</t>
  </si>
  <si>
    <t>001 / 09 - DAYTONA / 39600</t>
  </si>
  <si>
    <t>001 / 09 - DAYTONA / 39700</t>
  </si>
  <si>
    <t>001 / 09 - DAYTONA / 39800</t>
  </si>
  <si>
    <t>001 / 10 - HIGHLANDS / 30301</t>
  </si>
  <si>
    <t>001 / 10 - HIGHLANDS / 37402</t>
  </si>
  <si>
    <t>001 / 10 - HIGHLANDS / 37500</t>
  </si>
  <si>
    <t>001 / 10 - HIGHLANDS / 37600</t>
  </si>
  <si>
    <t>001 / 10 - HIGHLANDS / 37602</t>
  </si>
  <si>
    <t>001 / 10 - HIGHLANDS / 37800</t>
  </si>
  <si>
    <t>001 / 10 - HIGHLANDS / 37900</t>
  </si>
  <si>
    <t>001 / 10 - HIGHLANDS / 38000</t>
  </si>
  <si>
    <t>001 / 10 - HIGHLANDS / 38002</t>
  </si>
  <si>
    <t>001 / 10 - HIGHLANDS / 38200</t>
  </si>
  <si>
    <t>001 / 10 - HIGHLANDS / 38300</t>
  </si>
  <si>
    <t>001 / 10 - HIGHLANDS / 38400</t>
  </si>
  <si>
    <t>001 / 10 - HIGHLANDS / 38500</t>
  </si>
  <si>
    <t>001 / 10 - HIGHLANDS / 38700</t>
  </si>
  <si>
    <t>001 / 10 - HIGHLANDS / 39002</t>
  </si>
  <si>
    <t>001 / 10 - HIGHLANDS / 39100</t>
  </si>
  <si>
    <t>001 / 10 - HIGHLANDS / 39101</t>
  </si>
  <si>
    <t>001 / 10 - HIGHLANDS / 39102</t>
  </si>
  <si>
    <t>001 / 10 - HIGHLANDS / 39201</t>
  </si>
  <si>
    <t>001 / 10 - HIGHLANDS / 39202</t>
  </si>
  <si>
    <t>001 / 10 - HIGHLANDS / 39204</t>
  </si>
  <si>
    <t>001 / 10 - HIGHLANDS / 39400</t>
  </si>
  <si>
    <t>001 / 10 - HIGHLANDS / 39600</t>
  </si>
  <si>
    <t>001 / 10 - HIGHLANDS / 39700</t>
  </si>
  <si>
    <t>001 / 10 - HIGHLANDS / 39800</t>
  </si>
  <si>
    <t>001 / 11 - SARASOTA / 30301</t>
  </si>
  <si>
    <t>001 / 11 - SARASOTA / 37400</t>
  </si>
  <si>
    <t>001 / 11 - SARASOTA / 37402</t>
  </si>
  <si>
    <t>001 / 11 - SARASOTA / 37500</t>
  </si>
  <si>
    <t>001 / 11 - SARASOTA / 37600</t>
  </si>
  <si>
    <t>001 / 11 - SARASOTA / 37602</t>
  </si>
  <si>
    <t>001 / 11 - SARASOTA / 37602D</t>
  </si>
  <si>
    <t>001 / 11 - SARASOTA / 37602S</t>
  </si>
  <si>
    <t>001 / 11 - SARASOTA / 37800</t>
  </si>
  <si>
    <t>001 / 11 - SARASOTA / 37900</t>
  </si>
  <si>
    <t>001 / 11 - SARASOTA / 38000</t>
  </si>
  <si>
    <t>001 / 11 - SARASOTA / 38002</t>
  </si>
  <si>
    <t>001 / 11 - SARASOTA / 38200</t>
  </si>
  <si>
    <t>001 / 11 - SARASOTA / 38300</t>
  </si>
  <si>
    <t>001 / 11 - SARASOTA / 38400</t>
  </si>
  <si>
    <t>001 / 11 - SARASOTA / 38500</t>
  </si>
  <si>
    <t>001 / 11 - SARASOTA / 38700</t>
  </si>
  <si>
    <t>001 / 11 - SARASOTA / 39100</t>
  </si>
  <si>
    <t>001 / 11 - SARASOTA / 39101</t>
  </si>
  <si>
    <t>001 / 11 - SARASOTA / 39102</t>
  </si>
  <si>
    <t>001 / 11 - SARASOTA / 39201</t>
  </si>
  <si>
    <t>001 / 11 - SARASOTA / 39202</t>
  </si>
  <si>
    <t>001 / 11 - SARASOTA / 39204</t>
  </si>
  <si>
    <t>001 / 11 - SARASOTA / 39400</t>
  </si>
  <si>
    <t>001 / 11 - SARASOTA / 39600</t>
  </si>
  <si>
    <t>001 / 11 - SARASOTA / 39700</t>
  </si>
  <si>
    <t>001 / 11 - SARASOTA / 39800</t>
  </si>
  <si>
    <t>001 / 13 - PALM BEACH / 30301</t>
  </si>
  <si>
    <t>001 / 13 - PALM BEACH / 37400</t>
  </si>
  <si>
    <t>001 / 13 - PALM BEACH / 37402</t>
  </si>
  <si>
    <t>001 / 13 - PALM BEACH / 37500</t>
  </si>
  <si>
    <t>001 / 13 - PALM BEACH / 37600</t>
  </si>
  <si>
    <t>001 / 13 - PALM BEACH / 37602</t>
  </si>
  <si>
    <t>001 / 13 - PALM BEACH / 37602D</t>
  </si>
  <si>
    <t>001 / 13 - PALM BEACH / 37602S</t>
  </si>
  <si>
    <t>001 / 13 - PALM BEACH / 37800</t>
  </si>
  <si>
    <t>001 / 13 - PALM BEACH / 37900</t>
  </si>
  <si>
    <t>001 / 13 - PALM BEACH / 38000</t>
  </si>
  <si>
    <t>001 / 13 - PALM BEACH / 38002</t>
  </si>
  <si>
    <t>001 / 13 - PALM BEACH / 38200</t>
  </si>
  <si>
    <t>001 / 13 - PALM BEACH / 38300</t>
  </si>
  <si>
    <t>001 / 13 - PALM BEACH / 38400</t>
  </si>
  <si>
    <t>001 / 13 - PALM BEACH / 38500</t>
  </si>
  <si>
    <t>001 / 13 - PALM BEACH / 38700</t>
  </si>
  <si>
    <t>001 / 13 - PALM BEACH / 39000</t>
  </si>
  <si>
    <t>001 / 13 - PALM BEACH / 39002</t>
  </si>
  <si>
    <t>001 / 13 - PALM BEACH / 39100</t>
  </si>
  <si>
    <t>001 / 13 - PALM BEACH / 39101</t>
  </si>
  <si>
    <t>001 / 13 - PALM BEACH / 39102</t>
  </si>
  <si>
    <t>001 / 13 - PALM BEACH / 39201</t>
  </si>
  <si>
    <t>001 / 13 - PALM BEACH / 39202</t>
  </si>
  <si>
    <t>001 / 13 - PALM BEACH / 39204</t>
  </si>
  <si>
    <t>001 / 13 - PALM BEACH / 39205</t>
  </si>
  <si>
    <t>001 / 13 - PALM BEACH / 39300</t>
  </si>
  <si>
    <t>001 / 13 - PALM BEACH / 39400</t>
  </si>
  <si>
    <t>001 / 13 - PALM BEACH / 39600</t>
  </si>
  <si>
    <t>001 / 13 - PALM BEACH / 39700</t>
  </si>
  <si>
    <t>001 / 13 - PALM BEACH / 39800</t>
  </si>
  <si>
    <t>001 / 14 - PANAMA CITY / 30100</t>
  </si>
  <si>
    <t>001 / 14 - PANAMA CITY / 30200</t>
  </si>
  <si>
    <t>001 / 14 - PANAMA CITY / 30300</t>
  </si>
  <si>
    <t>001 / 14 - PANAMA CITY / 30301</t>
  </si>
  <si>
    <t>001 / 14 - PANAMA CITY / 37400</t>
  </si>
  <si>
    <t>001 / 14 - PANAMA CITY / 37500</t>
  </si>
  <si>
    <t>001 / 14 - PANAMA CITY / 37600</t>
  </si>
  <si>
    <t>001 / 14 - PANAMA CITY / 37602</t>
  </si>
  <si>
    <t>001 / 14 - PANAMA CITY / 37602D</t>
  </si>
  <si>
    <t>001 / 14 - PANAMA CITY / 37602S</t>
  </si>
  <si>
    <t>001 / 14 - PANAMA CITY / 37800</t>
  </si>
  <si>
    <t>001 / 14 - PANAMA CITY / 37801</t>
  </si>
  <si>
    <t>001 / 14 - PANAMA CITY / 37900</t>
  </si>
  <si>
    <t>001 / 14 - PANAMA CITY / 37901</t>
  </si>
  <si>
    <t>001 / 14 - PANAMA CITY / 38000</t>
  </si>
  <si>
    <t>001 / 14 - PANAMA CITY / 38002</t>
  </si>
  <si>
    <t>001 / 14 - PANAMA CITY / 38100</t>
  </si>
  <si>
    <t>001 / 14 - PANAMA CITY / 38200</t>
  </si>
  <si>
    <t>001 / 14 - PANAMA CITY / 38300</t>
  </si>
  <si>
    <t>001 / 14 - PANAMA CITY / 38400</t>
  </si>
  <si>
    <t>001 / 14 - PANAMA CITY / 38500</t>
  </si>
  <si>
    <t>001 / 14 - PANAMA CITY / 38700</t>
  </si>
  <si>
    <t>001 / 14 - PANAMA CITY / 39000</t>
  </si>
  <si>
    <t>001 / 14 - PANAMA CITY / 39100</t>
  </si>
  <si>
    <t>001 / 14 - PANAMA CITY / 39101</t>
  </si>
  <si>
    <t>001 / 14 - PANAMA CITY / 39102</t>
  </si>
  <si>
    <t>001 / 14 - PANAMA CITY / 39103</t>
  </si>
  <si>
    <t>001 / 14 - PANAMA CITY / 39201</t>
  </si>
  <si>
    <t>001 / 14 - PANAMA CITY / 39202</t>
  </si>
  <si>
    <t>001 / 14 - PANAMA CITY / 39204</t>
  </si>
  <si>
    <t>001 / 14 - PANAMA CITY / 39205</t>
  </si>
  <si>
    <t>001 / 14 - PANAMA CITY / 39400</t>
  </si>
  <si>
    <t>001 / 14 - PANAMA CITY / 39401</t>
  </si>
  <si>
    <t>001 / 14 - PANAMA CITY / 39500</t>
  </si>
  <si>
    <t>001 / 14 - PANAMA CITY / 39600</t>
  </si>
  <si>
    <t>001 / 14 - PANAMA CITY / 39700</t>
  </si>
  <si>
    <t>001 / 14 - PANAMA CITY / 39800</t>
  </si>
  <si>
    <t>001 / 15 - OCALA / 30100</t>
  </si>
  <si>
    <t>001 / 15 - OCALA / 30200</t>
  </si>
  <si>
    <t>001 / 15 - OCALA / 30300</t>
  </si>
  <si>
    <t>001 / 15 - OCALA / 37400</t>
  </si>
  <si>
    <t>001 / 15 - OCALA / 37402</t>
  </si>
  <si>
    <t>001 / 15 - OCALA / 37500</t>
  </si>
  <si>
    <t>001 / 15 - OCALA / 37600</t>
  </si>
  <si>
    <t>001 / 15 - OCALA / 37602</t>
  </si>
  <si>
    <t>001 / 15 - OCALA / 37602D</t>
  </si>
  <si>
    <t>001 / 15 - OCALA / 37800</t>
  </si>
  <si>
    <t>001 / 15 - OCALA / 37801</t>
  </si>
  <si>
    <t>001 / 15 - OCALA / 37900</t>
  </si>
  <si>
    <t>001 / 15 - OCALA / 37901</t>
  </si>
  <si>
    <t>001 / 15 - OCALA / 38000</t>
  </si>
  <si>
    <t>001 / 15 - OCALA / 38002</t>
  </si>
  <si>
    <t>001 / 15 - OCALA / 38100</t>
  </si>
  <si>
    <t>001 / 15 - OCALA / 38101</t>
  </si>
  <si>
    <t>001 / 15 - OCALA / 38200</t>
  </si>
  <si>
    <t>001 / 15 - OCALA / 38300</t>
  </si>
  <si>
    <t>001 / 15 - OCALA / 38400</t>
  </si>
  <si>
    <t>001 / 15 - OCALA / 38500</t>
  </si>
  <si>
    <t>001 / 15 - OCALA / 38700</t>
  </si>
  <si>
    <t>001 / 15 - OCALA / 39000</t>
  </si>
  <si>
    <t>001 / 15 - OCALA / 39100</t>
  </si>
  <si>
    <t>001 / 15 - OCALA / 39101</t>
  </si>
  <si>
    <t>001 / 15 - OCALA / 39102</t>
  </si>
  <si>
    <t>001 / 15 - OCALA / 39103</t>
  </si>
  <si>
    <t>001 / 15 - OCALA / 39201</t>
  </si>
  <si>
    <t>001 / 15 - OCALA / 39202</t>
  </si>
  <si>
    <t>001 / 15 - OCALA / 39204</t>
  </si>
  <si>
    <t>001 / 15 - OCALA / 39205</t>
  </si>
  <si>
    <t>001 / 15 - OCALA / 39400</t>
  </si>
  <si>
    <t>001 / 15 - OCALA / 39401</t>
  </si>
  <si>
    <t>001 / 15 - OCALA / 39600</t>
  </si>
  <si>
    <t>001 / 15 - OCALA / 39700</t>
  </si>
  <si>
    <t>001 / 15 - OCALA / 39800</t>
  </si>
  <si>
    <t>001 / 16 - S.W.FL / 37400</t>
  </si>
  <si>
    <t>001 / 16 - S.W.FL / 37402</t>
  </si>
  <si>
    <t>001 / 16 - S.W.FL / 37500</t>
  </si>
  <si>
    <t>001 / 16 - S.W.FL / 37600</t>
  </si>
  <si>
    <t>001 / 16 - S.W.FL / 37602</t>
  </si>
  <si>
    <t>001 / 16 - S.W.FL / 37602D</t>
  </si>
  <si>
    <t>001 / 16 - S.W.FL / 37602S</t>
  </si>
  <si>
    <t>001 / 16 - S.W.FL / 37800</t>
  </si>
  <si>
    <t>001 / 16 - S.W.FL / 37900</t>
  </si>
  <si>
    <t>001 / 16 - S.W.FL / 38000</t>
  </si>
  <si>
    <t>001 / 16 - S.W.FL / 38002</t>
  </si>
  <si>
    <t>001 / 16 - S.W.FL / 38200</t>
  </si>
  <si>
    <t>001 / 16 - S.W.FL / 38300</t>
  </si>
  <si>
    <t>001 / 16 - S.W.FL / 38400</t>
  </si>
  <si>
    <t>001 / 16 - S.W.FL / 38500</t>
  </si>
  <si>
    <t>001 / 16 - S.W.FL / 38700</t>
  </si>
  <si>
    <t>001 / 16 - S.W.FL / 39100</t>
  </si>
  <si>
    <t>001 / 16 - S.W.FL / 39101</t>
  </si>
  <si>
    <t>001 / 16 - S.W.FL / 39102</t>
  </si>
  <si>
    <t>001 / 16 - S.W.FL / 39201</t>
  </si>
  <si>
    <t>001 / 16 - S.W.FL / 39202</t>
  </si>
  <si>
    <t>001 / 16 - S.W.FL / 39204</t>
  </si>
  <si>
    <t>001 / 16 - S.W.FL / 39205</t>
  </si>
  <si>
    <t>001 / 16 - S.W.FL / 39300</t>
  </si>
  <si>
    <t>001 / 16 - S.W.FL / 39400</t>
  </si>
  <si>
    <t>001 / 16 - S.W.FL / 39600</t>
  </si>
  <si>
    <t>001 / 16 - S.W.FL / 39700</t>
  </si>
  <si>
    <t>001 / 16 - S.W.FL / 39800</t>
  </si>
  <si>
    <t>001 / 55 - CALL CENTER / 30301</t>
  </si>
  <si>
    <t>001 / 55 - CALL CENTER / 37500</t>
  </si>
  <si>
    <t>001 / 55 - CALL CENTER / 39100</t>
  </si>
  <si>
    <t>001 / 55 - CALL CENTER / 39101</t>
  </si>
  <si>
    <t>001 / 55 - CALL CENTER / 39102</t>
  </si>
  <si>
    <t>001 / 55 - CALL CENTER / 39700</t>
  </si>
  <si>
    <t>001 / 90 - CORPORATE / 30100</t>
  </si>
  <si>
    <t>001 / 90 - CORPORATE / 30200</t>
  </si>
  <si>
    <t>001 / 90 - CORPORATE / 30301</t>
  </si>
  <si>
    <t>001 / 90 - CORPORATE / 37400</t>
  </si>
  <si>
    <t>001 / 90 - CORPORATE / 37402</t>
  </si>
  <si>
    <t>001 / 90 - CORPORATE / 37500</t>
  </si>
  <si>
    <t>001 / 90 - CORPORATE / 37600</t>
  </si>
  <si>
    <t>001 / 90 - CORPORATE / 37900</t>
  </si>
  <si>
    <t>001 / 90 - CORPORATE / 38100</t>
  </si>
  <si>
    <t>001 / 90 - CORPORATE / 38300</t>
  </si>
  <si>
    <t>001 / 90 - CORPORATE / 38500</t>
  </si>
  <si>
    <t>001 / 90 - CORPORATE / 38602</t>
  </si>
  <si>
    <t>001 / 90 - CORPORATE / 38608</t>
  </si>
  <si>
    <t>001 / 90 - CORPORATE / 38700</t>
  </si>
  <si>
    <t>001 / 90 - CORPORATE / 39002</t>
  </si>
  <si>
    <t>001 / 90 - CORPORATE / 39100</t>
  </si>
  <si>
    <t>001 / 90 - CORPORATE / 39101</t>
  </si>
  <si>
    <t>001 / 90 - CORPORATE / 39102</t>
  </si>
  <si>
    <t>001 / 90 - CORPORATE / 39201</t>
  </si>
  <si>
    <t>001 / 90 - CORPORATE / 39202</t>
  </si>
  <si>
    <t>001 / 90 - CORPORATE / 39203</t>
  </si>
  <si>
    <t>001 / 90 - CORPORATE / 39204</t>
  </si>
  <si>
    <t>001 / 90 - CORPORATE / 39205</t>
  </si>
  <si>
    <t>001 / 90 - CORPORATE / 39400</t>
  </si>
  <si>
    <t>001 / 90 - CORPORATE / 39500</t>
  </si>
  <si>
    <t>001 / 90 - CORPORATE / 39600</t>
  </si>
  <si>
    <t>001 / 90 - CORPORATE / 39700</t>
  </si>
  <si>
    <t>001 / 90 - CORPORATE / 39800</t>
  </si>
  <si>
    <t>Not Depreciable</t>
  </si>
  <si>
    <t>Land Rights</t>
  </si>
  <si>
    <t>Florida Public Utilities</t>
  </si>
  <si>
    <t>PSC-09-0229-PAA-GU</t>
  </si>
  <si>
    <t>Florida City Gas</t>
  </si>
  <si>
    <t>PSC-09-0835-PAA-GU</t>
  </si>
  <si>
    <t>NA</t>
  </si>
  <si>
    <t>SQ</t>
  </si>
  <si>
    <t>Amort</t>
  </si>
  <si>
    <t>Transfers In/Out</t>
  </si>
  <si>
    <t>Organization Costs</t>
  </si>
  <si>
    <t>PAA</t>
  </si>
  <si>
    <t>As Filed</t>
  </si>
  <si>
    <t>&gt;</t>
  </si>
  <si>
    <t>Includes RWIP</t>
  </si>
  <si>
    <t>Lookup</t>
  </si>
  <si>
    <t>Count of Rate</t>
  </si>
  <si>
    <t>(blank)</t>
  </si>
  <si>
    <t>Not used at the moment</t>
  </si>
  <si>
    <t>001 / 01 - DADE - BROWARD / 10500</t>
  </si>
  <si>
    <t>001 / 01 - DADE - BROWARD / 39401</t>
  </si>
  <si>
    <t>39401 - CNC Station Equipment</t>
  </si>
  <si>
    <t>001 / 02 - TAMPA / 10500</t>
  </si>
  <si>
    <t>001 / 11 - SARASOTA / 39300</t>
  </si>
  <si>
    <t>001 / 15 - OCALA / 30301</t>
  </si>
  <si>
    <t>001 / 90 - CORPORATE / 11500</t>
  </si>
  <si>
    <t>30302 - SAP Intangible Plant</t>
  </si>
  <si>
    <t>001 / 90 - CORPORATE / 37800</t>
  </si>
  <si>
    <t>38602 - Other Property Cust Premise</t>
  </si>
  <si>
    <t>38608 - Other Property Cust Premise</t>
  </si>
  <si>
    <t>001 / 90 - CORPORATE / 39900</t>
  </si>
  <si>
    <t>39900 - Other Tangible Property</t>
  </si>
  <si>
    <t>2015 ACTUALS</t>
  </si>
  <si>
    <t>108 RWIP Unallocated</t>
  </si>
  <si>
    <t>Less Land Distribution 37400</t>
  </si>
  <si>
    <t>CNG Station Equipment</t>
  </si>
  <si>
    <t>start_month</t>
  </si>
  <si>
    <t>end_month</t>
  </si>
  <si>
    <t>depr_group</t>
  </si>
  <si>
    <t>company</t>
  </si>
  <si>
    <t>set_of_books</t>
  </si>
  <si>
    <t>external_account_code</t>
  </si>
  <si>
    <t>begin_bal</t>
  </si>
  <si>
    <t>provision</t>
  </si>
  <si>
    <t>cost_of_removal</t>
  </si>
  <si>
    <t>transfers</t>
  </si>
  <si>
    <t>end_bal</t>
  </si>
  <si>
    <t>12/2015</t>
  </si>
  <si>
    <t>Financial</t>
  </si>
  <si>
    <t>1080000</t>
  </si>
  <si>
    <t>1150000</t>
  </si>
  <si>
    <t>Total Distribution &amp; General Plant</t>
  </si>
  <si>
    <t>PS Colorado Gas</t>
  </si>
  <si>
    <t>2011-2015</t>
  </si>
  <si>
    <t>00S-422G-02S-31SEG</t>
  </si>
  <si>
    <t>R5</t>
  </si>
  <si>
    <t>R2.5</t>
  </si>
  <si>
    <t>R1.5</t>
  </si>
  <si>
    <t>O1</t>
  </si>
  <si>
    <t>R0.5</t>
  </si>
  <si>
    <t>Gas Transportation Equipment</t>
  </si>
  <si>
    <t>L2</t>
  </si>
  <si>
    <t>01</t>
  </si>
  <si>
    <t>0110500</t>
  </si>
  <si>
    <t>10500 - Future Use</t>
  </si>
  <si>
    <t>0130100</t>
  </si>
  <si>
    <t>0130200</t>
  </si>
  <si>
    <t>0130301</t>
  </si>
  <si>
    <t>0137400</t>
  </si>
  <si>
    <t>0137402</t>
  </si>
  <si>
    <t>0137500</t>
  </si>
  <si>
    <t>0137600</t>
  </si>
  <si>
    <t>0137602</t>
  </si>
  <si>
    <t>0137800</t>
  </si>
  <si>
    <t>0137900</t>
  </si>
  <si>
    <t>0138000</t>
  </si>
  <si>
    <t>0138002</t>
  </si>
  <si>
    <t>0138200</t>
  </si>
  <si>
    <t>0138300</t>
  </si>
  <si>
    <t>0138400</t>
  </si>
  <si>
    <t>0138500</t>
  </si>
  <si>
    <t>0138700</t>
  </si>
  <si>
    <t>0139000</t>
  </si>
  <si>
    <t>0139002</t>
  </si>
  <si>
    <t>0139100</t>
  </si>
  <si>
    <t>0139101</t>
  </si>
  <si>
    <t>0139102</t>
  </si>
  <si>
    <t>0139201</t>
  </si>
  <si>
    <t>0139202</t>
  </si>
  <si>
    <t>0139204</t>
  </si>
  <si>
    <t>0139205</t>
  </si>
  <si>
    <t>0139300</t>
  </si>
  <si>
    <t>0139400</t>
  </si>
  <si>
    <t>0139401</t>
  </si>
  <si>
    <t>0139500</t>
  </si>
  <si>
    <t>0139600</t>
  </si>
  <si>
    <t>0139700</t>
  </si>
  <si>
    <t>0139800</t>
  </si>
  <si>
    <t>02</t>
  </si>
  <si>
    <t>0210500</t>
  </si>
  <si>
    <t>0230301</t>
  </si>
  <si>
    <t>0237400</t>
  </si>
  <si>
    <t>0237500</t>
  </si>
  <si>
    <t>0237600</t>
  </si>
  <si>
    <t>0237602</t>
  </si>
  <si>
    <t>0237800</t>
  </si>
  <si>
    <t>0237900</t>
  </si>
  <si>
    <t>0238000</t>
  </si>
  <si>
    <t>0238002</t>
  </si>
  <si>
    <t>0238200</t>
  </si>
  <si>
    <t>0238300</t>
  </si>
  <si>
    <t>0238400</t>
  </si>
  <si>
    <t>0238500</t>
  </si>
  <si>
    <t>0238700</t>
  </si>
  <si>
    <t>0239100</t>
  </si>
  <si>
    <t>0239101</t>
  </si>
  <si>
    <t>0239102</t>
  </si>
  <si>
    <t>0239201</t>
  </si>
  <si>
    <t>0239202</t>
  </si>
  <si>
    <t>0239204</t>
  </si>
  <si>
    <t>0239205</t>
  </si>
  <si>
    <t>0239300</t>
  </si>
  <si>
    <t>0239400</t>
  </si>
  <si>
    <t>0239500</t>
  </si>
  <si>
    <t>0239600</t>
  </si>
  <si>
    <t>0239700</t>
  </si>
  <si>
    <t>0239800</t>
  </si>
  <si>
    <t>03</t>
  </si>
  <si>
    <t>0330100</t>
  </si>
  <si>
    <t>0330200</t>
  </si>
  <si>
    <t>0330301</t>
  </si>
  <si>
    <t>0337400</t>
  </si>
  <si>
    <t>0337402</t>
  </si>
  <si>
    <t>0337500</t>
  </si>
  <si>
    <t>0337600</t>
  </si>
  <si>
    <t>0337602</t>
  </si>
  <si>
    <t>0337800</t>
  </si>
  <si>
    <t>0337900</t>
  </si>
  <si>
    <t>0338000</t>
  </si>
  <si>
    <t>0338002</t>
  </si>
  <si>
    <t>0338200</t>
  </si>
  <si>
    <t>0338300</t>
  </si>
  <si>
    <t>0338400</t>
  </si>
  <si>
    <t>0338500</t>
  </si>
  <si>
    <t>0338700</t>
  </si>
  <si>
    <t>0339100</t>
  </si>
  <si>
    <t>0339101</t>
  </si>
  <si>
    <t>0339102</t>
  </si>
  <si>
    <t>0339201</t>
  </si>
  <si>
    <t>0339202</t>
  </si>
  <si>
    <t>0339204</t>
  </si>
  <si>
    <t>0339205</t>
  </si>
  <si>
    <t>0339300</t>
  </si>
  <si>
    <t>0339400</t>
  </si>
  <si>
    <t>0339600</t>
  </si>
  <si>
    <t>0339700</t>
  </si>
  <si>
    <t>0339800</t>
  </si>
  <si>
    <t>04</t>
  </si>
  <si>
    <t>0430301</t>
  </si>
  <si>
    <t>0437400</t>
  </si>
  <si>
    <t>0437402</t>
  </si>
  <si>
    <t>0437500</t>
  </si>
  <si>
    <t>0437600</t>
  </si>
  <si>
    <t>0437602</t>
  </si>
  <si>
    <t>0437800</t>
  </si>
  <si>
    <t>0437900</t>
  </si>
  <si>
    <t>0438000</t>
  </si>
  <si>
    <t>0438002</t>
  </si>
  <si>
    <t>0438200</t>
  </si>
  <si>
    <t>0438300</t>
  </si>
  <si>
    <t>0438400</t>
  </si>
  <si>
    <t>0438500</t>
  </si>
  <si>
    <t>0438700</t>
  </si>
  <si>
    <t>0439002</t>
  </si>
  <si>
    <t>0439100</t>
  </si>
  <si>
    <t>0439101</t>
  </si>
  <si>
    <t>0439102</t>
  </si>
  <si>
    <t>0439201</t>
  </si>
  <si>
    <t>0439202</t>
  </si>
  <si>
    <t>0439204</t>
  </si>
  <si>
    <t>0439205</t>
  </si>
  <si>
    <t>0439300</t>
  </si>
  <si>
    <t>0439400</t>
  </si>
  <si>
    <t>0439600</t>
  </si>
  <si>
    <t>0439700</t>
  </si>
  <si>
    <t>0439800</t>
  </si>
  <si>
    <t>05</t>
  </si>
  <si>
    <t>0530200</t>
  </si>
  <si>
    <t>0530301</t>
  </si>
  <si>
    <t>0537400</t>
  </si>
  <si>
    <t>0537402</t>
  </si>
  <si>
    <t>0537500</t>
  </si>
  <si>
    <t>0537600</t>
  </si>
  <si>
    <t>0537602</t>
  </si>
  <si>
    <t>0537800</t>
  </si>
  <si>
    <t>0537900</t>
  </si>
  <si>
    <t>0538000</t>
  </si>
  <si>
    <t>0538002</t>
  </si>
  <si>
    <t>0538200</t>
  </si>
  <si>
    <t>0538300</t>
  </si>
  <si>
    <t>0538400</t>
  </si>
  <si>
    <t>0538500</t>
  </si>
  <si>
    <t>0538700</t>
  </si>
  <si>
    <t>0539000</t>
  </si>
  <si>
    <t>0539100</t>
  </si>
  <si>
    <t>0539101</t>
  </si>
  <si>
    <t>0539102</t>
  </si>
  <si>
    <t>0539201</t>
  </si>
  <si>
    <t>0539202</t>
  </si>
  <si>
    <t>0539204</t>
  </si>
  <si>
    <t>0539205</t>
  </si>
  <si>
    <t>0539300</t>
  </si>
  <si>
    <t>0539400</t>
  </si>
  <si>
    <t>0539600</t>
  </si>
  <si>
    <t>0539700</t>
  </si>
  <si>
    <t>0539800</t>
  </si>
  <si>
    <t>06</t>
  </si>
  <si>
    <t>0630301</t>
  </si>
  <si>
    <t>0637400</t>
  </si>
  <si>
    <t>0637402</t>
  </si>
  <si>
    <t>0637500</t>
  </si>
  <si>
    <t>0637600</t>
  </si>
  <si>
    <t>0637602</t>
  </si>
  <si>
    <t>0637800</t>
  </si>
  <si>
    <t>0637900</t>
  </si>
  <si>
    <t>0638000</t>
  </si>
  <si>
    <t>0638002</t>
  </si>
  <si>
    <t>0638200</t>
  </si>
  <si>
    <t>0638300</t>
  </si>
  <si>
    <t>0638400</t>
  </si>
  <si>
    <t>0638500</t>
  </si>
  <si>
    <t>0638700</t>
  </si>
  <si>
    <t>0639000</t>
  </si>
  <si>
    <t>0639100</t>
  </si>
  <si>
    <t>0639101</t>
  </si>
  <si>
    <t>0639102</t>
  </si>
  <si>
    <t>0639201</t>
  </si>
  <si>
    <t>0639202</t>
  </si>
  <si>
    <t>0639204</t>
  </si>
  <si>
    <t>0639205</t>
  </si>
  <si>
    <t>0639300</t>
  </si>
  <si>
    <t>0639400</t>
  </si>
  <si>
    <t>0639600</t>
  </si>
  <si>
    <t>0639700</t>
  </si>
  <si>
    <t>0639800</t>
  </si>
  <si>
    <t>07</t>
  </si>
  <si>
    <t>0737500</t>
  </si>
  <si>
    <t>0737600</t>
  </si>
  <si>
    <t>0737602</t>
  </si>
  <si>
    <t>0737800</t>
  </si>
  <si>
    <t>08</t>
  </si>
  <si>
    <t>0830301</t>
  </si>
  <si>
    <t>0837400</t>
  </si>
  <si>
    <t>0837402</t>
  </si>
  <si>
    <t>0837500</t>
  </si>
  <si>
    <t>0837600</t>
  </si>
  <si>
    <t>0837602</t>
  </si>
  <si>
    <t>0837800</t>
  </si>
  <si>
    <t>0837900</t>
  </si>
  <si>
    <t>0838000</t>
  </si>
  <si>
    <t>0838002</t>
  </si>
  <si>
    <t>0838200</t>
  </si>
  <si>
    <t>0838300</t>
  </si>
  <si>
    <t>0838400</t>
  </si>
  <si>
    <t>0838500</t>
  </si>
  <si>
    <t>0838700</t>
  </si>
  <si>
    <t>0839100</t>
  </si>
  <si>
    <t>0839101</t>
  </si>
  <si>
    <t>0839102</t>
  </si>
  <si>
    <t>0839201</t>
  </si>
  <si>
    <t>0839202</t>
  </si>
  <si>
    <t>0839204</t>
  </si>
  <si>
    <t>0839205</t>
  </si>
  <si>
    <t>0839300</t>
  </si>
  <si>
    <t>0839400</t>
  </si>
  <si>
    <t>0839600</t>
  </si>
  <si>
    <t>0839700</t>
  </si>
  <si>
    <t>0839800</t>
  </si>
  <si>
    <t>09</t>
  </si>
  <si>
    <t>0930200</t>
  </si>
  <si>
    <t>0937400</t>
  </si>
  <si>
    <t>0937402</t>
  </si>
  <si>
    <t>0937500</t>
  </si>
  <si>
    <t>0937600</t>
  </si>
  <si>
    <t>0937602</t>
  </si>
  <si>
    <t>0937800</t>
  </si>
  <si>
    <t>0937900</t>
  </si>
  <si>
    <t>0938000</t>
  </si>
  <si>
    <t>0938002</t>
  </si>
  <si>
    <t>0938200</t>
  </si>
  <si>
    <t>0938300</t>
  </si>
  <si>
    <t>0938400</t>
  </si>
  <si>
    <t>0938500</t>
  </si>
  <si>
    <t>0938700</t>
  </si>
  <si>
    <t>0939002</t>
  </si>
  <si>
    <t>0939100</t>
  </si>
  <si>
    <t>0939101</t>
  </si>
  <si>
    <t>0939102</t>
  </si>
  <si>
    <t>0939201</t>
  </si>
  <si>
    <t>0939202</t>
  </si>
  <si>
    <t>0939204</t>
  </si>
  <si>
    <t>0939205</t>
  </si>
  <si>
    <t>0939400</t>
  </si>
  <si>
    <t>0939600</t>
  </si>
  <si>
    <t>0939700</t>
  </si>
  <si>
    <t>0939800</t>
  </si>
  <si>
    <t>10</t>
  </si>
  <si>
    <t>1030301</t>
  </si>
  <si>
    <t>1037402</t>
  </si>
  <si>
    <t>1037500</t>
  </si>
  <si>
    <t>1037600</t>
  </si>
  <si>
    <t>1037602</t>
  </si>
  <si>
    <t>1037800</t>
  </si>
  <si>
    <t>1037900</t>
  </si>
  <si>
    <t>1038000</t>
  </si>
  <si>
    <t>1038002</t>
  </si>
  <si>
    <t>1038200</t>
  </si>
  <si>
    <t>1038300</t>
  </si>
  <si>
    <t>1038400</t>
  </si>
  <si>
    <t>1038500</t>
  </si>
  <si>
    <t>1038700</t>
  </si>
  <si>
    <t>1039002</t>
  </si>
  <si>
    <t>1039100</t>
  </si>
  <si>
    <t>1039101</t>
  </si>
  <si>
    <t>1039102</t>
  </si>
  <si>
    <t>1039201</t>
  </si>
  <si>
    <t>1039202</t>
  </si>
  <si>
    <t>1039204</t>
  </si>
  <si>
    <t>1039400</t>
  </si>
  <si>
    <t>1039600</t>
  </si>
  <si>
    <t>1039700</t>
  </si>
  <si>
    <t>1039800</t>
  </si>
  <si>
    <t>11</t>
  </si>
  <si>
    <t>1130301</t>
  </si>
  <si>
    <t>1137400</t>
  </si>
  <si>
    <t>1137402</t>
  </si>
  <si>
    <t>1137500</t>
  </si>
  <si>
    <t>1137600</t>
  </si>
  <si>
    <t>1137602</t>
  </si>
  <si>
    <t>1137800</t>
  </si>
  <si>
    <t>1137900</t>
  </si>
  <si>
    <t>1138000</t>
  </si>
  <si>
    <t>1138002</t>
  </si>
  <si>
    <t>1138200</t>
  </si>
  <si>
    <t>1138300</t>
  </si>
  <si>
    <t>1138400</t>
  </si>
  <si>
    <t>1138500</t>
  </si>
  <si>
    <t>1138700</t>
  </si>
  <si>
    <t>1139100</t>
  </si>
  <si>
    <t>1139101</t>
  </si>
  <si>
    <t>1139102</t>
  </si>
  <si>
    <t>1139201</t>
  </si>
  <si>
    <t>1139202</t>
  </si>
  <si>
    <t>1139204</t>
  </si>
  <si>
    <t>1139300</t>
  </si>
  <si>
    <t>1139400</t>
  </si>
  <si>
    <t>1139600</t>
  </si>
  <si>
    <t>1139700</t>
  </si>
  <si>
    <t>1139800</t>
  </si>
  <si>
    <t>13</t>
  </si>
  <si>
    <t>1330301</t>
  </si>
  <si>
    <t>1337400</t>
  </si>
  <si>
    <t>1337402</t>
  </si>
  <si>
    <t>1337500</t>
  </si>
  <si>
    <t>1337600</t>
  </si>
  <si>
    <t>1337602</t>
  </si>
  <si>
    <t>1337800</t>
  </si>
  <si>
    <t>1337900</t>
  </si>
  <si>
    <t>1338000</t>
  </si>
  <si>
    <t>1338002</t>
  </si>
  <si>
    <t>1338200</t>
  </si>
  <si>
    <t>1338300</t>
  </si>
  <si>
    <t>1338400</t>
  </si>
  <si>
    <t>1338500</t>
  </si>
  <si>
    <t>1338700</t>
  </si>
  <si>
    <t>1339000</t>
  </si>
  <si>
    <t>1339002</t>
  </si>
  <si>
    <t>1339100</t>
  </si>
  <si>
    <t>1339101</t>
  </si>
  <si>
    <t>1339102</t>
  </si>
  <si>
    <t>1339201</t>
  </si>
  <si>
    <t>1339202</t>
  </si>
  <si>
    <t>1339204</t>
  </si>
  <si>
    <t>1339205</t>
  </si>
  <si>
    <t>1339300</t>
  </si>
  <si>
    <t>1339400</t>
  </si>
  <si>
    <t>1339600</t>
  </si>
  <si>
    <t>1339700</t>
  </si>
  <si>
    <t>1339800</t>
  </si>
  <si>
    <t>14</t>
  </si>
  <si>
    <t>1430100</t>
  </si>
  <si>
    <t>1430200</t>
  </si>
  <si>
    <t>1430300</t>
  </si>
  <si>
    <t>1430301</t>
  </si>
  <si>
    <t>1437400</t>
  </si>
  <si>
    <t>1437500</t>
  </si>
  <si>
    <t>1437600</t>
  </si>
  <si>
    <t>1437602</t>
  </si>
  <si>
    <t>1437800</t>
  </si>
  <si>
    <t>1437900</t>
  </si>
  <si>
    <t>1438000</t>
  </si>
  <si>
    <t>1438002</t>
  </si>
  <si>
    <t>1438100</t>
  </si>
  <si>
    <t>1438200</t>
  </si>
  <si>
    <t>1438300</t>
  </si>
  <si>
    <t>1438400</t>
  </si>
  <si>
    <t>1438500</t>
  </si>
  <si>
    <t>1438700</t>
  </si>
  <si>
    <t>1439000</t>
  </si>
  <si>
    <t>1439100</t>
  </si>
  <si>
    <t>1439101</t>
  </si>
  <si>
    <t>1439102</t>
  </si>
  <si>
    <t>1439103</t>
  </si>
  <si>
    <t>1439201</t>
  </si>
  <si>
    <t>1439202</t>
  </si>
  <si>
    <t>1439204</t>
  </si>
  <si>
    <t>1439205</t>
  </si>
  <si>
    <t>1439400</t>
  </si>
  <si>
    <t>1439500</t>
  </si>
  <si>
    <t>1439600</t>
  </si>
  <si>
    <t>1439700</t>
  </si>
  <si>
    <t>1439800</t>
  </si>
  <si>
    <t>15</t>
  </si>
  <si>
    <t>1530100</t>
  </si>
  <si>
    <t>1530200</t>
  </si>
  <si>
    <t>1530300</t>
  </si>
  <si>
    <t>1530301</t>
  </si>
  <si>
    <t>1537400</t>
  </si>
  <si>
    <t>1537402</t>
  </si>
  <si>
    <t>1537500</t>
  </si>
  <si>
    <t>1537600</t>
  </si>
  <si>
    <t>1537602</t>
  </si>
  <si>
    <t>1537800</t>
  </si>
  <si>
    <t>1537900</t>
  </si>
  <si>
    <t>1538000</t>
  </si>
  <si>
    <t>1538002</t>
  </si>
  <si>
    <t>1538100</t>
  </si>
  <si>
    <t>1538200</t>
  </si>
  <si>
    <t>1538300</t>
  </si>
  <si>
    <t>1538400</t>
  </si>
  <si>
    <t>1538500</t>
  </si>
  <si>
    <t>1538700</t>
  </si>
  <si>
    <t>1539000</t>
  </si>
  <si>
    <t>1539100</t>
  </si>
  <si>
    <t>1539101</t>
  </si>
  <si>
    <t>1539102</t>
  </si>
  <si>
    <t>1539103</t>
  </si>
  <si>
    <t>1539201</t>
  </si>
  <si>
    <t>1539202</t>
  </si>
  <si>
    <t>1539204</t>
  </si>
  <si>
    <t>1539205</t>
  </si>
  <si>
    <t>1539400</t>
  </si>
  <si>
    <t>1539600</t>
  </si>
  <si>
    <t>1539700</t>
  </si>
  <si>
    <t>1539800</t>
  </si>
  <si>
    <t>16</t>
  </si>
  <si>
    <t>1637400</t>
  </si>
  <si>
    <t>1637402</t>
  </si>
  <si>
    <t>1637500</t>
  </si>
  <si>
    <t>1637600</t>
  </si>
  <si>
    <t>1637602</t>
  </si>
  <si>
    <t>1637800</t>
  </si>
  <si>
    <t>1637900</t>
  </si>
  <si>
    <t>1638000</t>
  </si>
  <si>
    <t>1638002</t>
  </si>
  <si>
    <t>1638200</t>
  </si>
  <si>
    <t>1638300</t>
  </si>
  <si>
    <t>1638400</t>
  </si>
  <si>
    <t>1638500</t>
  </si>
  <si>
    <t>1638700</t>
  </si>
  <si>
    <t>1639100</t>
  </si>
  <si>
    <t>1639101</t>
  </si>
  <si>
    <t>1639102</t>
  </si>
  <si>
    <t>1639201</t>
  </si>
  <si>
    <t>1639202</t>
  </si>
  <si>
    <t>1639204</t>
  </si>
  <si>
    <t>1639205</t>
  </si>
  <si>
    <t>1639300</t>
  </si>
  <si>
    <t>1639400</t>
  </si>
  <si>
    <t>1639600</t>
  </si>
  <si>
    <t>1639700</t>
  </si>
  <si>
    <t>1639800</t>
  </si>
  <si>
    <t>55</t>
  </si>
  <si>
    <t>5530301</t>
  </si>
  <si>
    <t>5537500</t>
  </si>
  <si>
    <t>5539100</t>
  </si>
  <si>
    <t>5539101</t>
  </si>
  <si>
    <t>5539102</t>
  </si>
  <si>
    <t>5539700</t>
  </si>
  <si>
    <t>90</t>
  </si>
  <si>
    <t>9011501</t>
  </si>
  <si>
    <t>11501 - PGS Acq Adj (Reserve)</t>
  </si>
  <si>
    <t>9030100</t>
  </si>
  <si>
    <t>9030200</t>
  </si>
  <si>
    <t>9030301</t>
  </si>
  <si>
    <t>9030302</t>
  </si>
  <si>
    <t>001 / 90 - CORPORATE / 30302</t>
  </si>
  <si>
    <t>9037400</t>
  </si>
  <si>
    <t>9037402</t>
  </si>
  <si>
    <t>9037500</t>
  </si>
  <si>
    <t>9037600</t>
  </si>
  <si>
    <t>9037800</t>
  </si>
  <si>
    <t>9037900</t>
  </si>
  <si>
    <t>9038100</t>
  </si>
  <si>
    <t>9038300</t>
  </si>
  <si>
    <t>9038500</t>
  </si>
  <si>
    <t>9038602</t>
  </si>
  <si>
    <t>9038608</t>
  </si>
  <si>
    <t>9038700</t>
  </si>
  <si>
    <t>9039002</t>
  </si>
  <si>
    <t>9039100</t>
  </si>
  <si>
    <t>9039101</t>
  </si>
  <si>
    <t>9039102</t>
  </si>
  <si>
    <t>9039201</t>
  </si>
  <si>
    <t>9039202</t>
  </si>
  <si>
    <t>9039203</t>
  </si>
  <si>
    <t>9039204</t>
  </si>
  <si>
    <t>9039205</t>
  </si>
  <si>
    <t>9039400</t>
  </si>
  <si>
    <t>9039500</t>
  </si>
  <si>
    <t>9039600</t>
  </si>
  <si>
    <t>9039700</t>
  </si>
  <si>
    <t>9039800</t>
  </si>
  <si>
    <t>9039900</t>
  </si>
  <si>
    <t>vintage</t>
  </si>
  <si>
    <t>age</t>
  </si>
  <si>
    <t>surviving_balance</t>
  </si>
  <si>
    <t>average_service_life</t>
  </si>
  <si>
    <t>remaining_life</t>
  </si>
  <si>
    <t>description</t>
  </si>
  <si>
    <t>% Net Salvage</t>
  </si>
  <si>
    <t>Theo Reserve</t>
  </si>
  <si>
    <t>30300 Total</t>
  </si>
  <si>
    <t>30301 Total</t>
  </si>
  <si>
    <t>37402 Total</t>
  </si>
  <si>
    <t>37500 Total</t>
  </si>
  <si>
    <t>37600 Total</t>
  </si>
  <si>
    <t>37602 Total</t>
  </si>
  <si>
    <t>37800 Total</t>
  </si>
  <si>
    <t>37900 Total</t>
  </si>
  <si>
    <t>38000 Total</t>
  </si>
  <si>
    <t>38002 Total</t>
  </si>
  <si>
    <t>38100 Total</t>
  </si>
  <si>
    <t>38200 Total</t>
  </si>
  <si>
    <t>38300 Total</t>
  </si>
  <si>
    <t>38400 Total</t>
  </si>
  <si>
    <t>38500 Total</t>
  </si>
  <si>
    <t>38700 Total</t>
  </si>
  <si>
    <t>39000 Total</t>
  </si>
  <si>
    <t>39100 Total</t>
  </si>
  <si>
    <t>39101 Total</t>
  </si>
  <si>
    <t>39102 Total</t>
  </si>
  <si>
    <t>39201 Total</t>
  </si>
  <si>
    <t>39202 Total</t>
  </si>
  <si>
    <t>39204 Total</t>
  </si>
  <si>
    <t>39205 Total</t>
  </si>
  <si>
    <t>39300 Total</t>
  </si>
  <si>
    <t>39400 Total</t>
  </si>
  <si>
    <t>39401 Total</t>
  </si>
  <si>
    <t>39600 Total</t>
  </si>
  <si>
    <t>39700 Total</t>
  </si>
  <si>
    <t>39800 Total</t>
  </si>
  <si>
    <t>$ x Remaining Life</t>
  </si>
  <si>
    <t>RL</t>
  </si>
  <si>
    <t>Computation of Proposed Depreciation Amortization Rates</t>
  </si>
  <si>
    <t>Using Average Life Group Depreciation</t>
  </si>
  <si>
    <t>Peoples Gas</t>
  </si>
  <si>
    <t>Description</t>
  </si>
  <si>
    <t>Book</t>
  </si>
  <si>
    <t>Unaccrued</t>
  </si>
  <si>
    <t xml:space="preserve">Remaining </t>
  </si>
  <si>
    <t>Accrual</t>
  </si>
  <si>
    <t>%</t>
  </si>
  <si>
    <t xml:space="preserve">    (c)</t>
  </si>
  <si>
    <t>(d)</t>
  </si>
  <si>
    <t>(e)</t>
  </si>
  <si>
    <t>(f)= (e)/100*(c)</t>
  </si>
  <si>
    <t>(g)=(c)-(d)-(f)</t>
  </si>
  <si>
    <t>(h)</t>
  </si>
  <si>
    <t>(i)=(g)/(h)</t>
  </si>
  <si>
    <t>(j)=(i)/(c)</t>
  </si>
  <si>
    <t>Distribution</t>
  </si>
  <si>
    <t>General</t>
  </si>
  <si>
    <t>Subtotal Distribution</t>
  </si>
  <si>
    <t xml:space="preserve"> </t>
  </si>
  <si>
    <t>Intangible Plant</t>
  </si>
  <si>
    <t>Less 39002 Leasehold Improvements</t>
  </si>
  <si>
    <t>Existing</t>
  </si>
  <si>
    <t xml:space="preserve">Accrual </t>
  </si>
  <si>
    <t>Accrual $</t>
  </si>
  <si>
    <t>at Existing</t>
  </si>
  <si>
    <t>Rates</t>
  </si>
  <si>
    <t>Revised</t>
  </si>
  <si>
    <t>at Revised</t>
  </si>
  <si>
    <t>Difference</t>
  </si>
  <si>
    <t xml:space="preserve">in </t>
  </si>
  <si>
    <t>Expense $</t>
  </si>
  <si>
    <t>Comparison of Depreciation Accrual Rates</t>
  </si>
  <si>
    <t>(f)</t>
  </si>
  <si>
    <t>(g)=(c) * (f)</t>
  </si>
  <si>
    <t xml:space="preserve">(h) = (g)-(e) </t>
  </si>
  <si>
    <t>Plant</t>
  </si>
  <si>
    <t>Based on 2018 data</t>
  </si>
  <si>
    <t>Distibution</t>
  </si>
  <si>
    <t>Subtotal General</t>
  </si>
  <si>
    <t>37700 Total</t>
  </si>
  <si>
    <t>Compressor Equipment</t>
  </si>
  <si>
    <r>
      <t xml:space="preserve">2022 </t>
    </r>
    <r>
      <rPr>
        <b/>
        <sz val="13"/>
        <rFont val="Arial"/>
        <family val="2"/>
      </rPr>
      <t>Depreciation Rate Review</t>
    </r>
  </si>
  <si>
    <t>Settlement Proposed - Effective 1/1/2021</t>
  </si>
  <si>
    <t>L0</t>
  </si>
  <si>
    <t>L2.5</t>
  </si>
  <si>
    <t>L3</t>
  </si>
  <si>
    <t>L1.5</t>
  </si>
  <si>
    <t>Based on 2021 data</t>
  </si>
  <si>
    <t>(e) = (c) * (d)</t>
  </si>
  <si>
    <t>S1.5</t>
  </si>
  <si>
    <t>33600 Total</t>
  </si>
  <si>
    <t>Comparison of Depreciation Parameters</t>
  </si>
  <si>
    <t>Settlement Rates</t>
  </si>
  <si>
    <t xml:space="preserve"> Effective 1/1/2019</t>
  </si>
  <si>
    <t>Proposed Rates</t>
  </si>
  <si>
    <t>Change</t>
  </si>
  <si>
    <t xml:space="preserve">L2 </t>
  </si>
  <si>
    <t>RNG Plant</t>
  </si>
  <si>
    <t>LNG Plant</t>
  </si>
  <si>
    <t>Renewable Natural Gas (RNG)</t>
  </si>
  <si>
    <t>Liquified Natural Gas (LNG)</t>
  </si>
  <si>
    <t>PGS Acq Adj</t>
  </si>
  <si>
    <t>Land Distribution</t>
  </si>
  <si>
    <t>Check Total</t>
  </si>
  <si>
    <t>Total PGS</t>
  </si>
  <si>
    <t>Futre Use</t>
  </si>
  <si>
    <t>Organization</t>
  </si>
  <si>
    <t>Based on 2020 data</t>
  </si>
  <si>
    <t>ANALYSIS RESULTS</t>
  </si>
  <si>
    <t>Depreciable Property</t>
  </si>
  <si>
    <t>Account 30200</t>
  </si>
  <si>
    <t>Franchises and Consents</t>
  </si>
  <si>
    <t>Item</t>
  </si>
  <si>
    <t>FPSC Approved 2020</t>
  </si>
  <si>
    <t>Investment</t>
  </si>
  <si>
    <t>Iowa Curve</t>
  </si>
  <si>
    <t>Theoretical Reserve</t>
  </si>
  <si>
    <t>Book Reserve</t>
  </si>
  <si>
    <t>Reserve Variance</t>
  </si>
  <si>
    <t>Gross Salvage</t>
  </si>
  <si>
    <t>Removal Cost</t>
  </si>
  <si>
    <t>Net Salvage</t>
  </si>
  <si>
    <t>Avg Whole Life Rate</t>
  </si>
  <si>
    <t>AWL Expense (2024)</t>
  </si>
  <si>
    <t>ARL Rate</t>
  </si>
  <si>
    <t>ARL Expense (2024)</t>
  </si>
  <si>
    <t>Account 30300</t>
  </si>
  <si>
    <t>Miscellaneous Intangible Plant</t>
  </si>
  <si>
    <t>Account 30310</t>
  </si>
  <si>
    <t>Account 37402</t>
  </si>
  <si>
    <t>Account 37500</t>
  </si>
  <si>
    <t>Structures and Improvements</t>
  </si>
  <si>
    <t>Account 37600</t>
  </si>
  <si>
    <t>Account 37602</t>
  </si>
  <si>
    <t>Account 37800</t>
  </si>
  <si>
    <t>Measuring and Regulating Stations General</t>
  </si>
  <si>
    <t>Account 37900</t>
  </si>
  <si>
    <t>Measuring and Regulating Equipment City Gate</t>
  </si>
  <si>
    <t>Account 38000</t>
  </si>
  <si>
    <t>Account 38002</t>
  </si>
  <si>
    <t>Account 38100</t>
  </si>
  <si>
    <t>Account 38200</t>
  </si>
  <si>
    <t>Account 38300</t>
  </si>
  <si>
    <t>Account 38400</t>
  </si>
  <si>
    <t>House Regulator Installations</t>
  </si>
  <si>
    <t>Account 38500</t>
  </si>
  <si>
    <t>Measuring and Industrial Equipment</t>
  </si>
  <si>
    <t>Account 38700</t>
  </si>
  <si>
    <t>Account 39000</t>
  </si>
  <si>
    <t>Account 39201</t>
  </si>
  <si>
    <t>Vehicles up to 1/2 Ton</t>
  </si>
  <si>
    <t>Account 39202</t>
  </si>
  <si>
    <t>Vehicles from 1/2 to 1 ton</t>
  </si>
  <si>
    <t>Account 39204</t>
  </si>
  <si>
    <t>Account 39205</t>
  </si>
  <si>
    <t>Vehicles Over 1 Ton</t>
  </si>
  <si>
    <t>Account 39600</t>
  </si>
  <si>
    <t>Account 39100</t>
  </si>
  <si>
    <t>Account 39101</t>
  </si>
  <si>
    <t>Account 39102</t>
  </si>
  <si>
    <t>Account 39300</t>
  </si>
  <si>
    <t>Account 39400</t>
  </si>
  <si>
    <t>Tools Shop and Garage Equipment</t>
  </si>
  <si>
    <t>Account 39401</t>
  </si>
  <si>
    <t>Account 39500</t>
  </si>
  <si>
    <t>Account 39700</t>
  </si>
  <si>
    <t>Account 39800</t>
  </si>
  <si>
    <t>Account 33600</t>
  </si>
  <si>
    <t>Renewable Natural Gas</t>
  </si>
  <si>
    <t>Account 36400</t>
  </si>
  <si>
    <t>Account 37700</t>
  </si>
  <si>
    <t>Distribution Compressors</t>
  </si>
  <si>
    <t>33601 Total</t>
  </si>
  <si>
    <t>36400 Total</t>
  </si>
  <si>
    <t>Allocation of Dpen Credit</t>
  </si>
  <si>
    <t>Adjusted Reserve</t>
  </si>
  <si>
    <t>Less 115 PGS Acq Adj</t>
  </si>
  <si>
    <t>Less 10500 - Future Use</t>
  </si>
  <si>
    <t>Account 33601</t>
  </si>
  <si>
    <t>$ x Age</t>
  </si>
  <si>
    <t>Avg Age</t>
  </si>
  <si>
    <t xml:space="preserve">Account is fully accrued.  If assets are added, the Company proposes a rate of </t>
  </si>
  <si>
    <t>(1)</t>
  </si>
  <si>
    <t>(2)</t>
  </si>
  <si>
    <t>Note:  (1)</t>
  </si>
  <si>
    <t>Note:  (2)</t>
  </si>
  <si>
    <t>RNG Plant Leased- 15 Years</t>
  </si>
  <si>
    <t>RNG Plant Leased- 15 Year</t>
  </si>
  <si>
    <t>Note:  (3)</t>
  </si>
  <si>
    <t xml:space="preserve">Rate for 33601 requested in special filing.  Study assumes the application will be approved.  </t>
  </si>
  <si>
    <t>Total Depreciable Plant</t>
  </si>
  <si>
    <t>(3)</t>
  </si>
  <si>
    <t xml:space="preserve">Proposed </t>
  </si>
  <si>
    <t xml:space="preserve">Account is nearly fully accrued.  If assets are added, the Company proposes a rate of </t>
  </si>
  <si>
    <t>As of December 31, 2023</t>
  </si>
  <si>
    <t>39100 Tota</t>
  </si>
  <si>
    <t>Based on 2023 data</t>
  </si>
  <si>
    <r>
      <t>Company Proposed - Effective</t>
    </r>
    <r>
      <rPr>
        <b/>
        <sz val="10"/>
        <color indexed="12"/>
        <rFont val="Arial"/>
        <family val="2"/>
      </rPr>
      <t xml:space="preserve"> 1/1/2023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</si>
</sst>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_);_(@_)"/>
    <numFmt numFmtId="165" formatCode="_(* #,##0_);_(* \(#,##0\);_(* &quot;-&quot;??_);_(@_)"/>
    <numFmt numFmtId="166" formatCode="0.0_);\(0.0\)"/>
    <numFmt numFmtId="167" formatCode="0_);\(0\)"/>
    <numFmt numFmtId="168" formatCode="0.00_);\(0.00\)"/>
    <numFmt numFmtId="169" formatCode="0.0"/>
    <numFmt numFmtId="170" formatCode="0.000000"/>
    <numFmt numFmtId="171" formatCode="0.000"/>
    <numFmt numFmtId="172" formatCode="0.000%"/>
    <numFmt numFmtId="173" formatCode="0.0%"/>
    <numFmt numFmtId="174" formatCode="0.0000000000000000000000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u/>
      <sz val="10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sz val="10"/>
      <color indexed="12"/>
      <name val="Arial"/>
      <family val="2"/>
    </font>
    <font>
      <sz val="1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3"/>
      <color indexed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11"/>
      <color indexed="8"/>
      <name val="Calibri"/>
      <family val="2"/>
    </font>
    <font>
      <b/>
      <sz val="14"/>
      <color indexed="10"/>
      <name val="Arial"/>
      <family val="2"/>
    </font>
    <font>
      <b/>
      <sz val="12"/>
      <color indexed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b/>
      <sz val="12"/>
      <color rgb="FF0000FF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0">
    <xf numFmtId="0" fontId="0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33" fillId="0" borderId="0"/>
    <xf numFmtId="39" fontId="18" fillId="2" borderId="0"/>
    <xf numFmtId="0" fontId="26" fillId="6" borderId="17" applyNumberFormat="0" applyFont="0" applyAlignment="0" applyProtection="0"/>
    <xf numFmtId="9" fontId="30" fillId="0" borderId="0" applyFont="0" applyFill="0" applyBorder="0" applyAlignment="0" applyProtection="0"/>
    <xf numFmtId="9" fontId="9" fillId="0" borderId="0" applyFont="0" applyFill="0" applyBorder="0" applyAlignment="0" applyProtection="0"/>
    <xf numFmtId="170" fontId="9" fillId="0" borderId="0">
      <alignment horizontal="left" wrapText="1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4" fillId="0" borderId="0"/>
    <xf numFmtId="9" fontId="5" fillId="0" borderId="0" applyFont="0" applyFill="0" applyBorder="0" applyAlignment="0" applyProtection="0"/>
    <xf numFmtId="170" fontId="5" fillId="0" borderId="0">
      <alignment horizontal="left" wrapText="1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4" fillId="0" borderId="0"/>
    <xf numFmtId="9" fontId="5" fillId="0" borderId="0" applyFont="0" applyFill="0" applyBorder="0" applyAlignment="0" applyProtection="0"/>
    <xf numFmtId="170" fontId="5" fillId="0" borderId="0">
      <alignment horizontal="left" wrapText="1"/>
    </xf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4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0" fontId="5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84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 vertical="top"/>
    </xf>
    <xf numFmtId="164" fontId="0" fillId="0" borderId="0" xfId="0" applyNumberFormat="1"/>
    <xf numFmtId="43" fontId="0" fillId="0" borderId="0" xfId="0" applyNumberFormat="1"/>
    <xf numFmtId="0" fontId="7" fillId="0" borderId="0" xfId="0" applyFont="1"/>
    <xf numFmtId="0" fontId="0" fillId="0" borderId="0" xfId="0" quotePrefix="1" applyAlignment="1">
      <alignment horizontal="center"/>
    </xf>
    <xf numFmtId="0" fontId="0" fillId="0" borderId="0" xfId="0" applyAlignment="1">
      <alignment horizontal="right"/>
    </xf>
    <xf numFmtId="0" fontId="7" fillId="0" borderId="0" xfId="0" quotePrefix="1" applyFont="1" applyAlignment="1">
      <alignment horizontal="center" vertical="top"/>
    </xf>
    <xf numFmtId="165" fontId="0" fillId="0" borderId="0" xfId="1" applyNumberFormat="1" applyFont="1"/>
    <xf numFmtId="165" fontId="0" fillId="0" borderId="0" xfId="0" applyNumberFormat="1"/>
    <xf numFmtId="0" fontId="0" fillId="0" borderId="0" xfId="0" applyAlignment="1">
      <alignment horizontal="left"/>
    </xf>
    <xf numFmtId="0" fontId="10" fillId="0" borderId="0" xfId="0" applyFont="1"/>
    <xf numFmtId="164" fontId="10" fillId="0" borderId="0" xfId="0" applyNumberFormat="1" applyFont="1"/>
    <xf numFmtId="41" fontId="10" fillId="0" borderId="0" xfId="0" applyNumberFormat="1" applyFont="1"/>
    <xf numFmtId="43" fontId="10" fillId="0" borderId="0" xfId="0" applyNumberFormat="1" applyFont="1"/>
    <xf numFmtId="0" fontId="10" fillId="0" borderId="0" xfId="0" applyFont="1" applyAlignment="1">
      <alignment horizontal="right"/>
    </xf>
    <xf numFmtId="41" fontId="10" fillId="0" borderId="0" xfId="0" applyNumberFormat="1" applyFont="1" applyAlignment="1">
      <alignment horizontal="right"/>
    </xf>
    <xf numFmtId="0" fontId="12" fillId="0" borderId="0" xfId="0" applyFont="1"/>
    <xf numFmtId="0" fontId="12" fillId="0" borderId="2" xfId="0" applyFont="1" applyBorder="1" applyAlignment="1">
      <alignment horizontal="centerContinuous"/>
    </xf>
    <xf numFmtId="0" fontId="12" fillId="0" borderId="0" xfId="0" applyFont="1" applyAlignment="1">
      <alignment horizontal="center"/>
    </xf>
    <xf numFmtId="0" fontId="14" fillId="3" borderId="0" xfId="0" applyFont="1" applyFill="1"/>
    <xf numFmtId="41" fontId="10" fillId="0" borderId="0" xfId="0" applyNumberFormat="1" applyFont="1" applyAlignment="1">
      <alignment horizontal="center"/>
    </xf>
    <xf numFmtId="0" fontId="12" fillId="0" borderId="0" xfId="0" quotePrefix="1" applyFont="1" applyAlignment="1">
      <alignment horizontal="center"/>
    </xf>
    <xf numFmtId="0" fontId="12" fillId="0" borderId="2" xfId="0" quotePrefix="1" applyFont="1" applyBorder="1" applyAlignment="1">
      <alignment horizontal="centerContinuous"/>
    </xf>
    <xf numFmtId="0" fontId="0" fillId="4" borderId="0" xfId="0" applyFill="1"/>
    <xf numFmtId="0" fontId="0" fillId="4" borderId="0" xfId="0" applyFill="1" applyAlignment="1">
      <alignment horizontal="left"/>
    </xf>
    <xf numFmtId="0" fontId="12" fillId="4" borderId="0" xfId="0" applyFont="1" applyFill="1" applyAlignment="1">
      <alignment horizontal="center"/>
    </xf>
    <xf numFmtId="164" fontId="0" fillId="4" borderId="0" xfId="0" applyNumberFormat="1" applyFill="1"/>
    <xf numFmtId="43" fontId="0" fillId="4" borderId="0" xfId="0" applyNumberFormat="1" applyFill="1"/>
    <xf numFmtId="41" fontId="0" fillId="4" borderId="0" xfId="0" applyNumberFormat="1" applyFill="1"/>
    <xf numFmtId="165" fontId="9" fillId="0" borderId="0" xfId="1" applyNumberFormat="1" applyFont="1"/>
    <xf numFmtId="165" fontId="9" fillId="4" borderId="0" xfId="1" applyNumberFormat="1" applyFont="1" applyFill="1"/>
    <xf numFmtId="164" fontId="9" fillId="4" borderId="0" xfId="0" applyNumberFormat="1" applyFont="1" applyFill="1"/>
    <xf numFmtId="41" fontId="0" fillId="0" borderId="0" xfId="0" applyNumberFormat="1"/>
    <xf numFmtId="43" fontId="0" fillId="0" borderId="0" xfId="0" applyNumberFormat="1" applyAlignment="1">
      <alignment horizontal="right"/>
    </xf>
    <xf numFmtId="165" fontId="9" fillId="0" borderId="5" xfId="1" applyNumberFormat="1" applyFont="1" applyBorder="1"/>
    <xf numFmtId="0" fontId="19" fillId="0" borderId="0" xfId="0" applyFont="1" applyAlignment="1">
      <alignment horizontal="centerContinuous"/>
    </xf>
    <xf numFmtId="0" fontId="20" fillId="0" borderId="0" xfId="0" applyFont="1" applyAlignment="1">
      <alignment horizontal="centerContinuous"/>
    </xf>
    <xf numFmtId="0" fontId="20" fillId="4" borderId="0" xfId="0" applyFont="1" applyFill="1"/>
    <xf numFmtId="14" fontId="12" fillId="5" borderId="0" xfId="0" applyNumberFormat="1" applyFont="1" applyFill="1" applyAlignment="1">
      <alignment horizontal="center"/>
    </xf>
    <xf numFmtId="0" fontId="12" fillId="5" borderId="0" xfId="0" applyFont="1" applyFill="1" applyAlignment="1">
      <alignment horizontal="center"/>
    </xf>
    <xf numFmtId="0" fontId="0" fillId="0" borderId="6" xfId="0" applyBorder="1"/>
    <xf numFmtId="0" fontId="12" fillId="0" borderId="6" xfId="0" applyFont="1" applyBorder="1" applyAlignment="1">
      <alignment horizontal="center"/>
    </xf>
    <xf numFmtId="39" fontId="12" fillId="4" borderId="0" xfId="11" applyFont="1" applyFill="1"/>
    <xf numFmtId="164" fontId="0" fillId="0" borderId="6" xfId="0" applyNumberFormat="1" applyBorder="1"/>
    <xf numFmtId="41" fontId="0" fillId="0" borderId="6" xfId="0" applyNumberFormat="1" applyBorder="1"/>
    <xf numFmtId="43" fontId="0" fillId="0" borderId="6" xfId="0" applyNumberFormat="1" applyBorder="1"/>
    <xf numFmtId="43" fontId="0" fillId="0" borderId="6" xfId="0" applyNumberFormat="1" applyBorder="1" applyAlignment="1">
      <alignment horizontal="right"/>
    </xf>
    <xf numFmtId="0" fontId="24" fillId="0" borderId="0" xfId="0" applyFont="1" applyAlignment="1">
      <alignment horizontal="center"/>
    </xf>
    <xf numFmtId="164" fontId="12" fillId="5" borderId="0" xfId="0" applyNumberFormat="1" applyFont="1" applyFill="1"/>
    <xf numFmtId="41" fontId="12" fillId="5" borderId="0" xfId="0" applyNumberFormat="1" applyFont="1" applyFill="1"/>
    <xf numFmtId="43" fontId="12" fillId="5" borderId="0" xfId="0" applyNumberFormat="1" applyFont="1" applyFill="1"/>
    <xf numFmtId="0" fontId="12" fillId="5" borderId="0" xfId="0" applyFont="1" applyFill="1" applyAlignment="1">
      <alignment horizontal="right"/>
    </xf>
    <xf numFmtId="43" fontId="12" fillId="0" borderId="0" xfId="0" applyNumberFormat="1" applyFont="1" applyAlignment="1">
      <alignment horizontal="right"/>
    </xf>
    <xf numFmtId="0" fontId="27" fillId="3" borderId="0" xfId="0" applyFont="1" applyFill="1"/>
    <xf numFmtId="0" fontId="12" fillId="0" borderId="3" xfId="0" applyFont="1" applyBorder="1" applyAlignment="1">
      <alignment horizontal="center"/>
    </xf>
    <xf numFmtId="0" fontId="12" fillId="0" borderId="3" xfId="0" applyFont="1" applyBorder="1"/>
    <xf numFmtId="0" fontId="12" fillId="0" borderId="7" xfId="0" applyFont="1" applyBorder="1" applyAlignment="1">
      <alignment horizontal="center"/>
    </xf>
    <xf numFmtId="0" fontId="28" fillId="3" borderId="0" xfId="0" quotePrefix="1" applyFont="1" applyFill="1" applyAlignment="1">
      <alignment horizontal="left"/>
    </xf>
    <xf numFmtId="0" fontId="0" fillId="3" borderId="0" xfId="0" applyFill="1"/>
    <xf numFmtId="0" fontId="28" fillId="3" borderId="0" xfId="0" applyFont="1" applyFill="1" applyAlignment="1">
      <alignment horizontal="right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8" xfId="0" applyBorder="1" applyAlignment="1">
      <alignment horizontal="center"/>
    </xf>
    <xf numFmtId="165" fontId="0" fillId="0" borderId="8" xfId="0" applyNumberFormat="1" applyBorder="1"/>
    <xf numFmtId="165" fontId="0" fillId="0" borderId="11" xfId="0" applyNumberFormat="1" applyBorder="1"/>
    <xf numFmtId="165" fontId="0" fillId="0" borderId="12" xfId="0" applyNumberFormat="1" applyBorder="1"/>
    <xf numFmtId="165" fontId="12" fillId="0" borderId="5" xfId="0" applyNumberFormat="1" applyFont="1" applyBorder="1"/>
    <xf numFmtId="0" fontId="0" fillId="0" borderId="8" xfId="0" pivotButton="1" applyBorder="1"/>
    <xf numFmtId="0" fontId="0" fillId="0" borderId="8" xfId="0" pivotButton="1" applyBorder="1" applyAlignment="1">
      <alignment horizontal="center"/>
    </xf>
    <xf numFmtId="164" fontId="10" fillId="0" borderId="0" xfId="0" applyNumberFormat="1" applyFont="1" applyAlignment="1">
      <alignment horizontal="right"/>
    </xf>
    <xf numFmtId="43" fontId="10" fillId="0" borderId="0" xfId="0" applyNumberFormat="1" applyFont="1" applyAlignment="1">
      <alignment horizontal="right"/>
    </xf>
    <xf numFmtId="41" fontId="12" fillId="5" borderId="0" xfId="0" applyNumberFormat="1" applyFont="1" applyFill="1" applyAlignment="1">
      <alignment horizontal="right"/>
    </xf>
    <xf numFmtId="0" fontId="29" fillId="0" borderId="0" xfId="0" applyFont="1" applyAlignment="1">
      <alignment horizontal="centerContinuous"/>
    </xf>
    <xf numFmtId="14" fontId="24" fillId="0" borderId="0" xfId="0" applyNumberFormat="1" applyFont="1" applyAlignment="1">
      <alignment horizontal="center"/>
    </xf>
    <xf numFmtId="0" fontId="5" fillId="0" borderId="0" xfId="0" applyFont="1"/>
    <xf numFmtId="0" fontId="5" fillId="0" borderId="2" xfId="0" applyFont="1" applyBorder="1" applyAlignment="1">
      <alignment horizontal="centerContinuous"/>
    </xf>
    <xf numFmtId="0" fontId="5" fillId="0" borderId="0" xfId="0" applyFont="1" applyAlignment="1">
      <alignment horizontal="centerContinuous"/>
    </xf>
    <xf numFmtId="0" fontId="29" fillId="0" borderId="0" xfId="0" quotePrefix="1" applyFont="1" applyAlignment="1">
      <alignment horizontal="centerContinuous"/>
    </xf>
    <xf numFmtId="14" fontId="29" fillId="0" borderId="0" xfId="0" applyNumberFormat="1" applyFont="1" applyAlignment="1">
      <alignment horizontal="centerContinuous"/>
    </xf>
    <xf numFmtId="0" fontId="12" fillId="0" borderId="2" xfId="0" applyFont="1" applyBorder="1" applyAlignment="1">
      <alignment horizontal="center"/>
    </xf>
    <xf numFmtId="14" fontId="12" fillId="0" borderId="2" xfId="0" applyNumberFormat="1" applyFont="1" applyBorder="1" applyAlignment="1">
      <alignment horizontal="center"/>
    </xf>
    <xf numFmtId="0" fontId="12" fillId="5" borderId="2" xfId="0" applyFont="1" applyFill="1" applyBorder="1" applyAlignment="1">
      <alignment horizontal="center"/>
    </xf>
    <xf numFmtId="2" fontId="10" fillId="0" borderId="0" xfId="0" applyNumberFormat="1" applyFont="1" applyAlignment="1">
      <alignment horizontal="right"/>
    </xf>
    <xf numFmtId="0" fontId="12" fillId="5" borderId="0" xfId="0" applyFont="1" applyFill="1"/>
    <xf numFmtId="43" fontId="12" fillId="5" borderId="0" xfId="1" applyFont="1" applyFill="1" applyAlignment="1">
      <alignment horizontal="right"/>
    </xf>
    <xf numFmtId="169" fontId="0" fillId="0" borderId="0" xfId="0" applyNumberFormat="1"/>
    <xf numFmtId="169" fontId="12" fillId="5" borderId="0" xfId="0" applyNumberFormat="1" applyFont="1" applyFill="1"/>
    <xf numFmtId="10" fontId="0" fillId="0" borderId="0" xfId="0" applyNumberFormat="1"/>
    <xf numFmtId="0" fontId="5" fillId="0" borderId="0" xfId="0" applyFont="1" applyAlignment="1">
      <alignment horizontal="right"/>
    </xf>
    <xf numFmtId="0" fontId="12" fillId="0" borderId="3" xfId="0" quotePrefix="1" applyFont="1" applyBorder="1" applyAlignment="1">
      <alignment horizontal="center"/>
    </xf>
    <xf numFmtId="0" fontId="12" fillId="0" borderId="3" xfId="0" applyFont="1" applyBorder="1" applyAlignment="1">
      <alignment horizontal="left"/>
    </xf>
    <xf numFmtId="165" fontId="0" fillId="0" borderId="0" xfId="16" applyNumberFormat="1" applyFont="1"/>
    <xf numFmtId="165" fontId="0" fillId="0" borderId="6" xfId="16" applyNumberFormat="1" applyFont="1" applyBorder="1"/>
    <xf numFmtId="171" fontId="35" fillId="0" borderId="0" xfId="16" applyNumberFormat="1" applyFont="1" applyFill="1" applyAlignment="1">
      <alignment horizontal="center"/>
    </xf>
    <xf numFmtId="171" fontId="12" fillId="0" borderId="0" xfId="0" applyNumberFormat="1" applyFont="1" applyAlignment="1">
      <alignment horizontal="center"/>
    </xf>
    <xf numFmtId="171" fontId="35" fillId="9" borderId="0" xfId="16" applyNumberFormat="1" applyFont="1" applyFill="1" applyAlignment="1">
      <alignment horizontal="center"/>
    </xf>
    <xf numFmtId="0" fontId="0" fillId="9" borderId="0" xfId="0" applyFill="1"/>
    <xf numFmtId="171" fontId="35" fillId="8" borderId="0" xfId="16" applyNumberFormat="1" applyFont="1" applyFill="1" applyAlignment="1">
      <alignment horizontal="center"/>
    </xf>
    <xf numFmtId="0" fontId="0" fillId="8" borderId="0" xfId="0" applyFill="1"/>
    <xf numFmtId="171" fontId="35" fillId="7" borderId="0" xfId="16" applyNumberFormat="1" applyFont="1" applyFill="1" applyAlignment="1">
      <alignment horizontal="center"/>
    </xf>
    <xf numFmtId="0" fontId="0" fillId="0" borderId="7" xfId="0" applyBorder="1"/>
    <xf numFmtId="165" fontId="12" fillId="0" borderId="5" xfId="16" applyNumberFormat="1" applyFont="1" applyBorder="1"/>
    <xf numFmtId="43" fontId="12" fillId="0" borderId="5" xfId="1" applyFont="1" applyBorder="1"/>
    <xf numFmtId="0" fontId="5" fillId="4" borderId="0" xfId="0" applyFont="1" applyFill="1"/>
    <xf numFmtId="165" fontId="5" fillId="4" borderId="0" xfId="16" applyNumberFormat="1" applyFont="1" applyFill="1" applyAlignment="1"/>
    <xf numFmtId="0" fontId="0" fillId="0" borderId="0" xfId="0" pivotButton="1"/>
    <xf numFmtId="0" fontId="36" fillId="3" borderId="0" xfId="0" quotePrefix="1" applyFont="1" applyFill="1" applyAlignment="1">
      <alignment horizontal="center"/>
    </xf>
    <xf numFmtId="0" fontId="12" fillId="0" borderId="8" xfId="0" applyFont="1" applyBorder="1" applyAlignment="1">
      <alignment horizontal="right"/>
    </xf>
    <xf numFmtId="0" fontId="12" fillId="0" borderId="11" xfId="0" applyFont="1" applyBorder="1" applyAlignment="1">
      <alignment horizontal="right"/>
    </xf>
    <xf numFmtId="0" fontId="12" fillId="0" borderId="12" xfId="0" applyFont="1" applyBorder="1" applyAlignment="1">
      <alignment horizontal="right"/>
    </xf>
    <xf numFmtId="0" fontId="12" fillId="0" borderId="13" xfId="0" applyFont="1" applyBorder="1"/>
    <xf numFmtId="0" fontId="12" fillId="0" borderId="14" xfId="0" applyFont="1" applyBorder="1"/>
    <xf numFmtId="165" fontId="12" fillId="0" borderId="13" xfId="0" applyNumberFormat="1" applyFont="1" applyBorder="1"/>
    <xf numFmtId="165" fontId="12" fillId="0" borderId="15" xfId="0" applyNumberFormat="1" applyFont="1" applyBorder="1"/>
    <xf numFmtId="165" fontId="12" fillId="0" borderId="16" xfId="0" applyNumberFormat="1" applyFont="1" applyBorder="1"/>
    <xf numFmtId="0" fontId="5" fillId="0" borderId="0" xfId="0" applyFont="1" applyAlignment="1">
      <alignment horizontal="left"/>
    </xf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43" fontId="0" fillId="0" borderId="0" xfId="16" applyFont="1"/>
    <xf numFmtId="172" fontId="0" fillId="0" borderId="0" xfId="13" applyNumberFormat="1" applyFont="1"/>
    <xf numFmtId="0" fontId="38" fillId="8" borderId="3" xfId="0" applyFont="1" applyFill="1" applyBorder="1" applyAlignment="1">
      <alignment horizontal="center"/>
    </xf>
    <xf numFmtId="0" fontId="38" fillId="8" borderId="3" xfId="0" applyFont="1" applyFill="1" applyBorder="1"/>
    <xf numFmtId="165" fontId="12" fillId="0" borderId="0" xfId="1" applyNumberFormat="1" applyFont="1"/>
    <xf numFmtId="0" fontId="12" fillId="7" borderId="3" xfId="0" applyFont="1" applyFill="1" applyBorder="1" applyAlignment="1">
      <alignment horizontal="center"/>
    </xf>
    <xf numFmtId="0" fontId="5" fillId="7" borderId="0" xfId="0" applyFont="1" applyFill="1" applyAlignment="1">
      <alignment horizontal="center"/>
    </xf>
    <xf numFmtId="43" fontId="38" fillId="8" borderId="3" xfId="1" applyFont="1" applyFill="1" applyBorder="1" applyAlignment="1">
      <alignment horizontal="right"/>
    </xf>
    <xf numFmtId="0" fontId="19" fillId="0" borderId="0" xfId="0" applyFont="1" applyAlignment="1">
      <alignment horizontal="centerContinuous" vertical="center"/>
    </xf>
    <xf numFmtId="0" fontId="20" fillId="0" borderId="0" xfId="0" applyFont="1" applyAlignment="1">
      <alignment horizontal="centerContinuous" vertical="center"/>
    </xf>
    <xf numFmtId="0" fontId="12" fillId="0" borderId="0" xfId="0" quotePrefix="1" applyFont="1" applyAlignment="1">
      <alignment horizontal="left"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0" xfId="0" quotePrefix="1" applyFont="1" applyAlignment="1">
      <alignment horizontal="center" vertical="center"/>
    </xf>
    <xf numFmtId="169" fontId="12" fillId="0" borderId="0" xfId="11" applyNumberFormat="1" applyFont="1" applyFill="1" applyAlignment="1">
      <alignment horizontal="center" vertical="center"/>
    </xf>
    <xf numFmtId="168" fontId="12" fillId="0" borderId="0" xfId="0" applyNumberFormat="1" applyFont="1" applyAlignment="1">
      <alignment horizontal="center" vertical="center"/>
    </xf>
    <xf numFmtId="168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4" fontId="12" fillId="0" borderId="1" xfId="0" quotePrefix="1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39" fontId="12" fillId="0" borderId="0" xfId="11" applyFont="1" applyFill="1" applyAlignment="1">
      <alignment horizontal="center" vertical="center"/>
    </xf>
    <xf numFmtId="168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164" fontId="0" fillId="0" borderId="0" xfId="0" applyNumberFormat="1" applyAlignment="1">
      <alignment vertical="center"/>
    </xf>
    <xf numFmtId="43" fontId="0" fillId="0" borderId="0" xfId="0" applyNumberFormat="1" applyAlignment="1">
      <alignment vertical="center"/>
    </xf>
    <xf numFmtId="41" fontId="7" fillId="0" borderId="0" xfId="0" applyNumberFormat="1" applyFont="1" applyAlignment="1">
      <alignment vertical="center"/>
    </xf>
    <xf numFmtId="41" fontId="0" fillId="0" borderId="0" xfId="0" applyNumberFormat="1" applyAlignment="1">
      <alignment vertical="center"/>
    </xf>
    <xf numFmtId="39" fontId="5" fillId="0" borderId="0" xfId="11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165" fontId="0" fillId="0" borderId="0" xfId="1" applyNumberFormat="1" applyFont="1" applyAlignment="1">
      <alignment vertical="center"/>
    </xf>
    <xf numFmtId="168" fontId="5" fillId="0" borderId="0" xfId="11" applyNumberFormat="1" applyFont="1" applyFill="1" applyAlignment="1">
      <alignment horizontal="center" vertical="center"/>
    </xf>
    <xf numFmtId="165" fontId="7" fillId="0" borderId="0" xfId="1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quotePrefix="1" applyFont="1" applyAlignment="1">
      <alignment horizontal="left" vertical="center"/>
    </xf>
    <xf numFmtId="165" fontId="9" fillId="0" borderId="0" xfId="1" applyNumberFormat="1" applyFont="1" applyFill="1" applyAlignment="1">
      <alignment vertical="center"/>
    </xf>
    <xf numFmtId="165" fontId="9" fillId="0" borderId="0" xfId="1" applyNumberFormat="1" applyFont="1" applyAlignment="1">
      <alignment vertical="center"/>
    </xf>
    <xf numFmtId="0" fontId="9" fillId="0" borderId="0" xfId="9" applyAlignment="1">
      <alignment horizontal="left" vertical="center"/>
    </xf>
    <xf numFmtId="165" fontId="34" fillId="0" borderId="0" xfId="1" applyNumberFormat="1" applyFont="1" applyFill="1" applyAlignment="1">
      <alignment vertical="center"/>
    </xf>
    <xf numFmtId="0" fontId="8" fillId="0" borderId="1" xfId="0" quotePrefix="1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165" fontId="9" fillId="0" borderId="1" xfId="1" applyNumberFormat="1" applyFont="1" applyFill="1" applyBorder="1" applyAlignment="1">
      <alignment vertical="center"/>
    </xf>
    <xf numFmtId="165" fontId="0" fillId="0" borderId="1" xfId="1" applyNumberFormat="1" applyFont="1" applyBorder="1" applyAlignment="1">
      <alignment vertical="center"/>
    </xf>
    <xf numFmtId="165" fontId="12" fillId="0" borderId="1" xfId="1" applyNumberFormat="1" applyFont="1" applyBorder="1" applyAlignment="1">
      <alignment vertical="center"/>
    </xf>
    <xf numFmtId="165" fontId="12" fillId="0" borderId="1" xfId="1" applyNumberFormat="1" applyFont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165" fontId="0" fillId="0" borderId="2" xfId="1" applyNumberFormat="1" applyFon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165" fontId="12" fillId="0" borderId="2" xfId="1" applyNumberFormat="1" applyFont="1" applyBorder="1" applyAlignment="1">
      <alignment vertical="center"/>
    </xf>
    <xf numFmtId="0" fontId="21" fillId="0" borderId="0" xfId="0" applyFont="1" applyAlignment="1">
      <alignment horizontal="centerContinuous" vertical="center"/>
    </xf>
    <xf numFmtId="0" fontId="12" fillId="0" borderId="2" xfId="0" applyFont="1" applyBorder="1" applyAlignment="1">
      <alignment horizontal="centerContinuous" vertical="center"/>
    </xf>
    <xf numFmtId="0" fontId="12" fillId="0" borderId="0" xfId="0" applyFont="1" applyAlignment="1">
      <alignment horizontal="left" vertical="center"/>
    </xf>
    <xf numFmtId="0" fontId="12" fillId="0" borderId="6" xfId="0" applyFont="1" applyBorder="1" applyAlignment="1">
      <alignment vertical="center"/>
    </xf>
    <xf numFmtId="0" fontId="12" fillId="0" borderId="3" xfId="0" applyFont="1" applyBorder="1" applyAlignment="1">
      <alignment horizontal="centerContinuous" vertical="center"/>
    </xf>
    <xf numFmtId="0" fontId="12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167" fontId="10" fillId="0" borderId="0" xfId="0" applyNumberFormat="1" applyFont="1" applyAlignment="1">
      <alignment vertical="center"/>
    </xf>
    <xf numFmtId="164" fontId="10" fillId="0" borderId="0" xfId="0" applyNumberFormat="1" applyFont="1" applyAlignment="1">
      <alignment vertical="center"/>
    </xf>
    <xf numFmtId="41" fontId="10" fillId="0" borderId="0" xfId="0" applyNumberFormat="1" applyFont="1" applyAlignment="1">
      <alignment vertical="center"/>
    </xf>
    <xf numFmtId="43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horizontal="center" vertical="center"/>
    </xf>
    <xf numFmtId="165" fontId="7" fillId="0" borderId="0" xfId="1" applyNumberFormat="1" applyFont="1" applyFill="1" applyAlignment="1">
      <alignment horizontal="center" vertical="center"/>
    </xf>
    <xf numFmtId="167" fontId="10" fillId="0" borderId="0" xfId="0" applyNumberFormat="1" applyFont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167" fontId="9" fillId="0" borderId="0" xfId="0" applyNumberFormat="1" applyFont="1" applyAlignment="1">
      <alignment horizontal="center" vertical="center"/>
    </xf>
    <xf numFmtId="168" fontId="10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3" borderId="0" xfId="0" quotePrefix="1" applyFont="1" applyFill="1" applyAlignment="1">
      <alignment horizontal="left" vertical="center"/>
    </xf>
    <xf numFmtId="166" fontId="9" fillId="0" borderId="0" xfId="0" applyNumberFormat="1" applyFont="1" applyAlignment="1">
      <alignment vertical="center"/>
    </xf>
    <xf numFmtId="166" fontId="12" fillId="0" borderId="0" xfId="0" applyNumberFormat="1" applyFont="1" applyAlignment="1">
      <alignment horizontal="center" vertical="center"/>
    </xf>
    <xf numFmtId="166" fontId="12" fillId="0" borderId="1" xfId="0" applyNumberFormat="1" applyFont="1" applyBorder="1" applyAlignment="1">
      <alignment horizontal="center" vertical="center"/>
    </xf>
    <xf numFmtId="166" fontId="12" fillId="0" borderId="0" xfId="0" quotePrefix="1" applyNumberFormat="1" applyFont="1" applyAlignment="1">
      <alignment horizontal="center" vertical="center"/>
    </xf>
    <xf numFmtId="164" fontId="9" fillId="0" borderId="0" xfId="0" applyNumberFormat="1" applyFont="1" applyAlignment="1">
      <alignment vertical="center"/>
    </xf>
    <xf numFmtId="166" fontId="0" fillId="0" borderId="0" xfId="0" applyNumberFormat="1" applyAlignment="1">
      <alignment horizontal="center" vertical="center"/>
    </xf>
    <xf numFmtId="0" fontId="0" fillId="0" borderId="1" xfId="0" applyBorder="1" applyAlignment="1">
      <alignment vertical="center"/>
    </xf>
    <xf numFmtId="165" fontId="9" fillId="0" borderId="1" xfId="1" applyNumberFormat="1" applyFont="1" applyBorder="1" applyAlignment="1">
      <alignment vertical="center"/>
    </xf>
    <xf numFmtId="166" fontId="0" fillId="0" borderId="1" xfId="0" applyNumberFormat="1" applyBorder="1" applyAlignment="1">
      <alignment horizontal="center" vertical="center"/>
    </xf>
    <xf numFmtId="0" fontId="12" fillId="0" borderId="1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0" fillId="0" borderId="1" xfId="0" quotePrefix="1" applyBorder="1" applyAlignment="1">
      <alignment horizontal="center" vertical="center"/>
    </xf>
    <xf numFmtId="0" fontId="0" fillId="0" borderId="0" xfId="0" applyAlignment="1">
      <alignment horizontal="left" vertical="center"/>
    </xf>
    <xf numFmtId="165" fontId="9" fillId="0" borderId="2" xfId="1" applyNumberFormat="1" applyFont="1" applyBorder="1" applyAlignment="1">
      <alignment vertical="center"/>
    </xf>
    <xf numFmtId="166" fontId="0" fillId="0" borderId="2" xfId="0" applyNumberFormat="1" applyBorder="1" applyAlignment="1">
      <alignment horizontal="center" vertical="center"/>
    </xf>
    <xf numFmtId="0" fontId="12" fillId="0" borderId="2" xfId="0" quotePrefix="1" applyFont="1" applyBorder="1" applyAlignment="1">
      <alignment horizontal="right" vertical="center"/>
    </xf>
    <xf numFmtId="166" fontId="12" fillId="0" borderId="2" xfId="0" applyNumberFormat="1" applyFont="1" applyBorder="1" applyAlignment="1">
      <alignment horizontal="center" vertical="center"/>
    </xf>
    <xf numFmtId="165" fontId="0" fillId="7" borderId="0" xfId="16" applyNumberFormat="1" applyFont="1" applyFill="1"/>
    <xf numFmtId="39" fontId="0" fillId="0" borderId="0" xfId="0" applyNumberFormat="1"/>
    <xf numFmtId="39" fontId="12" fillId="5" borderId="0" xfId="0" applyNumberFormat="1" applyFont="1" applyFill="1"/>
    <xf numFmtId="39" fontId="12" fillId="5" borderId="0" xfId="0" applyNumberFormat="1" applyFont="1" applyFill="1" applyAlignment="1">
      <alignment horizontal="right"/>
    </xf>
    <xf numFmtId="39" fontId="0" fillId="0" borderId="0" xfId="0" quotePrefix="1" applyNumberFormat="1" applyAlignment="1">
      <alignment horizontal="center"/>
    </xf>
    <xf numFmtId="39" fontId="12" fillId="0" borderId="0" xfId="0" applyNumberFormat="1" applyFont="1"/>
    <xf numFmtId="165" fontId="0" fillId="4" borderId="0" xfId="1" applyNumberFormat="1" applyFont="1" applyFill="1"/>
    <xf numFmtId="10" fontId="35" fillId="4" borderId="0" xfId="0" applyNumberFormat="1" applyFont="1" applyFill="1" applyAlignment="1">
      <alignment horizontal="center"/>
    </xf>
    <xf numFmtId="43" fontId="35" fillId="4" borderId="0" xfId="1" applyFont="1" applyFill="1" applyAlignment="1">
      <alignment horizontal="center"/>
    </xf>
    <xf numFmtId="9" fontId="35" fillId="4" borderId="0" xfId="13" applyFont="1" applyFill="1" applyAlignment="1">
      <alignment horizontal="center"/>
    </xf>
    <xf numFmtId="10" fontId="35" fillId="4" borderId="0" xfId="13" applyNumberFormat="1" applyFont="1" applyFill="1" applyAlignment="1">
      <alignment horizontal="center"/>
    </xf>
    <xf numFmtId="164" fontId="38" fillId="0" borderId="0" xfId="0" applyNumberFormat="1" applyFont="1" applyAlignment="1">
      <alignment horizontal="center"/>
    </xf>
    <xf numFmtId="0" fontId="11" fillId="0" borderId="0" xfId="0" applyFont="1" applyAlignment="1">
      <alignment horizontal="center" vertical="center"/>
    </xf>
    <xf numFmtId="166" fontId="11" fillId="0" borderId="0" xfId="0" applyNumberFormat="1" applyFont="1" applyAlignment="1">
      <alignment horizontal="center" vertical="center"/>
    </xf>
    <xf numFmtId="167" fontId="11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41" fontId="10" fillId="0" borderId="0" xfId="0" applyNumberFormat="1" applyFont="1" applyAlignment="1">
      <alignment horizontal="center" vertical="center"/>
    </xf>
    <xf numFmtId="0" fontId="10" fillId="0" borderId="0" xfId="0" quotePrefix="1" applyFont="1" applyAlignment="1">
      <alignment horizontal="center" vertical="center"/>
    </xf>
    <xf numFmtId="0" fontId="13" fillId="0" borderId="1" xfId="0" quotePrefix="1" applyFont="1" applyBorder="1" applyAlignment="1">
      <alignment horizontal="center" vertical="center"/>
    </xf>
    <xf numFmtId="173" fontId="10" fillId="0" borderId="0" xfId="0" applyNumberFormat="1" applyFont="1" applyAlignment="1">
      <alignment horizontal="center" vertical="center"/>
    </xf>
    <xf numFmtId="173" fontId="9" fillId="0" borderId="0" xfId="0" applyNumberFormat="1" applyFont="1" applyAlignment="1">
      <alignment horizontal="center" vertical="center"/>
    </xf>
    <xf numFmtId="39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173" fontId="0" fillId="0" borderId="0" xfId="0" applyNumberFormat="1"/>
    <xf numFmtId="0" fontId="5" fillId="0" borderId="0" xfId="0" applyFont="1" applyAlignment="1">
      <alignment horizontal="center"/>
    </xf>
    <xf numFmtId="39" fontId="0" fillId="0" borderId="19" xfId="0" applyNumberFormat="1" applyBorder="1"/>
    <xf numFmtId="39" fontId="5" fillId="0" borderId="19" xfId="0" applyNumberFormat="1" applyFont="1" applyBorder="1"/>
    <xf numFmtId="39" fontId="5" fillId="0" borderId="0" xfId="0" applyNumberFormat="1" applyFont="1"/>
    <xf numFmtId="10" fontId="0" fillId="0" borderId="0" xfId="0" applyNumberFormat="1" applyAlignment="1">
      <alignment vertical="center"/>
    </xf>
    <xf numFmtId="39" fontId="12" fillId="0" borderId="0" xfId="11" applyFont="1" applyFill="1"/>
    <xf numFmtId="0" fontId="5" fillId="0" borderId="3" xfId="0" applyFont="1" applyBorder="1"/>
    <xf numFmtId="0" fontId="0" fillId="0" borderId="3" xfId="0" applyBorder="1"/>
    <xf numFmtId="39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10" fontId="0" fillId="0" borderId="3" xfId="0" applyNumberFormat="1" applyBorder="1" applyAlignment="1">
      <alignment horizontal="center"/>
    </xf>
    <xf numFmtId="37" fontId="0" fillId="0" borderId="0" xfId="0" applyNumberFormat="1"/>
    <xf numFmtId="0" fontId="5" fillId="0" borderId="3" xfId="0" applyFont="1" applyBorder="1" applyAlignment="1">
      <alignment horizontal="center"/>
    </xf>
    <xf numFmtId="37" fontId="0" fillId="0" borderId="5" xfId="0" applyNumberFormat="1" applyBorder="1"/>
    <xf numFmtId="0" fontId="0" fillId="0" borderId="5" xfId="0" applyBorder="1"/>
    <xf numFmtId="37" fontId="5" fillId="0" borderId="5" xfId="0" applyNumberFormat="1" applyFont="1" applyBorder="1"/>
    <xf numFmtId="0" fontId="5" fillId="0" borderId="0" xfId="0" applyFont="1" applyAlignment="1">
      <alignment vertical="center"/>
    </xf>
    <xf numFmtId="39" fontId="5" fillId="0" borderId="0" xfId="0" applyNumberFormat="1" applyFont="1" applyAlignment="1">
      <alignment horizontal="center"/>
    </xf>
    <xf numFmtId="0" fontId="0" fillId="0" borderId="19" xfId="0" applyBorder="1"/>
    <xf numFmtId="10" fontId="0" fillId="0" borderId="19" xfId="0" applyNumberFormat="1" applyBorder="1"/>
    <xf numFmtId="165" fontId="0" fillId="0" borderId="0" xfId="1" applyNumberFormat="1" applyFont="1" applyFill="1" applyAlignment="1">
      <alignment vertical="center"/>
    </xf>
    <xf numFmtId="165" fontId="10" fillId="0" borderId="0" xfId="1" applyNumberFormat="1" applyFont="1" applyFill="1" applyAlignment="1">
      <alignment vertical="center"/>
    </xf>
    <xf numFmtId="43" fontId="0" fillId="0" borderId="0" xfId="1" applyFont="1"/>
    <xf numFmtId="43" fontId="5" fillId="0" borderId="0" xfId="1" applyFont="1"/>
    <xf numFmtId="0" fontId="0" fillId="0" borderId="0" xfId="0" quotePrefix="1" applyAlignment="1">
      <alignment horizontal="center" vertical="center"/>
    </xf>
    <xf numFmtId="0" fontId="12" fillId="0" borderId="0" xfId="0" applyFont="1" applyAlignment="1">
      <alignment horizontal="right" vertical="center"/>
    </xf>
    <xf numFmtId="165" fontId="12" fillId="0" borderId="0" xfId="1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10" fontId="5" fillId="0" borderId="0" xfId="0" applyNumberFormat="1" applyFont="1"/>
    <xf numFmtId="43" fontId="0" fillId="0" borderId="0" xfId="1" applyFont="1" applyFill="1"/>
    <xf numFmtId="0" fontId="0" fillId="0" borderId="26" xfId="0" applyBorder="1" applyAlignment="1">
      <alignment horizontal="center"/>
    </xf>
    <xf numFmtId="0" fontId="0" fillId="0" borderId="26" xfId="0" applyBorder="1"/>
    <xf numFmtId="6" fontId="0" fillId="0" borderId="26" xfId="0" applyNumberFormat="1" applyBorder="1"/>
    <xf numFmtId="6" fontId="0" fillId="0" borderId="26" xfId="0" applyNumberFormat="1" applyBorder="1" applyAlignment="1">
      <alignment horizontal="right"/>
    </xf>
    <xf numFmtId="0" fontId="0" fillId="0" borderId="26" xfId="0" applyBorder="1" applyAlignment="1">
      <alignment horizontal="right"/>
    </xf>
    <xf numFmtId="38" fontId="0" fillId="0" borderId="26" xfId="0" applyNumberFormat="1" applyBorder="1" applyAlignment="1">
      <alignment horizontal="right"/>
    </xf>
    <xf numFmtId="5" fontId="0" fillId="0" borderId="26" xfId="0" applyNumberFormat="1" applyBorder="1"/>
    <xf numFmtId="5" fontId="0" fillId="0" borderId="26" xfId="0" applyNumberFormat="1" applyBorder="1" applyAlignment="1">
      <alignment horizontal="right"/>
    </xf>
    <xf numFmtId="10" fontId="0" fillId="0" borderId="26" xfId="0" applyNumberFormat="1" applyBorder="1" applyAlignment="1">
      <alignment horizontal="right"/>
    </xf>
    <xf numFmtId="10" fontId="0" fillId="0" borderId="26" xfId="0" applyNumberFormat="1" applyBorder="1"/>
    <xf numFmtId="9" fontId="0" fillId="0" borderId="26" xfId="0" applyNumberFormat="1" applyBorder="1"/>
    <xf numFmtId="9" fontId="0" fillId="0" borderId="26" xfId="0" applyNumberFormat="1" applyBorder="1" applyAlignment="1">
      <alignment horizontal="right"/>
    </xf>
    <xf numFmtId="2" fontId="0" fillId="0" borderId="26" xfId="0" applyNumberFormat="1" applyBorder="1" applyAlignment="1">
      <alignment horizontal="right"/>
    </xf>
    <xf numFmtId="2" fontId="0" fillId="0" borderId="26" xfId="0" applyNumberFormat="1" applyBorder="1"/>
    <xf numFmtId="0" fontId="5" fillId="0" borderId="26" xfId="0" applyFont="1" applyBorder="1" applyAlignment="1">
      <alignment horizontal="center"/>
    </xf>
    <xf numFmtId="0" fontId="0" fillId="0" borderId="27" xfId="0" applyBorder="1"/>
    <xf numFmtId="0" fontId="5" fillId="0" borderId="0" xfId="0" quotePrefix="1" applyFont="1" applyAlignment="1">
      <alignment horizontal="center"/>
    </xf>
    <xf numFmtId="9" fontId="0" fillId="0" borderId="26" xfId="0" applyNumberFormat="1" applyBorder="1" applyAlignment="1">
      <alignment horizontal="center"/>
    </xf>
    <xf numFmtId="43" fontId="0" fillId="0" borderId="19" xfId="1" applyFont="1" applyBorder="1"/>
    <xf numFmtId="43" fontId="0" fillId="0" borderId="5" xfId="1" applyFont="1" applyBorder="1"/>
    <xf numFmtId="43" fontId="0" fillId="0" borderId="19" xfId="1" applyFont="1" applyFill="1" applyBorder="1"/>
    <xf numFmtId="43" fontId="5" fillId="0" borderId="3" xfId="1" applyFont="1" applyFill="1" applyBorder="1" applyAlignment="1">
      <alignment horizontal="center"/>
    </xf>
    <xf numFmtId="43" fontId="0" fillId="0" borderId="3" xfId="1" applyFont="1" applyBorder="1" applyAlignment="1">
      <alignment horizontal="center"/>
    </xf>
    <xf numFmtId="43" fontId="5" fillId="0" borderId="3" xfId="1" applyFont="1" applyBorder="1" applyAlignment="1">
      <alignment horizontal="center"/>
    </xf>
    <xf numFmtId="3" fontId="0" fillId="0" borderId="26" xfId="0" applyNumberFormat="1" applyBorder="1" applyAlignment="1">
      <alignment horizontal="right"/>
    </xf>
    <xf numFmtId="0" fontId="19" fillId="8" borderId="0" xfId="0" applyFont="1" applyFill="1" applyAlignment="1">
      <alignment horizontal="centerContinuous" vertical="center"/>
    </xf>
    <xf numFmtId="0" fontId="12" fillId="8" borderId="0" xfId="0" applyFont="1" applyFill="1" applyAlignment="1">
      <alignment vertical="center"/>
    </xf>
    <xf numFmtId="0" fontId="12" fillId="8" borderId="2" xfId="0" applyFont="1" applyFill="1" applyBorder="1" applyAlignment="1">
      <alignment horizontal="centerContinuous" vertical="center"/>
    </xf>
    <xf numFmtId="0" fontId="12" fillId="8" borderId="3" xfId="0" applyFont="1" applyFill="1" applyBorder="1" applyAlignment="1">
      <alignment horizontal="centerContinuous" vertical="center"/>
    </xf>
    <xf numFmtId="166" fontId="12" fillId="8" borderId="0" xfId="0" applyNumberFormat="1" applyFont="1" applyFill="1" applyAlignment="1">
      <alignment horizontal="center" vertical="center"/>
    </xf>
    <xf numFmtId="166" fontId="12" fillId="8" borderId="1" xfId="0" applyNumberFormat="1" applyFont="1" applyFill="1" applyBorder="1" applyAlignment="1">
      <alignment horizontal="center" vertical="center"/>
    </xf>
    <xf numFmtId="166" fontId="12" fillId="8" borderId="0" xfId="0" quotePrefix="1" applyNumberFormat="1" applyFont="1" applyFill="1" applyAlignment="1">
      <alignment horizontal="center" vertical="center"/>
    </xf>
    <xf numFmtId="166" fontId="0" fillId="8" borderId="0" xfId="0" applyNumberFormat="1" applyFill="1" applyAlignment="1">
      <alignment horizontal="center" vertical="center"/>
    </xf>
    <xf numFmtId="173" fontId="9" fillId="8" borderId="0" xfId="0" applyNumberFormat="1" applyFont="1" applyFill="1" applyAlignment="1">
      <alignment horizontal="center" vertical="center"/>
    </xf>
    <xf numFmtId="166" fontId="0" fillId="8" borderId="1" xfId="0" applyNumberFormat="1" applyFill="1" applyBorder="1" applyAlignment="1">
      <alignment horizontal="center" vertical="center"/>
    </xf>
    <xf numFmtId="43" fontId="0" fillId="8" borderId="0" xfId="0" applyNumberFormat="1" applyFill="1" applyAlignment="1">
      <alignment vertical="center"/>
    </xf>
    <xf numFmtId="166" fontId="0" fillId="8" borderId="2" xfId="0" applyNumberFormat="1" applyFill="1" applyBorder="1" applyAlignment="1">
      <alignment horizontal="center" vertical="center"/>
    </xf>
    <xf numFmtId="166" fontId="12" fillId="8" borderId="2" xfId="0" applyNumberFormat="1" applyFont="1" applyFill="1" applyBorder="1" applyAlignment="1">
      <alignment horizontal="center" vertical="center"/>
    </xf>
    <xf numFmtId="41" fontId="0" fillId="8" borderId="0" xfId="0" applyNumberFormat="1" applyFill="1"/>
    <xf numFmtId="164" fontId="0" fillId="8" borderId="0" xfId="0" applyNumberFormat="1" applyFill="1"/>
    <xf numFmtId="0" fontId="20" fillId="0" borderId="0" xfId="0" applyFont="1" applyAlignment="1">
      <alignment vertical="center"/>
    </xf>
    <xf numFmtId="165" fontId="20" fillId="0" borderId="0" xfId="0" applyNumberFormat="1" applyFont="1" applyAlignment="1">
      <alignment horizontal="centerContinuous" vertical="center"/>
    </xf>
    <xf numFmtId="165" fontId="0" fillId="0" borderId="0" xfId="0" applyNumberFormat="1" applyAlignment="1">
      <alignment vertical="center"/>
    </xf>
    <xf numFmtId="165" fontId="12" fillId="0" borderId="0" xfId="0" applyNumberFormat="1" applyFont="1" applyAlignment="1">
      <alignment horizontal="center" vertical="center"/>
    </xf>
    <xf numFmtId="165" fontId="12" fillId="0" borderId="0" xfId="0" applyNumberFormat="1" applyFont="1" applyAlignment="1">
      <alignment horizontal="right" vertical="center"/>
    </xf>
    <xf numFmtId="14" fontId="13" fillId="0" borderId="1" xfId="0" quotePrefix="1" applyNumberFormat="1" applyFont="1" applyBorder="1" applyAlignment="1">
      <alignment horizontal="center" vertical="center"/>
    </xf>
    <xf numFmtId="0" fontId="12" fillId="0" borderId="1" xfId="0" quotePrefix="1" applyFont="1" applyBorder="1" applyAlignment="1">
      <alignment horizontal="center" vertical="center"/>
    </xf>
    <xf numFmtId="165" fontId="12" fillId="0" borderId="0" xfId="0" quotePrefix="1" applyNumberFormat="1" applyFont="1" applyAlignment="1">
      <alignment horizontal="center" vertical="center"/>
    </xf>
    <xf numFmtId="43" fontId="8" fillId="0" borderId="0" xfId="0" applyNumberFormat="1" applyFont="1" applyAlignment="1">
      <alignment vertical="center"/>
    </xf>
    <xf numFmtId="165" fontId="7" fillId="0" borderId="0" xfId="1" applyNumberFormat="1" applyFont="1" applyFill="1" applyAlignment="1">
      <alignment vertical="center"/>
    </xf>
    <xf numFmtId="43" fontId="8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/>
    </xf>
    <xf numFmtId="168" fontId="0" fillId="0" borderId="0" xfId="0" applyNumberFormat="1" applyAlignment="1">
      <alignment horizontal="center" vertical="center"/>
    </xf>
    <xf numFmtId="165" fontId="5" fillId="0" borderId="0" xfId="1" applyNumberFormat="1" applyFill="1" applyAlignment="1">
      <alignment vertical="center"/>
    </xf>
    <xf numFmtId="167" fontId="0" fillId="0" borderId="0" xfId="0" applyNumberFormat="1" applyAlignment="1">
      <alignment horizontal="center" vertical="center"/>
    </xf>
    <xf numFmtId="165" fontId="5" fillId="0" borderId="0" xfId="1" applyNumberFormat="1" applyFont="1" applyFill="1" applyAlignment="1">
      <alignment vertical="center"/>
    </xf>
    <xf numFmtId="165" fontId="8" fillId="0" borderId="0" xfId="0" applyNumberFormat="1" applyFont="1" applyAlignment="1">
      <alignment vertical="center"/>
    </xf>
    <xf numFmtId="165" fontId="10" fillId="0" borderId="1" xfId="1" applyNumberFormat="1" applyFont="1" applyFill="1" applyBorder="1" applyAlignment="1">
      <alignment vertical="center"/>
    </xf>
    <xf numFmtId="168" fontId="0" fillId="0" borderId="1" xfId="0" applyNumberFormat="1" applyBorder="1" applyAlignment="1">
      <alignment horizontal="center" vertical="center"/>
    </xf>
    <xf numFmtId="165" fontId="0" fillId="0" borderId="1" xfId="1" applyNumberFormat="1" applyFont="1" applyFill="1" applyBorder="1" applyAlignment="1">
      <alignment vertical="center"/>
    </xf>
    <xf numFmtId="167" fontId="0" fillId="0" borderId="1" xfId="0" applyNumberFormat="1" applyBorder="1" applyAlignment="1">
      <alignment horizontal="center" vertical="center"/>
    </xf>
    <xf numFmtId="165" fontId="5" fillId="0" borderId="1" xfId="1" applyNumberFormat="1" applyFont="1" applyFill="1" applyBorder="1" applyAlignment="1">
      <alignment vertical="center"/>
    </xf>
    <xf numFmtId="0" fontId="15" fillId="0" borderId="1" xfId="0" applyFont="1" applyBorder="1" applyAlignment="1">
      <alignment horizontal="right" vertical="center"/>
    </xf>
    <xf numFmtId="168" fontId="12" fillId="0" borderId="18" xfId="0" applyNumberFormat="1" applyFont="1" applyBorder="1" applyAlignment="1">
      <alignment horizontal="center" vertical="center"/>
    </xf>
    <xf numFmtId="167" fontId="12" fillId="0" borderId="18" xfId="0" applyNumberFormat="1" applyFont="1" applyBorder="1" applyAlignment="1">
      <alignment horizontal="center" vertical="center"/>
    </xf>
    <xf numFmtId="165" fontId="37" fillId="0" borderId="1" xfId="1" applyNumberFormat="1" applyFont="1" applyFill="1" applyBorder="1" applyAlignment="1">
      <alignment vertical="center"/>
    </xf>
    <xf numFmtId="165" fontId="5" fillId="0" borderId="1" xfId="1" applyNumberFormat="1" applyFill="1" applyBorder="1" applyAlignment="1">
      <alignment vertical="center"/>
    </xf>
    <xf numFmtId="167" fontId="1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167" fontId="0" fillId="0" borderId="0" xfId="0" applyNumberFormat="1" applyAlignment="1">
      <alignment vertical="center"/>
    </xf>
    <xf numFmtId="0" fontId="0" fillId="0" borderId="2" xfId="0" applyBorder="1" applyAlignment="1">
      <alignment horizontal="right" vertical="center"/>
    </xf>
    <xf numFmtId="165" fontId="0" fillId="0" borderId="2" xfId="1" applyNumberFormat="1" applyFont="1" applyFill="1" applyBorder="1" applyAlignment="1">
      <alignment vertical="center"/>
    </xf>
    <xf numFmtId="167" fontId="0" fillId="0" borderId="2" xfId="0" applyNumberFormat="1" applyBorder="1" applyAlignment="1">
      <alignment vertical="center"/>
    </xf>
    <xf numFmtId="165" fontId="5" fillId="0" borderId="2" xfId="1" applyNumberFormat="1" applyFill="1" applyBorder="1" applyAlignment="1">
      <alignment vertical="center"/>
    </xf>
    <xf numFmtId="0" fontId="12" fillId="0" borderId="4" xfId="0" quotePrefix="1" applyFont="1" applyBorder="1" applyAlignment="1">
      <alignment horizontal="right" vertical="center"/>
    </xf>
    <xf numFmtId="165" fontId="12" fillId="0" borderId="2" xfId="1" applyNumberFormat="1" applyFont="1" applyFill="1" applyBorder="1" applyAlignment="1">
      <alignment vertical="center"/>
    </xf>
    <xf numFmtId="168" fontId="12" fillId="0" borderId="4" xfId="0" applyNumberFormat="1" applyFont="1" applyBorder="1" applyAlignment="1">
      <alignment horizontal="center" vertical="center"/>
    </xf>
    <xf numFmtId="165" fontId="17" fillId="0" borderId="0" xfId="1" applyNumberFormat="1" applyFont="1" applyFill="1"/>
    <xf numFmtId="165" fontId="0" fillId="0" borderId="0" xfId="1" applyNumberFormat="1" applyFont="1" applyFill="1"/>
    <xf numFmtId="164" fontId="12" fillId="0" borderId="0" xfId="0" applyNumberFormat="1" applyFont="1" applyAlignment="1">
      <alignment horizontal="left"/>
    </xf>
    <xf numFmtId="165" fontId="9" fillId="0" borderId="0" xfId="1" applyNumberFormat="1" applyFont="1" applyFill="1"/>
    <xf numFmtId="0" fontId="0" fillId="0" borderId="0" xfId="0" quotePrefix="1" applyAlignment="1">
      <alignment horizontal="right"/>
    </xf>
    <xf numFmtId="165" fontId="9" fillId="0" borderId="5" xfId="1" applyNumberFormat="1" applyFont="1" applyFill="1" applyBorder="1"/>
    <xf numFmtId="43" fontId="0" fillId="0" borderId="26" xfId="0" applyNumberFormat="1" applyBorder="1" applyAlignment="1">
      <alignment horizontal="right"/>
    </xf>
    <xf numFmtId="43" fontId="0" fillId="8" borderId="26" xfId="0" applyNumberFormat="1" applyFill="1" applyBorder="1" applyAlignment="1">
      <alignment horizontal="right"/>
    </xf>
    <xf numFmtId="10" fontId="0" fillId="8" borderId="26" xfId="0" applyNumberFormat="1" applyFill="1" applyBorder="1"/>
    <xf numFmtId="2" fontId="0" fillId="8" borderId="26" xfId="0" applyNumberFormat="1" applyFill="1" applyBorder="1"/>
    <xf numFmtId="174" fontId="0" fillId="0" borderId="0" xfId="0" applyNumberFormat="1" applyAlignment="1">
      <alignment horizontal="center"/>
    </xf>
    <xf numFmtId="174" fontId="0" fillId="0" borderId="3" xfId="0" applyNumberFormat="1" applyBorder="1" applyAlignment="1">
      <alignment horizontal="center"/>
    </xf>
    <xf numFmtId="174" fontId="0" fillId="0" borderId="0" xfId="0" applyNumberFormat="1"/>
    <xf numFmtId="174" fontId="5" fillId="0" borderId="19" xfId="0" applyNumberFormat="1" applyFont="1" applyBorder="1"/>
    <xf numFmtId="173" fontId="0" fillId="0" borderId="26" xfId="0" applyNumberFormat="1" applyBorder="1"/>
    <xf numFmtId="166" fontId="25" fillId="0" borderId="0" xfId="0" quotePrefix="1" applyNumberFormat="1" applyFont="1" applyAlignment="1">
      <alignment horizontal="center" vertical="center"/>
    </xf>
    <xf numFmtId="39" fontId="10" fillId="0" borderId="0" xfId="0" applyNumberFormat="1" applyFont="1" applyAlignment="1">
      <alignment horizontal="center" vertical="center"/>
    </xf>
    <xf numFmtId="166" fontId="10" fillId="0" borderId="0" xfId="41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1" fontId="7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41" fontId="0" fillId="0" borderId="0" xfId="0" applyNumberFormat="1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173" fontId="0" fillId="0" borderId="0" xfId="0" applyNumberFormat="1" applyAlignment="1">
      <alignment horizontal="center"/>
    </xf>
    <xf numFmtId="173" fontId="5" fillId="0" borderId="19" xfId="0" applyNumberFormat="1" applyFont="1" applyBorder="1"/>
    <xf numFmtId="173" fontId="0" fillId="0" borderId="19" xfId="0" applyNumberFormat="1" applyBorder="1"/>
    <xf numFmtId="164" fontId="5" fillId="5" borderId="0" xfId="0" applyNumberFormat="1" applyFont="1" applyFill="1" applyAlignment="1">
      <alignment horizontal="center" wrapText="1"/>
    </xf>
    <xf numFmtId="164" fontId="0" fillId="0" borderId="0" xfId="0" applyNumberFormat="1" applyAlignment="1">
      <alignment horizontal="center" wrapText="1"/>
    </xf>
    <xf numFmtId="164" fontId="5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1" xfId="0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5" xfId="0" applyFont="1" applyBorder="1" applyAlignment="1">
      <alignment horizontal="center"/>
    </xf>
  </cellXfs>
  <cellStyles count="70">
    <cellStyle name="Comma" xfId="1" builtinId="3"/>
    <cellStyle name="Comma 2" xfId="2" xr:uid="{00000000-0005-0000-0000-000001000000}"/>
    <cellStyle name="Comma 2 2" xfId="3" xr:uid="{00000000-0005-0000-0000-000002000000}"/>
    <cellStyle name="Comma 2 2 2" xfId="4" xr:uid="{00000000-0005-0000-0000-000003000000}"/>
    <cellStyle name="Comma 2 2 2 2" xfId="38" xr:uid="{00000000-0005-0000-0000-000004000000}"/>
    <cellStyle name="Comma 2 2 2 3" xfId="28" xr:uid="{00000000-0005-0000-0000-000005000000}"/>
    <cellStyle name="Comma 2 2 2 4" xfId="19" xr:uid="{00000000-0005-0000-0000-000006000000}"/>
    <cellStyle name="Comma 2 2 3" xfId="37" xr:uid="{00000000-0005-0000-0000-000007000000}"/>
    <cellStyle name="Comma 2 2 4" xfId="27" xr:uid="{00000000-0005-0000-0000-000008000000}"/>
    <cellStyle name="Comma 2 2 5" xfId="18" xr:uid="{00000000-0005-0000-0000-000009000000}"/>
    <cellStyle name="Comma 2 3" xfId="36" xr:uid="{00000000-0005-0000-0000-00000A000000}"/>
    <cellStyle name="Comma 2 4" xfId="26" xr:uid="{00000000-0005-0000-0000-00000B000000}"/>
    <cellStyle name="Comma 2 5" xfId="17" xr:uid="{00000000-0005-0000-0000-00000C000000}"/>
    <cellStyle name="Comma 3" xfId="5" xr:uid="{00000000-0005-0000-0000-00000D000000}"/>
    <cellStyle name="Comma 3 2" xfId="6" xr:uid="{00000000-0005-0000-0000-00000E000000}"/>
    <cellStyle name="Comma 3 2 2" xfId="39" xr:uid="{00000000-0005-0000-0000-00000F000000}"/>
    <cellStyle name="Comma 3 2 3" xfId="29" xr:uid="{00000000-0005-0000-0000-000010000000}"/>
    <cellStyle name="Comma 3 2 4" xfId="20" xr:uid="{00000000-0005-0000-0000-000011000000}"/>
    <cellStyle name="Comma 4" xfId="7" xr:uid="{00000000-0005-0000-0000-000012000000}"/>
    <cellStyle name="Comma 4 3" xfId="16" xr:uid="{00000000-0005-0000-0000-000013000000}"/>
    <cellStyle name="Currency 2" xfId="8" xr:uid="{00000000-0005-0000-0000-000014000000}"/>
    <cellStyle name="Currency 2 2" xfId="40" xr:uid="{00000000-0005-0000-0000-000015000000}"/>
    <cellStyle name="Currency 2 3" xfId="30" xr:uid="{00000000-0005-0000-0000-000016000000}"/>
    <cellStyle name="Currency 2 4" xfId="21" xr:uid="{00000000-0005-0000-0000-000017000000}"/>
    <cellStyle name="Normal" xfId="0" builtinId="0"/>
    <cellStyle name="Normal 2" xfId="9" xr:uid="{00000000-0005-0000-0000-000019000000}"/>
    <cellStyle name="Normal 2 2" xfId="41" xr:uid="{00000000-0005-0000-0000-00001A000000}"/>
    <cellStyle name="Normal 2 3" xfId="31" xr:uid="{00000000-0005-0000-0000-00001B000000}"/>
    <cellStyle name="Normal 2 4" xfId="22" xr:uid="{00000000-0005-0000-0000-00001C000000}"/>
    <cellStyle name="Normal 3" xfId="10" xr:uid="{00000000-0005-0000-0000-00001D000000}"/>
    <cellStyle name="Normal 3 2" xfId="42" xr:uid="{00000000-0005-0000-0000-00001E000000}"/>
    <cellStyle name="Normal 3 2 2" xfId="50" xr:uid="{00000000-0005-0000-0000-00001F000000}"/>
    <cellStyle name="Normal 3 2 2 2" xfId="58" xr:uid="{00000000-0005-0000-0000-000020000000}"/>
    <cellStyle name="Normal 3 2 2 3" xfId="68" xr:uid="{00000000-0005-0000-0000-000021000000}"/>
    <cellStyle name="Normal 3 2 3" xfId="53" xr:uid="{00000000-0005-0000-0000-000022000000}"/>
    <cellStyle name="Normal 3 2 3 2" xfId="61" xr:uid="{00000000-0005-0000-0000-000023000000}"/>
    <cellStyle name="Normal 3 2 3 3" xfId="66" xr:uid="{00000000-0005-0000-0000-000024000000}"/>
    <cellStyle name="Normal 3 2 4" xfId="48" xr:uid="{00000000-0005-0000-0000-000025000000}"/>
    <cellStyle name="Normal 3 2 5" xfId="56" xr:uid="{00000000-0005-0000-0000-000026000000}"/>
    <cellStyle name="Normal 3 2 6" xfId="63" xr:uid="{00000000-0005-0000-0000-000027000000}"/>
    <cellStyle name="Normal 3 3" xfId="32" xr:uid="{00000000-0005-0000-0000-000028000000}"/>
    <cellStyle name="Normal 3 3 2" xfId="52" xr:uid="{00000000-0005-0000-0000-000029000000}"/>
    <cellStyle name="Normal 3 3 2 2" xfId="60" xr:uid="{00000000-0005-0000-0000-00002A000000}"/>
    <cellStyle name="Normal 3 3 2 3" xfId="69" xr:uid="{00000000-0005-0000-0000-00002B000000}"/>
    <cellStyle name="Normal 3 3 3" xfId="47" xr:uid="{00000000-0005-0000-0000-00002C000000}"/>
    <cellStyle name="Normal 3 3 4" xfId="55" xr:uid="{00000000-0005-0000-0000-00002D000000}"/>
    <cellStyle name="Normal 3 3 5" xfId="65" xr:uid="{00000000-0005-0000-0000-00002E000000}"/>
    <cellStyle name="Normal 3 4" xfId="23" xr:uid="{00000000-0005-0000-0000-00002F000000}"/>
    <cellStyle name="Normal 3 4 2" xfId="49" xr:uid="{00000000-0005-0000-0000-000030000000}"/>
    <cellStyle name="Normal 3 4 3" xfId="57" xr:uid="{00000000-0005-0000-0000-000031000000}"/>
    <cellStyle name="Normal 3 4 4" xfId="67" xr:uid="{00000000-0005-0000-0000-000032000000}"/>
    <cellStyle name="Normal 3 5" xfId="51" xr:uid="{00000000-0005-0000-0000-000033000000}"/>
    <cellStyle name="Normal 3 5 2" xfId="59" xr:uid="{00000000-0005-0000-0000-000034000000}"/>
    <cellStyle name="Normal 3 5 3" xfId="64" xr:uid="{00000000-0005-0000-0000-000035000000}"/>
    <cellStyle name="Normal 3 6" xfId="46" xr:uid="{00000000-0005-0000-0000-000036000000}"/>
    <cellStyle name="Normal 3 7" xfId="54" xr:uid="{00000000-0005-0000-0000-000037000000}"/>
    <cellStyle name="Normal 3 8" xfId="62" xr:uid="{00000000-0005-0000-0000-000038000000}"/>
    <cellStyle name="Normal 4" xfId="35" xr:uid="{00000000-0005-0000-0000-000039000000}"/>
    <cellStyle name="Normal_2003 Depreciation Study Summary - Updated for 2003 Actuals" xfId="11" xr:uid="{00000000-0005-0000-0000-00003A000000}"/>
    <cellStyle name="Note 2" xfId="12" xr:uid="{00000000-0005-0000-0000-00003B000000}"/>
    <cellStyle name="Percent" xfId="13" builtinId="5"/>
    <cellStyle name="Percent 2" xfId="14" xr:uid="{00000000-0005-0000-0000-00003D000000}"/>
    <cellStyle name="Percent 2 2" xfId="44" xr:uid="{00000000-0005-0000-0000-00003E000000}"/>
    <cellStyle name="Percent 2 3" xfId="33" xr:uid="{00000000-0005-0000-0000-00003F000000}"/>
    <cellStyle name="Percent 2 4" xfId="24" xr:uid="{00000000-0005-0000-0000-000040000000}"/>
    <cellStyle name="Percent 3" xfId="43" xr:uid="{00000000-0005-0000-0000-000041000000}"/>
    <cellStyle name="Style 1" xfId="15" xr:uid="{00000000-0005-0000-0000-000042000000}"/>
    <cellStyle name="Style 1 2" xfId="45" xr:uid="{00000000-0005-0000-0000-000043000000}"/>
    <cellStyle name="Style 1 3" xfId="34" xr:uid="{00000000-0005-0000-0000-000044000000}"/>
    <cellStyle name="Style 1 4" xfId="25" xr:uid="{00000000-0005-0000-0000-000045000000}"/>
  </cellStyles>
  <dxfs count="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AB77"/>
  <sheetViews>
    <sheetView zoomScaleNormal="100" workbookViewId="0">
      <pane xSplit="3" ySplit="12" topLeftCell="D34" activePane="bottomRight" state="frozen"/>
      <selection activeCell="J68" sqref="J68"/>
      <selection pane="topRight" activeCell="J68" sqref="J68"/>
      <selection pane="bottomLeft" activeCell="J68" sqref="J68"/>
      <selection pane="bottomRight" activeCell="I36" sqref="I36"/>
    </sheetView>
  </sheetViews>
  <sheetFormatPr defaultRowHeight="12.5" x14ac:dyDescent="0.25"/>
  <cols>
    <col min="1" max="1" width="8.26953125" style="11" customWidth="1"/>
    <col min="2" max="2" width="1.7265625" customWidth="1"/>
    <col min="3" max="3" width="25" bestFit="1" customWidth="1"/>
    <col min="4" max="4" width="1.7265625" customWidth="1"/>
    <col min="5" max="5" width="8.7265625" bestFit="1" customWidth="1"/>
    <col min="6" max="6" width="8.7265625" customWidth="1"/>
    <col min="7" max="7" width="10.1796875" customWidth="1"/>
    <col min="8" max="8" width="7.81640625" customWidth="1"/>
    <col min="9" max="9" width="9.7265625" bestFit="1" customWidth="1"/>
    <col min="10" max="10" width="10.81640625" customWidth="1"/>
    <col min="11" max="12" width="1.7265625" customWidth="1"/>
    <col min="13" max="13" width="6.26953125" customWidth="1"/>
    <col min="14" max="14" width="8.1796875" customWidth="1"/>
    <col min="15" max="15" width="7.81640625" customWidth="1"/>
    <col min="16" max="16" width="6.54296875" customWidth="1"/>
    <col min="17" max="17" width="1.7265625" customWidth="1"/>
    <col min="18" max="18" width="8.1796875" customWidth="1"/>
    <col min="19" max="20" width="10.1796875" customWidth="1"/>
    <col min="21" max="21" width="7.81640625" customWidth="1"/>
    <col min="22" max="22" width="8.26953125" customWidth="1"/>
    <col min="23" max="23" width="10.7265625" customWidth="1"/>
    <col min="24" max="24" width="14.7265625" customWidth="1"/>
    <col min="25" max="25" width="1.1796875" customWidth="1"/>
    <col min="26" max="26" width="10.26953125" bestFit="1" customWidth="1"/>
    <col min="27" max="27" width="1.7265625" customWidth="1"/>
    <col min="28" max="28" width="8" customWidth="1"/>
  </cols>
  <sheetData>
    <row r="1" spans="1:28" ht="16.5" x14ac:dyDescent="0.25">
      <c r="A1" s="129" t="s">
        <v>88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41"/>
      <c r="Z1" s="141"/>
      <c r="AA1" s="141"/>
      <c r="AB1" s="141"/>
    </row>
    <row r="2" spans="1:28" ht="16.5" x14ac:dyDescent="0.25">
      <c r="A2" s="172" t="s">
        <v>1252</v>
      </c>
      <c r="B2" s="172"/>
      <c r="C2" s="172"/>
      <c r="D2" s="172"/>
      <c r="E2" s="172"/>
      <c r="F2" s="172"/>
      <c r="G2" s="172"/>
      <c r="H2" s="172"/>
      <c r="I2" s="172"/>
      <c r="J2" s="172"/>
      <c r="K2" s="129"/>
      <c r="L2" s="129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41"/>
      <c r="Z2" s="141"/>
      <c r="AA2" s="141"/>
      <c r="AB2" s="141"/>
    </row>
    <row r="3" spans="1:28" ht="16.5" x14ac:dyDescent="0.25">
      <c r="A3" s="129" t="s">
        <v>0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41"/>
      <c r="Z3" s="141"/>
      <c r="AA3" s="141"/>
      <c r="AB3" s="141"/>
    </row>
    <row r="4" spans="1:28" ht="13" x14ac:dyDescent="0.25">
      <c r="A4" s="131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</row>
    <row r="5" spans="1:28" ht="13.5" thickBot="1" x14ac:dyDescent="0.3">
      <c r="A5" s="131"/>
      <c r="B5" s="141"/>
      <c r="C5" s="141"/>
      <c r="D5" s="141"/>
      <c r="E5" s="173" t="s">
        <v>1253</v>
      </c>
      <c r="F5" s="173"/>
      <c r="G5" s="173"/>
      <c r="H5" s="173"/>
      <c r="I5" s="173"/>
      <c r="J5" s="173"/>
      <c r="K5" s="141"/>
      <c r="L5" s="141"/>
      <c r="M5" s="173" t="s">
        <v>1368</v>
      </c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41"/>
      <c r="Z5" s="141"/>
      <c r="AA5" s="141"/>
      <c r="AB5" s="141"/>
    </row>
    <row r="6" spans="1:28" ht="13" x14ac:dyDescent="0.25">
      <c r="A6" s="174"/>
      <c r="B6" s="141"/>
      <c r="C6" s="141"/>
      <c r="D6" s="141"/>
      <c r="E6" s="141" t="s">
        <v>1278</v>
      </c>
      <c r="F6" s="141"/>
      <c r="G6" s="141"/>
      <c r="H6" s="141"/>
      <c r="I6" s="141"/>
      <c r="J6" s="141"/>
      <c r="K6" s="175"/>
      <c r="L6" s="141"/>
      <c r="M6" s="141" t="s">
        <v>1367</v>
      </c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</row>
    <row r="7" spans="1:28" ht="13" x14ac:dyDescent="0.25">
      <c r="A7" s="174"/>
      <c r="B7" s="141"/>
      <c r="C7" s="141"/>
      <c r="D7" s="141"/>
      <c r="E7" s="141"/>
      <c r="F7" s="141"/>
      <c r="G7" s="141"/>
      <c r="H7" s="141"/>
      <c r="I7" s="141"/>
      <c r="J7" s="141"/>
      <c r="K7" s="175"/>
      <c r="L7" s="141"/>
      <c r="M7" s="176" t="s">
        <v>1</v>
      </c>
      <c r="N7" s="176"/>
      <c r="O7" s="176"/>
      <c r="P7" s="176"/>
      <c r="Q7" s="141"/>
      <c r="R7" s="176" t="s">
        <v>2</v>
      </c>
      <c r="S7" s="176"/>
      <c r="T7" s="176"/>
      <c r="U7" s="176"/>
      <c r="V7" s="176"/>
      <c r="W7" s="176"/>
      <c r="X7" s="176"/>
      <c r="Y7" s="141"/>
      <c r="Z7" s="141"/>
      <c r="AA7" s="141"/>
      <c r="AB7" s="141"/>
    </row>
    <row r="8" spans="1:28" ht="13" x14ac:dyDescent="0.25">
      <c r="A8" s="174"/>
      <c r="B8" s="141"/>
      <c r="C8" s="141"/>
      <c r="D8" s="141"/>
      <c r="E8" s="141"/>
      <c r="F8" s="141"/>
      <c r="G8" s="141"/>
      <c r="H8" s="141"/>
      <c r="I8" s="141"/>
      <c r="J8" s="141"/>
      <c r="K8" s="175"/>
      <c r="L8" s="141"/>
      <c r="M8" s="133"/>
      <c r="N8" s="133"/>
      <c r="O8" s="133"/>
      <c r="P8" s="133"/>
      <c r="Q8" s="133"/>
      <c r="R8" s="133"/>
      <c r="S8" s="133"/>
      <c r="T8" s="135" t="s">
        <v>85</v>
      </c>
      <c r="U8" s="133"/>
      <c r="V8" s="133"/>
      <c r="W8" s="133"/>
      <c r="X8" s="133" t="s">
        <v>85</v>
      </c>
      <c r="Y8" s="141"/>
      <c r="Z8" s="141"/>
      <c r="AA8" s="141"/>
      <c r="AB8" s="141"/>
    </row>
    <row r="9" spans="1:28" ht="13" x14ac:dyDescent="0.25">
      <c r="A9" s="174"/>
      <c r="B9" s="133"/>
      <c r="C9" s="133"/>
      <c r="D9" s="133"/>
      <c r="E9" s="133"/>
      <c r="F9" s="133" t="s">
        <v>3</v>
      </c>
      <c r="G9" s="133" t="s">
        <v>3</v>
      </c>
      <c r="H9" s="133" t="s">
        <v>4</v>
      </c>
      <c r="I9" s="133" t="s">
        <v>6</v>
      </c>
      <c r="J9" s="133" t="s">
        <v>7</v>
      </c>
      <c r="K9" s="177"/>
      <c r="L9" s="133"/>
      <c r="M9" s="133"/>
      <c r="N9" s="133" t="s">
        <v>3</v>
      </c>
      <c r="O9" s="133" t="s">
        <v>4</v>
      </c>
      <c r="P9" s="133" t="s">
        <v>8</v>
      </c>
      <c r="Q9" s="133"/>
      <c r="R9" s="133"/>
      <c r="S9" s="133" t="s">
        <v>3</v>
      </c>
      <c r="T9" s="133" t="s">
        <v>3</v>
      </c>
      <c r="U9" s="133" t="s">
        <v>4</v>
      </c>
      <c r="V9" s="133" t="s">
        <v>6</v>
      </c>
      <c r="W9" s="133" t="s">
        <v>7</v>
      </c>
      <c r="X9" s="133" t="s">
        <v>7</v>
      </c>
      <c r="Y9" s="133"/>
      <c r="Z9" s="133" t="s">
        <v>54</v>
      </c>
      <c r="AA9" s="133"/>
      <c r="AB9" s="133" t="s">
        <v>59</v>
      </c>
    </row>
    <row r="10" spans="1:28" ht="13" x14ac:dyDescent="0.25">
      <c r="A10" s="133" t="s">
        <v>9</v>
      </c>
      <c r="B10" s="133"/>
      <c r="C10" s="133"/>
      <c r="D10" s="133"/>
      <c r="E10" s="133" t="s">
        <v>13</v>
      </c>
      <c r="F10" s="133" t="s">
        <v>10</v>
      </c>
      <c r="G10" s="133" t="s">
        <v>11</v>
      </c>
      <c r="H10" s="133" t="s">
        <v>12</v>
      </c>
      <c r="I10" s="133" t="s">
        <v>14</v>
      </c>
      <c r="J10" s="133" t="s">
        <v>15</v>
      </c>
      <c r="K10" s="177"/>
      <c r="L10" s="133"/>
      <c r="M10" s="133" t="s">
        <v>13</v>
      </c>
      <c r="N10" s="133" t="s">
        <v>10</v>
      </c>
      <c r="O10" s="133" t="s">
        <v>12</v>
      </c>
      <c r="P10" s="133" t="s">
        <v>16</v>
      </c>
      <c r="Q10" s="133"/>
      <c r="R10" s="133" t="s">
        <v>3</v>
      </c>
      <c r="S10" s="133" t="s">
        <v>11</v>
      </c>
      <c r="T10" s="133" t="s">
        <v>11</v>
      </c>
      <c r="U10" s="133" t="s">
        <v>12</v>
      </c>
      <c r="V10" s="133" t="s">
        <v>14</v>
      </c>
      <c r="W10" s="133" t="s">
        <v>15</v>
      </c>
      <c r="X10" s="133" t="s">
        <v>15</v>
      </c>
      <c r="Y10" s="133"/>
      <c r="Z10" s="133" t="s">
        <v>55</v>
      </c>
      <c r="AA10" s="133"/>
      <c r="AB10" s="133" t="s">
        <v>56</v>
      </c>
    </row>
    <row r="11" spans="1:28" ht="13.5" thickBot="1" x14ac:dyDescent="0.3">
      <c r="A11" s="139" t="s">
        <v>17</v>
      </c>
      <c r="B11" s="133"/>
      <c r="C11" s="139" t="s">
        <v>18</v>
      </c>
      <c r="D11" s="133"/>
      <c r="E11" s="139" t="s">
        <v>20</v>
      </c>
      <c r="F11" s="139" t="s">
        <v>16</v>
      </c>
      <c r="G11" s="139" t="s">
        <v>16</v>
      </c>
      <c r="H11" s="139" t="s">
        <v>19</v>
      </c>
      <c r="I11" s="229">
        <v>2020</v>
      </c>
      <c r="J11" s="139" t="s">
        <v>21</v>
      </c>
      <c r="K11" s="177"/>
      <c r="L11" s="133"/>
      <c r="M11" s="139" t="s">
        <v>20</v>
      </c>
      <c r="N11" s="139" t="s">
        <v>16</v>
      </c>
      <c r="O11" s="139" t="s">
        <v>19</v>
      </c>
      <c r="P11" s="139" t="s">
        <v>21</v>
      </c>
      <c r="Q11" s="133"/>
      <c r="R11" s="139" t="s">
        <v>22</v>
      </c>
      <c r="S11" s="139" t="s">
        <v>16</v>
      </c>
      <c r="T11" s="139" t="s">
        <v>16</v>
      </c>
      <c r="U11" s="139" t="s">
        <v>19</v>
      </c>
      <c r="V11" s="229">
        <v>2023</v>
      </c>
      <c r="W11" s="139" t="s">
        <v>21</v>
      </c>
      <c r="X11" s="139" t="s">
        <v>21</v>
      </c>
      <c r="Y11" s="133"/>
      <c r="Z11" s="139" t="s">
        <v>21</v>
      </c>
      <c r="AA11" s="133"/>
      <c r="AB11" s="139" t="s">
        <v>57</v>
      </c>
    </row>
    <row r="12" spans="1:28" ht="13.5" thickTop="1" x14ac:dyDescent="0.25">
      <c r="A12" s="133"/>
      <c r="B12" s="141"/>
      <c r="C12" s="141"/>
      <c r="D12" s="141"/>
      <c r="E12" s="141"/>
      <c r="F12" s="135" t="s">
        <v>23</v>
      </c>
      <c r="G12" s="135" t="s">
        <v>23</v>
      </c>
      <c r="H12" s="135" t="s">
        <v>24</v>
      </c>
      <c r="I12" s="135" t="s">
        <v>24</v>
      </c>
      <c r="J12" s="135" t="s">
        <v>24</v>
      </c>
      <c r="K12" s="177"/>
      <c r="L12" s="133"/>
      <c r="M12" s="133"/>
      <c r="N12" s="135" t="s">
        <v>23</v>
      </c>
      <c r="O12" s="135" t="s">
        <v>24</v>
      </c>
      <c r="P12" s="135" t="s">
        <v>24</v>
      </c>
      <c r="Q12" s="133"/>
      <c r="R12" s="135" t="s">
        <v>23</v>
      </c>
      <c r="S12" s="135" t="s">
        <v>23</v>
      </c>
      <c r="T12" s="135" t="s">
        <v>23</v>
      </c>
      <c r="U12" s="135" t="s">
        <v>24</v>
      </c>
      <c r="V12" s="135" t="s">
        <v>24</v>
      </c>
      <c r="W12" s="135" t="s">
        <v>24</v>
      </c>
      <c r="X12" s="135" t="s">
        <v>24</v>
      </c>
      <c r="Y12" s="141"/>
      <c r="Z12" s="141"/>
      <c r="AA12" s="141"/>
      <c r="AB12" s="133"/>
    </row>
    <row r="13" spans="1:28" ht="13" x14ac:dyDescent="0.25">
      <c r="A13" s="178"/>
      <c r="B13" s="132"/>
      <c r="C13" s="179"/>
      <c r="D13" s="132"/>
      <c r="E13" s="134"/>
      <c r="F13" s="132"/>
      <c r="G13" s="145"/>
      <c r="H13" s="148"/>
      <c r="I13" s="146"/>
      <c r="J13" s="145"/>
      <c r="K13" s="177"/>
      <c r="L13" s="133"/>
      <c r="M13" s="360"/>
      <c r="N13" s="361"/>
      <c r="O13" s="361"/>
      <c r="P13" s="362"/>
      <c r="Q13" s="134"/>
      <c r="R13" s="362"/>
      <c r="S13" s="362"/>
      <c r="T13" s="362"/>
      <c r="U13" s="363"/>
      <c r="V13" s="364"/>
      <c r="W13" s="363"/>
      <c r="X13" s="362"/>
      <c r="Y13" s="132"/>
      <c r="Z13" s="132"/>
      <c r="AA13" s="132"/>
      <c r="AB13" s="134"/>
    </row>
    <row r="14" spans="1:28" ht="13" x14ac:dyDescent="0.25">
      <c r="A14" s="178"/>
      <c r="B14" s="180"/>
      <c r="C14" s="150" t="s">
        <v>27</v>
      </c>
      <c r="D14" s="180"/>
      <c r="E14" s="181"/>
      <c r="F14" s="182"/>
      <c r="G14" s="183"/>
      <c r="H14" s="184"/>
      <c r="I14" s="185"/>
      <c r="J14" s="183"/>
      <c r="K14" s="177"/>
      <c r="L14" s="133"/>
      <c r="M14" s="181"/>
      <c r="N14" s="227"/>
      <c r="O14" s="227"/>
      <c r="P14" s="362"/>
      <c r="Q14" s="134"/>
      <c r="R14" s="226"/>
      <c r="S14" s="226"/>
      <c r="T14" s="357"/>
      <c r="U14" s="363"/>
      <c r="V14" s="364"/>
      <c r="W14" s="363"/>
      <c r="X14" s="357"/>
      <c r="Y14" s="132"/>
      <c r="Z14" s="132"/>
      <c r="AA14" s="132"/>
      <c r="AB14" s="134"/>
    </row>
    <row r="15" spans="1:28" ht="13" x14ac:dyDescent="0.25">
      <c r="A15" s="178"/>
      <c r="B15" s="180"/>
      <c r="C15" s="179"/>
      <c r="D15" s="180"/>
      <c r="E15" s="153" t="s">
        <v>78</v>
      </c>
      <c r="F15" s="153" t="s">
        <v>78</v>
      </c>
      <c r="G15" s="153" t="s">
        <v>78</v>
      </c>
      <c r="H15" s="153" t="s">
        <v>78</v>
      </c>
      <c r="I15" s="153" t="s">
        <v>78</v>
      </c>
      <c r="J15" s="153" t="s">
        <v>78</v>
      </c>
      <c r="K15" s="177"/>
      <c r="L15" s="133"/>
      <c r="M15" s="187" t="s">
        <v>76</v>
      </c>
      <c r="N15" s="187" t="s">
        <v>76</v>
      </c>
      <c r="O15" s="187" t="s">
        <v>76</v>
      </c>
      <c r="P15" s="186"/>
      <c r="Q15" s="134"/>
      <c r="R15" s="187" t="s">
        <v>76</v>
      </c>
      <c r="S15" s="187" t="s">
        <v>76</v>
      </c>
      <c r="T15" s="357" t="s">
        <v>87</v>
      </c>
      <c r="U15" s="363"/>
      <c r="V15" s="186"/>
      <c r="W15" s="363"/>
      <c r="X15" s="357" t="s">
        <v>87</v>
      </c>
      <c r="Y15" s="132"/>
      <c r="Z15" s="189"/>
      <c r="AA15" s="132"/>
      <c r="AB15" s="134"/>
    </row>
    <row r="16" spans="1:28" ht="13" x14ac:dyDescent="0.25">
      <c r="A16" s="154">
        <f>'Plant &amp; Reserve'!A16</f>
        <v>37402</v>
      </c>
      <c r="B16" s="180"/>
      <c r="C16" s="179" t="str">
        <f>'Plant &amp; Reserve'!C16</f>
        <v>Land Rights</v>
      </c>
      <c r="D16" s="180"/>
      <c r="E16" s="181" t="s">
        <v>652</v>
      </c>
      <c r="F16" s="188">
        <v>75</v>
      </c>
      <c r="G16" s="186">
        <v>59.86</v>
      </c>
      <c r="H16" s="188">
        <v>0</v>
      </c>
      <c r="I16" s="191">
        <v>21.7</v>
      </c>
      <c r="J16" s="230">
        <v>1.2999999999999999E-2</v>
      </c>
      <c r="K16" s="177"/>
      <c r="L16" s="133"/>
      <c r="M16" s="181" t="s">
        <v>652</v>
      </c>
      <c r="N16" s="181">
        <v>75</v>
      </c>
      <c r="O16" s="188">
        <v>0</v>
      </c>
      <c r="P16" s="189">
        <f t="shared" ref="P16:P31" si="0">(1-O16/100)/N16*100</f>
        <v>1.3333333333333335</v>
      </c>
      <c r="Q16" s="134"/>
      <c r="R16" s="186">
        <f>'Avg Age'!F73</f>
        <v>18.1389951861436</v>
      </c>
      <c r="S16" s="358">
        <f>'Rate Computation'!M21</f>
        <v>56.861004813856397</v>
      </c>
      <c r="T16" s="358">
        <f t="shared" ref="T16:T31" si="1">IF(S16&gt;20,ROUND(S16,0),S16)</f>
        <v>57</v>
      </c>
      <c r="U16" s="190">
        <v>0</v>
      </c>
      <c r="V16" s="186">
        <f>ROUND('Plant &amp; Reserve'!G16,2)</f>
        <v>25.32</v>
      </c>
      <c r="W16" s="231">
        <f>IF(S16=0,0,ROUND((100-U16-V16)/S16,1))/100</f>
        <v>1.3000000000000001E-2</v>
      </c>
      <c r="X16" s="231">
        <f t="shared" ref="X16:X67" si="2">W16</f>
        <v>1.3000000000000001E-2</v>
      </c>
      <c r="Y16" s="239"/>
      <c r="Z16" s="230">
        <f>X16-J16</f>
        <v>0</v>
      </c>
      <c r="AA16" s="132"/>
      <c r="AB16" s="178" t="s">
        <v>58</v>
      </c>
    </row>
    <row r="17" spans="1:28" ht="13" x14ac:dyDescent="0.25">
      <c r="A17" s="154">
        <f>'Plant &amp; Reserve'!A17</f>
        <v>37500</v>
      </c>
      <c r="B17" s="180"/>
      <c r="C17" s="179" t="str">
        <f>'Plant &amp; Reserve'!C17</f>
        <v>Structures &amp; Improvements</v>
      </c>
      <c r="D17" s="180"/>
      <c r="E17" s="181" t="s">
        <v>1254</v>
      </c>
      <c r="F17" s="188">
        <v>33</v>
      </c>
      <c r="G17" s="186">
        <v>25.9</v>
      </c>
      <c r="H17" s="188">
        <v>0</v>
      </c>
      <c r="I17" s="191">
        <v>27.1</v>
      </c>
      <c r="J17" s="230">
        <v>2.8000000000000001E-2</v>
      </c>
      <c r="K17" s="177"/>
      <c r="L17" s="133"/>
      <c r="M17" s="181" t="s">
        <v>1254</v>
      </c>
      <c r="N17" s="181">
        <v>33</v>
      </c>
      <c r="O17" s="188">
        <v>0</v>
      </c>
      <c r="P17" s="189">
        <f t="shared" si="0"/>
        <v>3.0303030303030303</v>
      </c>
      <c r="Q17" s="134"/>
      <c r="R17" s="186">
        <f>'Avg Age'!F127</f>
        <v>14.17408769674835</v>
      </c>
      <c r="S17" s="186">
        <f>'Rate Computation'!M22</f>
        <v>26.1164740929384</v>
      </c>
      <c r="T17" s="186">
        <f t="shared" si="1"/>
        <v>26</v>
      </c>
      <c r="U17" s="190">
        <v>0</v>
      </c>
      <c r="V17" s="186">
        <f>ROUND('Plant &amp; Reserve'!G17,2)</f>
        <v>26.66</v>
      </c>
      <c r="W17" s="231">
        <f t="shared" ref="W17:W30" si="3">IF(S17=0,0,ROUND((100-U17-V17)/S17,1))/100</f>
        <v>2.7999999999999997E-2</v>
      </c>
      <c r="X17" s="231">
        <f t="shared" si="2"/>
        <v>2.7999999999999997E-2</v>
      </c>
      <c r="Y17" s="239"/>
      <c r="Z17" s="230">
        <f t="shared" ref="Z17:Z31" si="4">X17-J17</f>
        <v>0</v>
      </c>
      <c r="AA17" s="132"/>
      <c r="AB17" s="178" t="s">
        <v>58</v>
      </c>
    </row>
    <row r="18" spans="1:28" ht="13" x14ac:dyDescent="0.25">
      <c r="A18" s="154">
        <f>'Plant &amp; Reserve'!A18</f>
        <v>37600</v>
      </c>
      <c r="B18" s="180"/>
      <c r="C18" s="179" t="str">
        <f>'Plant &amp; Reserve'!C18</f>
        <v>Mains Steel</v>
      </c>
      <c r="D18" s="180"/>
      <c r="E18" s="181" t="s">
        <v>702</v>
      </c>
      <c r="F18" s="188">
        <v>65</v>
      </c>
      <c r="G18" s="186">
        <v>53.2</v>
      </c>
      <c r="H18" s="188">
        <v>-50</v>
      </c>
      <c r="I18" s="191">
        <v>37.5</v>
      </c>
      <c r="J18" s="230">
        <v>2.1000000000000001E-2</v>
      </c>
      <c r="K18" s="177"/>
      <c r="L18" s="133"/>
      <c r="M18" s="181" t="s">
        <v>702</v>
      </c>
      <c r="N18" s="181">
        <v>65</v>
      </c>
      <c r="O18" s="188">
        <v>-60</v>
      </c>
      <c r="P18" s="189">
        <f t="shared" si="0"/>
        <v>2.4615384615384617</v>
      </c>
      <c r="Q18" s="134"/>
      <c r="R18" s="186">
        <f>'Avg Age'!F200</f>
        <v>12.68432396397208</v>
      </c>
      <c r="S18" s="359">
        <f>'Rate Computation'!M23</f>
        <v>55.234840721733569</v>
      </c>
      <c r="T18" s="359">
        <f t="shared" si="1"/>
        <v>55</v>
      </c>
      <c r="U18" s="190">
        <v>-60</v>
      </c>
      <c r="V18" s="186">
        <f>ROUND('Plant &amp; Reserve'!G18,2)</f>
        <v>28.49</v>
      </c>
      <c r="W18" s="231">
        <f t="shared" si="3"/>
        <v>2.4E-2</v>
      </c>
      <c r="X18" s="231">
        <f t="shared" si="2"/>
        <v>2.4E-2</v>
      </c>
      <c r="Y18" s="239"/>
      <c r="Z18" s="230">
        <f t="shared" si="4"/>
        <v>2.9999999999999992E-3</v>
      </c>
      <c r="AA18" s="132"/>
      <c r="AB18" s="178" t="s">
        <v>58</v>
      </c>
    </row>
    <row r="19" spans="1:28" ht="13" x14ac:dyDescent="0.25">
      <c r="A19" s="154">
        <f>'Plant &amp; Reserve'!A19</f>
        <v>37602</v>
      </c>
      <c r="B19" s="180"/>
      <c r="C19" s="251" t="str">
        <f>'Plant &amp; Reserve'!C19</f>
        <v>Mains Plastic</v>
      </c>
      <c r="D19" s="251"/>
      <c r="E19" s="181" t="s">
        <v>26</v>
      </c>
      <c r="F19" s="188">
        <v>75</v>
      </c>
      <c r="G19" s="186">
        <v>65.7</v>
      </c>
      <c r="H19" s="188">
        <v>-33</v>
      </c>
      <c r="I19" s="191">
        <v>30</v>
      </c>
      <c r="J19" s="230">
        <v>1.6E-2</v>
      </c>
      <c r="K19" s="177"/>
      <c r="L19" s="133"/>
      <c r="M19" s="181" t="s">
        <v>26</v>
      </c>
      <c r="N19" s="181">
        <v>75</v>
      </c>
      <c r="O19" s="188">
        <v>-40</v>
      </c>
      <c r="P19" s="189">
        <f t="shared" si="0"/>
        <v>1.8666666666666665</v>
      </c>
      <c r="Q19" s="134"/>
      <c r="R19" s="186">
        <f>'Avg Age'!F239</f>
        <v>9.1340366633156744</v>
      </c>
      <c r="S19" s="186">
        <f>'Rate Computation'!M24</f>
        <v>67.039532878491158</v>
      </c>
      <c r="T19" s="186">
        <f t="shared" si="1"/>
        <v>67</v>
      </c>
      <c r="U19" s="190">
        <v>-40</v>
      </c>
      <c r="V19" s="186">
        <f>ROUND('Plant &amp; Reserve'!G19,2)</f>
        <v>20.38</v>
      </c>
      <c r="W19" s="231">
        <f t="shared" si="3"/>
        <v>1.8000000000000002E-2</v>
      </c>
      <c r="X19" s="231">
        <f t="shared" si="2"/>
        <v>1.8000000000000002E-2</v>
      </c>
      <c r="Y19" s="239"/>
      <c r="Z19" s="230">
        <f t="shared" si="4"/>
        <v>2.0000000000000018E-3</v>
      </c>
      <c r="AA19" s="132"/>
      <c r="AB19" s="178" t="s">
        <v>58</v>
      </c>
    </row>
    <row r="20" spans="1:28" ht="13" x14ac:dyDescent="0.25">
      <c r="A20" s="154">
        <v>37700</v>
      </c>
      <c r="B20" s="180"/>
      <c r="C20" s="251" t="s">
        <v>1251</v>
      </c>
      <c r="D20" s="251"/>
      <c r="E20" s="181" t="s">
        <v>26</v>
      </c>
      <c r="F20" s="188">
        <v>35</v>
      </c>
      <c r="G20" s="186">
        <v>35</v>
      </c>
      <c r="H20" s="188">
        <v>-5</v>
      </c>
      <c r="I20" s="191">
        <v>0</v>
      </c>
      <c r="J20" s="230">
        <v>0.03</v>
      </c>
      <c r="K20" s="177"/>
      <c r="L20" s="133"/>
      <c r="M20" s="181" t="s">
        <v>26</v>
      </c>
      <c r="N20" s="181">
        <v>35</v>
      </c>
      <c r="O20" s="188">
        <v>-5</v>
      </c>
      <c r="P20" s="189">
        <f t="shared" si="0"/>
        <v>3.0000000000000004</v>
      </c>
      <c r="Q20" s="134"/>
      <c r="R20" s="186">
        <f>'Avg Age'!F242</f>
        <v>2.4950305493510889</v>
      </c>
      <c r="S20" s="186">
        <f>+'Rate Computation'!M25</f>
        <v>32.760092260691827</v>
      </c>
      <c r="T20" s="186">
        <f t="shared" si="1"/>
        <v>33</v>
      </c>
      <c r="U20" s="190">
        <v>-5</v>
      </c>
      <c r="V20" s="186">
        <f>ROUND('Plant &amp; Reserve'!G20,2)</f>
        <v>6.88</v>
      </c>
      <c r="W20" s="231">
        <f t="shared" ref="W20" si="5">IF(S20=0,0,ROUND((100-U20-V20)/S20,1))/100</f>
        <v>0.03</v>
      </c>
      <c r="X20" s="231">
        <f t="shared" ref="X20" si="6">W20</f>
        <v>0.03</v>
      </c>
      <c r="Y20" s="239"/>
      <c r="Z20" s="230">
        <f t="shared" ref="Z20" si="7">X20-J20</f>
        <v>0</v>
      </c>
      <c r="AA20" s="132"/>
      <c r="AB20" s="178" t="s">
        <v>58</v>
      </c>
    </row>
    <row r="21" spans="1:28" ht="13.5" customHeight="1" x14ac:dyDescent="0.25">
      <c r="A21" s="154">
        <f>'Plant &amp; Reserve'!A21</f>
        <v>37800</v>
      </c>
      <c r="B21" s="180"/>
      <c r="C21" s="251" t="str">
        <f>'Plant &amp; Reserve'!C21</f>
        <v>Meas &amp; Reg Station Eqp Gen</v>
      </c>
      <c r="D21" s="251"/>
      <c r="E21" s="181" t="s">
        <v>702</v>
      </c>
      <c r="F21" s="188">
        <v>40</v>
      </c>
      <c r="G21" s="186">
        <v>32.1</v>
      </c>
      <c r="H21" s="188">
        <v>-10</v>
      </c>
      <c r="I21" s="191">
        <v>22.9</v>
      </c>
      <c r="J21" s="230">
        <v>2.7E-2</v>
      </c>
      <c r="K21" s="177"/>
      <c r="L21" s="133"/>
      <c r="M21" s="181" t="s">
        <v>702</v>
      </c>
      <c r="N21" s="181">
        <v>40</v>
      </c>
      <c r="O21" s="188">
        <v>-20</v>
      </c>
      <c r="P21" s="189">
        <f t="shared" si="0"/>
        <v>3</v>
      </c>
      <c r="Q21" s="134"/>
      <c r="R21" s="186">
        <f>'Avg Age'!F308</f>
        <v>11.49034858089485</v>
      </c>
      <c r="S21" s="186">
        <f>'Rate Computation'!M26</f>
        <v>31.211242123723302</v>
      </c>
      <c r="T21" s="186">
        <f t="shared" si="1"/>
        <v>31</v>
      </c>
      <c r="U21" s="190">
        <v>-20</v>
      </c>
      <c r="V21" s="186">
        <f>ROUND('Plant &amp; Reserve'!G21,2)</f>
        <v>26.24</v>
      </c>
      <c r="W21" s="231">
        <f t="shared" si="3"/>
        <v>0.03</v>
      </c>
      <c r="X21" s="231">
        <f t="shared" si="2"/>
        <v>0.03</v>
      </c>
      <c r="Y21" s="239"/>
      <c r="Z21" s="230">
        <f t="shared" si="4"/>
        <v>2.9999999999999992E-3</v>
      </c>
      <c r="AA21" s="132"/>
      <c r="AB21" s="178" t="s">
        <v>58</v>
      </c>
    </row>
    <row r="22" spans="1:28" ht="13" x14ac:dyDescent="0.25">
      <c r="A22" s="154">
        <f>'Plant &amp; Reserve'!A22</f>
        <v>37900</v>
      </c>
      <c r="B22" s="180"/>
      <c r="C22" s="251" t="str">
        <f>'Plant &amp; Reserve'!C22</f>
        <v>Meas &amp; Reg Station Eqp City</v>
      </c>
      <c r="D22" s="251"/>
      <c r="E22" s="181" t="s">
        <v>701</v>
      </c>
      <c r="F22" s="188">
        <v>50</v>
      </c>
      <c r="G22" s="186">
        <v>45.5</v>
      </c>
      <c r="H22" s="188">
        <v>-10</v>
      </c>
      <c r="I22" s="191">
        <v>13.3</v>
      </c>
      <c r="J22" s="230">
        <v>2.1000000000000001E-2</v>
      </c>
      <c r="K22" s="177"/>
      <c r="L22" s="133"/>
      <c r="M22" s="181" t="s">
        <v>26</v>
      </c>
      <c r="N22" s="181">
        <v>52</v>
      </c>
      <c r="O22" s="188">
        <v>-20</v>
      </c>
      <c r="P22" s="189">
        <f t="shared" si="0"/>
        <v>2.3076923076923075</v>
      </c>
      <c r="Q22" s="134"/>
      <c r="R22" s="186">
        <f>'Avg Age'!F341</f>
        <v>6.5135247931910847</v>
      </c>
      <c r="S22" s="186">
        <f>'Rate Computation'!M27</f>
        <v>46.317516811955663</v>
      </c>
      <c r="T22" s="186">
        <f t="shared" si="1"/>
        <v>46</v>
      </c>
      <c r="U22" s="190">
        <v>-20</v>
      </c>
      <c r="V22" s="186">
        <f>ROUND('Plant &amp; Reserve'!G22,2)</f>
        <v>15.97</v>
      </c>
      <c r="W22" s="231">
        <f>IF(S22=0,0,ROUND((100-U22-V22)/S22-0.01,1))/100</f>
        <v>2.2000000000000002E-2</v>
      </c>
      <c r="X22" s="231">
        <f t="shared" si="2"/>
        <v>2.2000000000000002E-2</v>
      </c>
      <c r="Y22" s="239"/>
      <c r="Z22" s="230">
        <f t="shared" si="4"/>
        <v>1.0000000000000009E-3</v>
      </c>
      <c r="AA22" s="132"/>
      <c r="AB22" s="178" t="s">
        <v>58</v>
      </c>
    </row>
    <row r="23" spans="1:28" ht="13" x14ac:dyDescent="0.25">
      <c r="A23" s="154">
        <f>'Plant &amp; Reserve'!A23</f>
        <v>38000</v>
      </c>
      <c r="B23" s="180"/>
      <c r="C23" s="251" t="str">
        <f>'Plant &amp; Reserve'!C23</f>
        <v>Services Steel</v>
      </c>
      <c r="D23" s="251"/>
      <c r="E23" s="181" t="s">
        <v>704</v>
      </c>
      <c r="F23" s="188">
        <v>52</v>
      </c>
      <c r="G23" s="186">
        <v>38.299999999999997</v>
      </c>
      <c r="H23" s="188">
        <v>-125</v>
      </c>
      <c r="I23" s="191">
        <v>72</v>
      </c>
      <c r="J23" s="230">
        <v>0.04</v>
      </c>
      <c r="K23" s="177"/>
      <c r="L23" s="133"/>
      <c r="M23" s="181" t="s">
        <v>704</v>
      </c>
      <c r="N23" s="181">
        <v>52</v>
      </c>
      <c r="O23" s="188">
        <v>-130</v>
      </c>
      <c r="P23" s="189">
        <f t="shared" si="0"/>
        <v>4.4230769230769225</v>
      </c>
      <c r="Q23" s="134"/>
      <c r="R23" s="186">
        <f>'Avg Age'!F434</f>
        <v>21.680213631118121</v>
      </c>
      <c r="S23" s="186">
        <f>'Rate Computation'!M28</f>
        <v>39.320137264024254</v>
      </c>
      <c r="T23" s="186">
        <f t="shared" si="1"/>
        <v>39</v>
      </c>
      <c r="U23" s="190">
        <v>-130</v>
      </c>
      <c r="V23" s="186">
        <f>ROUND('Plant &amp; Reserve'!G23,2)</f>
        <v>60.94</v>
      </c>
      <c r="W23" s="231">
        <f t="shared" si="3"/>
        <v>4.2999999999999997E-2</v>
      </c>
      <c r="X23" s="231">
        <f t="shared" si="2"/>
        <v>4.2999999999999997E-2</v>
      </c>
      <c r="Y23" s="239"/>
      <c r="Z23" s="230">
        <f t="shared" si="4"/>
        <v>2.9999999999999957E-3</v>
      </c>
      <c r="AA23" s="132"/>
      <c r="AB23" s="178" t="s">
        <v>58</v>
      </c>
    </row>
    <row r="24" spans="1:28" ht="13" x14ac:dyDescent="0.25">
      <c r="A24" s="154">
        <f>'Plant &amp; Reserve'!A24</f>
        <v>38002</v>
      </c>
      <c r="B24" s="180"/>
      <c r="C24" s="251" t="str">
        <f>'Plant &amp; Reserve'!C24</f>
        <v>Services Plastic</v>
      </c>
      <c r="D24" s="251"/>
      <c r="E24" s="181" t="s">
        <v>702</v>
      </c>
      <c r="F24" s="188">
        <v>55</v>
      </c>
      <c r="G24" s="186">
        <v>46</v>
      </c>
      <c r="H24" s="188">
        <v>-68</v>
      </c>
      <c r="I24" s="191">
        <v>44.8</v>
      </c>
      <c r="J24" s="230">
        <v>2.7E-2</v>
      </c>
      <c r="K24" s="177"/>
      <c r="L24" s="133"/>
      <c r="M24" s="181" t="s">
        <v>701</v>
      </c>
      <c r="N24" s="181">
        <v>55</v>
      </c>
      <c r="O24" s="188">
        <v>-75</v>
      </c>
      <c r="P24" s="189">
        <f t="shared" si="0"/>
        <v>3.1818181818181817</v>
      </c>
      <c r="Q24" s="134"/>
      <c r="R24" s="186">
        <f>'Avg Age'!F478</f>
        <v>9.9026784655882878</v>
      </c>
      <c r="S24" s="186">
        <f>'Rate Computation'!M29</f>
        <v>46.094449152257631</v>
      </c>
      <c r="T24" s="186">
        <f t="shared" si="1"/>
        <v>46</v>
      </c>
      <c r="U24" s="190">
        <v>-75</v>
      </c>
      <c r="V24" s="186">
        <f>ROUND('Plant &amp; Reserve'!G24,2)</f>
        <v>33.299999999999997</v>
      </c>
      <c r="W24" s="231">
        <f t="shared" si="3"/>
        <v>3.1E-2</v>
      </c>
      <c r="X24" s="231">
        <f t="shared" si="2"/>
        <v>3.1E-2</v>
      </c>
      <c r="Y24" s="239"/>
      <c r="Z24" s="230">
        <f t="shared" si="4"/>
        <v>4.0000000000000001E-3</v>
      </c>
      <c r="AA24" s="132"/>
      <c r="AB24" s="178" t="s">
        <v>58</v>
      </c>
    </row>
    <row r="25" spans="1:28" ht="13" x14ac:dyDescent="0.25">
      <c r="A25" s="154">
        <f>'Plant &amp; Reserve'!A25</f>
        <v>38100</v>
      </c>
      <c r="B25" s="180"/>
      <c r="C25" s="251" t="str">
        <f>'Plant &amp; Reserve'!C25</f>
        <v>Meters</v>
      </c>
      <c r="D25" s="251"/>
      <c r="E25" s="181" t="s">
        <v>26</v>
      </c>
      <c r="F25" s="188">
        <v>19</v>
      </c>
      <c r="G25" s="186">
        <v>11.7</v>
      </c>
      <c r="H25" s="188">
        <v>3</v>
      </c>
      <c r="I25" s="191">
        <v>37.799999999999997</v>
      </c>
      <c r="J25" s="230">
        <v>0.05</v>
      </c>
      <c r="K25" s="177"/>
      <c r="L25" s="133"/>
      <c r="M25" s="181" t="s">
        <v>26</v>
      </c>
      <c r="N25" s="181">
        <v>20</v>
      </c>
      <c r="O25" s="188">
        <v>0</v>
      </c>
      <c r="P25" s="189">
        <f t="shared" si="0"/>
        <v>5</v>
      </c>
      <c r="Q25" s="134"/>
      <c r="R25" s="186">
        <f>'Avg Age'!F503</f>
        <v>9.7795580343351229</v>
      </c>
      <c r="S25" s="186">
        <f>'Rate Computation'!M30</f>
        <v>12.361035694693776</v>
      </c>
      <c r="T25" s="186">
        <f t="shared" si="1"/>
        <v>12.361035694693776</v>
      </c>
      <c r="U25" s="190">
        <v>0</v>
      </c>
      <c r="V25" s="186">
        <f>ROUND('Plant &amp; Reserve'!G25,2)</f>
        <v>41.38</v>
      </c>
      <c r="W25" s="231">
        <f t="shared" si="3"/>
        <v>4.7E-2</v>
      </c>
      <c r="X25" s="231">
        <f t="shared" si="2"/>
        <v>4.7E-2</v>
      </c>
      <c r="Y25" s="239"/>
      <c r="Z25" s="230">
        <f t="shared" si="4"/>
        <v>-3.0000000000000027E-3</v>
      </c>
      <c r="AA25" s="132"/>
      <c r="AB25" s="178" t="s">
        <v>58</v>
      </c>
    </row>
    <row r="26" spans="1:28" ht="13" x14ac:dyDescent="0.25">
      <c r="A26" s="154">
        <f>'Plant &amp; Reserve'!A26</f>
        <v>38200</v>
      </c>
      <c r="B26" s="180"/>
      <c r="C26" s="251" t="str">
        <f>'Plant &amp; Reserve'!C26</f>
        <v>Meter Installations</v>
      </c>
      <c r="D26" s="251"/>
      <c r="E26" s="181" t="s">
        <v>52</v>
      </c>
      <c r="F26" s="188">
        <v>44</v>
      </c>
      <c r="G26" s="186">
        <v>35.6</v>
      </c>
      <c r="H26" s="188">
        <v>-25</v>
      </c>
      <c r="I26" s="191">
        <v>46.2</v>
      </c>
      <c r="J26" s="230">
        <v>2.1999999999999999E-2</v>
      </c>
      <c r="K26" s="177"/>
      <c r="L26" s="133"/>
      <c r="M26" s="181" t="s">
        <v>702</v>
      </c>
      <c r="N26" s="181">
        <v>45</v>
      </c>
      <c r="O26" s="188">
        <v>-30</v>
      </c>
      <c r="P26" s="189">
        <f t="shared" si="0"/>
        <v>2.8888888888888893</v>
      </c>
      <c r="Q26" s="134"/>
      <c r="R26" s="186">
        <f>'Avg Age'!F550</f>
        <v>10.49302194356558</v>
      </c>
      <c r="S26" s="186">
        <f>'Rate Computation'!M31</f>
        <v>36.949157945704926</v>
      </c>
      <c r="T26" s="186">
        <f t="shared" si="1"/>
        <v>37</v>
      </c>
      <c r="U26" s="190">
        <v>-30</v>
      </c>
      <c r="V26" s="186">
        <f>ROUND('Plant &amp; Reserve'!G26,2)</f>
        <v>33.15</v>
      </c>
      <c r="W26" s="231">
        <f t="shared" si="3"/>
        <v>2.6000000000000002E-2</v>
      </c>
      <c r="X26" s="231">
        <f t="shared" si="2"/>
        <v>2.6000000000000002E-2</v>
      </c>
      <c r="Y26" s="239"/>
      <c r="Z26" s="230">
        <f t="shared" si="4"/>
        <v>4.0000000000000036E-3</v>
      </c>
      <c r="AA26" s="132"/>
      <c r="AB26" s="178" t="s">
        <v>58</v>
      </c>
    </row>
    <row r="27" spans="1:28" ht="13" x14ac:dyDescent="0.25">
      <c r="A27" s="154">
        <f>'Plant &amp; Reserve'!A27</f>
        <v>38300</v>
      </c>
      <c r="B27" s="180"/>
      <c r="C27" s="251" t="str">
        <f>'Plant &amp; Reserve'!C27</f>
        <v>House Regulators</v>
      </c>
      <c r="D27" s="251"/>
      <c r="E27" s="181" t="s">
        <v>53</v>
      </c>
      <c r="F27" s="188">
        <v>42</v>
      </c>
      <c r="G27" s="186">
        <v>28.9</v>
      </c>
      <c r="H27" s="188">
        <v>0</v>
      </c>
      <c r="I27" s="191">
        <v>47.7</v>
      </c>
      <c r="J27" s="230">
        <v>1.7999999999999999E-2</v>
      </c>
      <c r="K27" s="177"/>
      <c r="L27" s="133"/>
      <c r="M27" s="181" t="s">
        <v>1260</v>
      </c>
      <c r="N27" s="181">
        <v>42</v>
      </c>
      <c r="O27" s="188">
        <v>0</v>
      </c>
      <c r="P27" s="189">
        <f t="shared" si="0"/>
        <v>2.3809523809523809</v>
      </c>
      <c r="Q27" s="134"/>
      <c r="R27" s="186">
        <f>'Avg Age'!F602</f>
        <v>16.242690463418732</v>
      </c>
      <c r="S27" s="186">
        <f>'Rate Computation'!M32</f>
        <v>28.224161583133867</v>
      </c>
      <c r="T27" s="186">
        <f t="shared" si="1"/>
        <v>28</v>
      </c>
      <c r="U27" s="190">
        <v>0</v>
      </c>
      <c r="V27" s="186">
        <f>ROUND('Plant &amp; Reserve'!G27,2)</f>
        <v>42.44</v>
      </c>
      <c r="W27" s="231">
        <f t="shared" si="3"/>
        <v>0.02</v>
      </c>
      <c r="X27" s="231">
        <f t="shared" si="2"/>
        <v>0.02</v>
      </c>
      <c r="Y27" s="239"/>
      <c r="Z27" s="230">
        <f t="shared" si="4"/>
        <v>2.0000000000000018E-3</v>
      </c>
      <c r="AA27" s="132"/>
      <c r="AB27" s="178" t="s">
        <v>58</v>
      </c>
    </row>
    <row r="28" spans="1:28" ht="13" x14ac:dyDescent="0.25">
      <c r="A28" s="154">
        <f>'Plant &amp; Reserve'!A28</f>
        <v>38400</v>
      </c>
      <c r="B28" s="180"/>
      <c r="C28" s="251" t="str">
        <f>'Plant &amp; Reserve'!C28</f>
        <v>House Regulator Installs</v>
      </c>
      <c r="D28" s="251"/>
      <c r="E28" s="181" t="s">
        <v>52</v>
      </c>
      <c r="F28" s="188">
        <v>47</v>
      </c>
      <c r="G28" s="186">
        <v>37.299999999999997</v>
      </c>
      <c r="H28" s="188">
        <v>-25</v>
      </c>
      <c r="I28" s="191">
        <v>55.7</v>
      </c>
      <c r="J28" s="230">
        <v>1.9E-2</v>
      </c>
      <c r="K28" s="177"/>
      <c r="L28" s="133"/>
      <c r="M28" s="181" t="s">
        <v>702</v>
      </c>
      <c r="N28" s="181">
        <v>47</v>
      </c>
      <c r="O28" s="188">
        <v>-30</v>
      </c>
      <c r="P28" s="189">
        <f t="shared" si="0"/>
        <v>2.7659574468085109</v>
      </c>
      <c r="Q28" s="134"/>
      <c r="R28" s="186">
        <f>'Avg Age'!F667</f>
        <v>11.860666035680413</v>
      </c>
      <c r="S28" s="186">
        <f>'Rate Computation'!M33</f>
        <v>37.904258814550687</v>
      </c>
      <c r="T28" s="186">
        <f t="shared" si="1"/>
        <v>38</v>
      </c>
      <c r="U28" s="190">
        <v>-30</v>
      </c>
      <c r="V28" s="186">
        <f>ROUND('Plant &amp; Reserve'!G28,2)</f>
        <v>38.130000000000003</v>
      </c>
      <c r="W28" s="231">
        <f t="shared" si="3"/>
        <v>2.4E-2</v>
      </c>
      <c r="X28" s="231">
        <f t="shared" si="2"/>
        <v>2.4E-2</v>
      </c>
      <c r="Y28" s="239"/>
      <c r="Z28" s="230">
        <f t="shared" si="4"/>
        <v>5.000000000000001E-3</v>
      </c>
      <c r="AA28" s="132"/>
      <c r="AB28" s="178" t="s">
        <v>58</v>
      </c>
    </row>
    <row r="29" spans="1:28" ht="13" x14ac:dyDescent="0.25">
      <c r="A29" s="154">
        <f>'Plant &amp; Reserve'!A29</f>
        <v>38500</v>
      </c>
      <c r="B29" s="180"/>
      <c r="C29" s="179" t="str">
        <f>'Plant &amp; Reserve'!C29</f>
        <v>Meas &amp; Reg Station Eqp Ind</v>
      </c>
      <c r="D29" s="180"/>
      <c r="E29" s="181" t="s">
        <v>25</v>
      </c>
      <c r="F29" s="188">
        <v>37</v>
      </c>
      <c r="G29" s="186">
        <v>20</v>
      </c>
      <c r="H29" s="188">
        <v>-2</v>
      </c>
      <c r="I29" s="191">
        <v>56.9</v>
      </c>
      <c r="J29" s="230">
        <v>2.3E-2</v>
      </c>
      <c r="K29" s="177"/>
      <c r="L29" s="133"/>
      <c r="M29" s="181" t="s">
        <v>701</v>
      </c>
      <c r="N29" s="181">
        <v>39</v>
      </c>
      <c r="O29" s="188">
        <v>0</v>
      </c>
      <c r="P29" s="189">
        <f t="shared" si="0"/>
        <v>2.5641025641025639</v>
      </c>
      <c r="Q29" s="134"/>
      <c r="R29" s="186">
        <f>'Avg Age'!F715</f>
        <v>17.674219180274861</v>
      </c>
      <c r="S29" s="186">
        <f>'Rate Computation'!M34</f>
        <v>24.262388357540377</v>
      </c>
      <c r="T29" s="186">
        <f t="shared" si="1"/>
        <v>24</v>
      </c>
      <c r="U29" s="190">
        <v>0</v>
      </c>
      <c r="V29" s="186">
        <f>ROUND('Plant &amp; Reserve'!G29,2)</f>
        <v>45.91</v>
      </c>
      <c r="W29" s="231">
        <f t="shared" si="3"/>
        <v>2.2000000000000002E-2</v>
      </c>
      <c r="X29" s="231">
        <f t="shared" si="2"/>
        <v>2.2000000000000002E-2</v>
      </c>
      <c r="Y29" s="239"/>
      <c r="Z29" s="230">
        <f t="shared" si="4"/>
        <v>-9.9999999999999742E-4</v>
      </c>
      <c r="AA29" s="132"/>
      <c r="AB29" s="178" t="s">
        <v>58</v>
      </c>
    </row>
    <row r="30" spans="1:28" ht="13" x14ac:dyDescent="0.25">
      <c r="A30" s="154">
        <f>'Plant &amp; Reserve'!A30</f>
        <v>38600</v>
      </c>
      <c r="B30" s="180"/>
      <c r="C30" s="179" t="str">
        <f>'Plant &amp; Reserve'!C30</f>
        <v>Other Property Cust Premise</v>
      </c>
      <c r="D30" s="180"/>
      <c r="E30" s="181" t="s">
        <v>52</v>
      </c>
      <c r="F30" s="188">
        <v>15</v>
      </c>
      <c r="G30" s="186">
        <v>15</v>
      </c>
      <c r="H30" s="188">
        <v>0</v>
      </c>
      <c r="I30" s="191">
        <v>0</v>
      </c>
      <c r="J30" s="230">
        <v>6.7000000000000004E-2</v>
      </c>
      <c r="K30" s="177"/>
      <c r="L30" s="133"/>
      <c r="M30" s="181" t="s">
        <v>52</v>
      </c>
      <c r="N30" s="181">
        <v>15</v>
      </c>
      <c r="O30" s="188">
        <v>0</v>
      </c>
      <c r="P30" s="189">
        <f t="shared" si="0"/>
        <v>6.666666666666667</v>
      </c>
      <c r="Q30" s="134"/>
      <c r="R30" s="186"/>
      <c r="S30" s="186">
        <v>15</v>
      </c>
      <c r="T30" s="186">
        <f t="shared" si="1"/>
        <v>15</v>
      </c>
      <c r="U30" s="190">
        <v>0</v>
      </c>
      <c r="V30" s="186">
        <f>ROUND('Plant &amp; Reserve'!G30,2)</f>
        <v>0</v>
      </c>
      <c r="W30" s="231">
        <f t="shared" si="3"/>
        <v>6.7000000000000004E-2</v>
      </c>
      <c r="X30" s="231">
        <f t="shared" si="2"/>
        <v>6.7000000000000004E-2</v>
      </c>
      <c r="Y30" s="90"/>
      <c r="Z30" s="230">
        <f t="shared" si="4"/>
        <v>0</v>
      </c>
      <c r="AA30" s="132"/>
      <c r="AB30" s="178" t="s">
        <v>58</v>
      </c>
    </row>
    <row r="31" spans="1:28" ht="13" x14ac:dyDescent="0.25">
      <c r="A31" s="154">
        <f>'Plant &amp; Reserve'!A31</f>
        <v>38700</v>
      </c>
      <c r="B31" s="180"/>
      <c r="C31" s="179" t="str">
        <f>'Plant &amp; Reserve'!C31</f>
        <v>Other Equipment</v>
      </c>
      <c r="D31" s="180"/>
      <c r="E31" s="181" t="s">
        <v>706</v>
      </c>
      <c r="F31" s="188">
        <v>24</v>
      </c>
      <c r="G31" s="186">
        <v>17.100000000000001</v>
      </c>
      <c r="H31" s="188">
        <v>0</v>
      </c>
      <c r="I31" s="191">
        <v>48.3</v>
      </c>
      <c r="J31" s="230">
        <v>0.03</v>
      </c>
      <c r="K31" s="177"/>
      <c r="L31" s="133"/>
      <c r="M31" s="181" t="s">
        <v>1257</v>
      </c>
      <c r="N31" s="181">
        <v>27</v>
      </c>
      <c r="O31" s="188">
        <v>0</v>
      </c>
      <c r="P31" s="189">
        <f t="shared" si="0"/>
        <v>3.7037037037037033</v>
      </c>
      <c r="Q31" s="134"/>
      <c r="R31" s="186">
        <f>'Avg Age'!F759</f>
        <v>8.9952549330082565</v>
      </c>
      <c r="S31" s="186">
        <f>+'Rate Computation'!M35</f>
        <v>19.953017994548844</v>
      </c>
      <c r="T31" s="186">
        <f t="shared" si="1"/>
        <v>19.953017994548844</v>
      </c>
      <c r="U31" s="190">
        <v>0</v>
      </c>
      <c r="V31" s="186">
        <f>ROUND('Plant &amp; Reserve'!G31,2)</f>
        <v>39.56</v>
      </c>
      <c r="W31" s="231">
        <f>IF(S31=0,0,ROUND((100-U31-V31)/S31,1))/100</f>
        <v>0.03</v>
      </c>
      <c r="X31" s="231">
        <f t="shared" si="2"/>
        <v>0.03</v>
      </c>
      <c r="Y31" s="239"/>
      <c r="Z31" s="230">
        <f t="shared" si="4"/>
        <v>0</v>
      </c>
      <c r="AA31" s="132"/>
      <c r="AB31" s="178" t="s">
        <v>58</v>
      </c>
    </row>
    <row r="32" spans="1:28" x14ac:dyDescent="0.25">
      <c r="A32" s="154"/>
      <c r="B32" s="180"/>
      <c r="C32" s="179"/>
      <c r="D32" s="180"/>
      <c r="E32" s="181"/>
      <c r="F32" s="188"/>
      <c r="G32" s="186"/>
      <c r="H32" s="188"/>
      <c r="I32" s="191"/>
      <c r="J32" s="191"/>
      <c r="K32" s="191"/>
      <c r="L32" s="191"/>
      <c r="M32" s="181"/>
      <c r="N32" s="181"/>
      <c r="O32" s="188"/>
      <c r="P32" s="191"/>
      <c r="Q32" s="134"/>
      <c r="R32" s="186"/>
      <c r="S32" s="186"/>
      <c r="T32" s="186"/>
      <c r="U32" s="190"/>
      <c r="V32" s="186"/>
      <c r="W32" s="189"/>
      <c r="X32" s="189"/>
      <c r="Y32" s="132"/>
      <c r="Z32" s="189"/>
      <c r="AA32" s="132"/>
      <c r="AB32" s="178"/>
    </row>
    <row r="33" spans="1:28" x14ac:dyDescent="0.25">
      <c r="A33" s="179"/>
      <c r="B33" s="179"/>
      <c r="C33" s="179"/>
      <c r="D33" s="180"/>
      <c r="E33" s="181"/>
      <c r="F33" s="188"/>
      <c r="G33" s="186"/>
      <c r="H33" s="188"/>
      <c r="I33" s="191"/>
      <c r="J33" s="191"/>
      <c r="K33" s="191"/>
      <c r="L33" s="191"/>
      <c r="M33" s="181"/>
      <c r="N33" s="181"/>
      <c r="O33" s="188"/>
      <c r="P33" s="191"/>
      <c r="Q33" s="134"/>
      <c r="R33" s="186"/>
      <c r="S33" s="186"/>
      <c r="T33" s="186"/>
      <c r="U33" s="188"/>
      <c r="V33" s="186"/>
      <c r="W33" s="188"/>
      <c r="X33" s="188"/>
      <c r="Y33" s="132"/>
      <c r="Z33" s="189"/>
      <c r="AA33" s="132"/>
      <c r="AB33" s="178"/>
    </row>
    <row r="34" spans="1:28" x14ac:dyDescent="0.25">
      <c r="A34" s="134"/>
      <c r="B34" s="180"/>
      <c r="C34" s="179"/>
      <c r="D34" s="180"/>
      <c r="E34" s="181"/>
      <c r="F34" s="188"/>
      <c r="G34" s="186"/>
      <c r="H34" s="188"/>
      <c r="I34" s="191"/>
      <c r="J34" s="191"/>
      <c r="K34" s="191"/>
      <c r="L34" s="191"/>
      <c r="M34" s="181"/>
      <c r="N34" s="181"/>
      <c r="O34" s="188"/>
      <c r="P34" s="191"/>
      <c r="Q34" s="134"/>
      <c r="R34" s="186"/>
      <c r="S34" s="186"/>
      <c r="T34" s="186"/>
      <c r="U34" s="188"/>
      <c r="V34" s="186"/>
      <c r="W34" s="188"/>
      <c r="X34" s="188"/>
      <c r="Y34" s="132"/>
      <c r="Z34" s="189"/>
      <c r="AA34" s="132"/>
      <c r="AB34" s="178"/>
    </row>
    <row r="35" spans="1:28" ht="13" x14ac:dyDescent="0.25">
      <c r="A35" s="134"/>
      <c r="B35" s="180"/>
      <c r="C35" s="179"/>
      <c r="D35" s="180"/>
      <c r="E35" s="181"/>
      <c r="F35" s="188"/>
      <c r="G35" s="186"/>
      <c r="H35" s="188"/>
      <c r="I35" s="191"/>
      <c r="J35" s="191"/>
      <c r="K35" s="177"/>
      <c r="L35" s="133"/>
      <c r="M35" s="181"/>
      <c r="N35" s="181"/>
      <c r="O35" s="188"/>
      <c r="P35" s="191"/>
      <c r="Q35" s="134"/>
      <c r="R35" s="186"/>
      <c r="S35" s="186"/>
      <c r="T35" s="186"/>
      <c r="U35" s="188"/>
      <c r="V35" s="186"/>
      <c r="W35" s="188"/>
      <c r="X35" s="188"/>
      <c r="Y35" s="132"/>
      <c r="Z35" s="189"/>
      <c r="AA35" s="132"/>
      <c r="AB35" s="178"/>
    </row>
    <row r="36" spans="1:28" ht="13" x14ac:dyDescent="0.25">
      <c r="A36" s="134"/>
      <c r="B36" s="180"/>
      <c r="C36" s="150" t="s">
        <v>31</v>
      </c>
      <c r="D36" s="180"/>
      <c r="E36" s="181"/>
      <c r="F36" s="188"/>
      <c r="G36" s="186"/>
      <c r="H36" s="188"/>
      <c r="I36" s="191"/>
      <c r="J36" s="191"/>
      <c r="K36" s="177"/>
      <c r="L36" s="133"/>
      <c r="M36" s="181"/>
      <c r="N36" s="181"/>
      <c r="O36" s="188"/>
      <c r="P36" s="191"/>
      <c r="Q36" s="134"/>
      <c r="R36" s="186"/>
      <c r="S36" s="186"/>
      <c r="T36" s="186"/>
      <c r="U36" s="188"/>
      <c r="V36" s="186"/>
      <c r="W36" s="188"/>
      <c r="X36" s="188"/>
      <c r="Y36" s="132"/>
      <c r="Z36" s="189"/>
      <c r="AA36" s="132"/>
      <c r="AB36" s="178"/>
    </row>
    <row r="37" spans="1:28" ht="13" x14ac:dyDescent="0.25">
      <c r="A37" s="134"/>
      <c r="B37" s="180"/>
      <c r="C37" s="192"/>
      <c r="D37" s="180"/>
      <c r="E37" s="181"/>
      <c r="F37" s="188"/>
      <c r="G37" s="186"/>
      <c r="H37" s="188"/>
      <c r="I37" s="191"/>
      <c r="J37" s="191"/>
      <c r="K37" s="177"/>
      <c r="L37" s="133"/>
      <c r="M37" s="181"/>
      <c r="N37" s="181"/>
      <c r="O37" s="188"/>
      <c r="P37" s="191"/>
      <c r="Q37" s="134"/>
      <c r="R37" s="186"/>
      <c r="S37" s="186"/>
      <c r="T37" s="186"/>
      <c r="U37" s="188"/>
      <c r="V37" s="186"/>
      <c r="W37" s="188"/>
      <c r="X37" s="188"/>
      <c r="Y37" s="132"/>
      <c r="Z37" s="189"/>
      <c r="AA37" s="132"/>
      <c r="AB37" s="178"/>
    </row>
    <row r="38" spans="1:28" ht="13" x14ac:dyDescent="0.25">
      <c r="A38" s="154">
        <f>'Plant &amp; Reserve'!A38</f>
        <v>39201</v>
      </c>
      <c r="B38" s="180"/>
      <c r="C38" s="179" t="str">
        <f>'Plant &amp; Reserve'!C38</f>
        <v>Vehicles up to 1/2 Tons</v>
      </c>
      <c r="D38" s="180"/>
      <c r="E38" s="181" t="s">
        <v>1255</v>
      </c>
      <c r="F38" s="188">
        <v>9</v>
      </c>
      <c r="G38" s="186">
        <v>5.6</v>
      </c>
      <c r="H38" s="188">
        <v>11</v>
      </c>
      <c r="I38" s="191">
        <v>49.6</v>
      </c>
      <c r="J38" s="230">
        <v>7.0000000000000007E-2</v>
      </c>
      <c r="K38" s="177"/>
      <c r="L38" s="133"/>
      <c r="M38" s="181" t="s">
        <v>1255</v>
      </c>
      <c r="N38" s="181">
        <v>8</v>
      </c>
      <c r="O38" s="188">
        <v>11</v>
      </c>
      <c r="P38" s="189">
        <f t="shared" ref="P38:P41" si="8">(1-O38/100)/N38*100</f>
        <v>11.125</v>
      </c>
      <c r="Q38" s="134"/>
      <c r="R38" s="186">
        <f>'Avg Age'!F840</f>
        <v>4.4012856675447365</v>
      </c>
      <c r="S38" s="186">
        <f>+'Rate Computation'!M50</f>
        <v>5.2056941527829395</v>
      </c>
      <c r="T38" s="186">
        <f t="shared" ref="T38:T41" si="9">IF(S38&gt;20,ROUND(S38,0),S38)</f>
        <v>5.2056941527829395</v>
      </c>
      <c r="U38" s="190">
        <f t="shared" ref="U38:U41" si="10">O38</f>
        <v>11</v>
      </c>
      <c r="V38" s="186">
        <f>ROUND('Plant &amp; Reserve'!G38,2)</f>
        <v>39.39</v>
      </c>
      <c r="W38" s="231">
        <f>IF(S38=0,0,ROUND((100-U38-V38)/S38-0.02,1))/100</f>
        <v>9.5000000000000001E-2</v>
      </c>
      <c r="X38" s="231">
        <f t="shared" si="2"/>
        <v>9.5000000000000001E-2</v>
      </c>
      <c r="Y38" s="132"/>
      <c r="Z38" s="230">
        <f t="shared" ref="Z38:Z41" si="11">X38-J38</f>
        <v>2.4999999999999994E-2</v>
      </c>
      <c r="AA38" s="132"/>
      <c r="AB38" s="178" t="s">
        <v>58</v>
      </c>
    </row>
    <row r="39" spans="1:28" ht="13" x14ac:dyDescent="0.25">
      <c r="A39" s="154">
        <f>'Plant &amp; Reserve'!A39</f>
        <v>39202</v>
      </c>
      <c r="B39" s="180"/>
      <c r="C39" s="179" t="str">
        <f>'Plant &amp; Reserve'!C39</f>
        <v>Vehicles from 1/2 - 1 Tons</v>
      </c>
      <c r="D39" s="180"/>
      <c r="E39" s="181" t="s">
        <v>1256</v>
      </c>
      <c r="F39" s="188">
        <v>10</v>
      </c>
      <c r="G39" s="186">
        <v>6.2</v>
      </c>
      <c r="H39" s="188">
        <v>11</v>
      </c>
      <c r="I39" s="191">
        <v>54.6</v>
      </c>
      <c r="J39" s="230">
        <v>5.6000000000000001E-2</v>
      </c>
      <c r="K39" s="177"/>
      <c r="L39" s="133"/>
      <c r="M39" s="181" t="s">
        <v>1256</v>
      </c>
      <c r="N39" s="181">
        <v>10</v>
      </c>
      <c r="O39" s="188">
        <v>11</v>
      </c>
      <c r="P39" s="189">
        <f t="shared" si="8"/>
        <v>8.9</v>
      </c>
      <c r="Q39" s="134"/>
      <c r="R39" s="186">
        <f>'Avg Age'!F860</f>
        <v>5.3188517713831285</v>
      </c>
      <c r="S39" s="186">
        <f>+'Rate Computation'!M51</f>
        <v>5.5896089345402205</v>
      </c>
      <c r="T39" s="186">
        <f t="shared" si="9"/>
        <v>5.5896089345402205</v>
      </c>
      <c r="U39" s="190">
        <f t="shared" si="10"/>
        <v>11</v>
      </c>
      <c r="V39" s="186">
        <f>ROUND('Plant &amp; Reserve'!G39,2)</f>
        <v>46.92</v>
      </c>
      <c r="W39" s="231">
        <f t="shared" ref="W39:W41" si="12">IF(S39=0,0,ROUND((100-U39-V39)/S39,1))/100</f>
        <v>7.4999999999999997E-2</v>
      </c>
      <c r="X39" s="231">
        <f t="shared" si="2"/>
        <v>7.4999999999999997E-2</v>
      </c>
      <c r="Y39" s="132"/>
      <c r="Z39" s="230">
        <f t="shared" si="11"/>
        <v>1.8999999999999996E-2</v>
      </c>
      <c r="AA39" s="132"/>
      <c r="AB39" s="178" t="s">
        <v>58</v>
      </c>
    </row>
    <row r="40" spans="1:28" ht="13" x14ac:dyDescent="0.25">
      <c r="A40" s="154">
        <f>'Plant &amp; Reserve'!A40</f>
        <v>39204</v>
      </c>
      <c r="B40" s="180"/>
      <c r="C40" s="179" t="str">
        <f>'Plant &amp; Reserve'!C40</f>
        <v>Trailers &amp; Other</v>
      </c>
      <c r="D40" s="180"/>
      <c r="E40" s="181" t="s">
        <v>26</v>
      </c>
      <c r="F40" s="188">
        <v>27</v>
      </c>
      <c r="G40" s="186">
        <v>22.6</v>
      </c>
      <c r="H40" s="188">
        <v>15</v>
      </c>
      <c r="I40" s="191">
        <v>19.7</v>
      </c>
      <c r="J40" s="230">
        <v>2.9000000000000001E-2</v>
      </c>
      <c r="K40" s="177"/>
      <c r="L40" s="133"/>
      <c r="M40" s="181" t="s">
        <v>702</v>
      </c>
      <c r="N40" s="181">
        <v>30</v>
      </c>
      <c r="O40" s="188">
        <v>20</v>
      </c>
      <c r="P40" s="189">
        <f t="shared" si="8"/>
        <v>2.666666666666667</v>
      </c>
      <c r="Q40" s="134"/>
      <c r="R40" s="186">
        <f>'Avg Age'!F901</f>
        <v>5.4411655291839356</v>
      </c>
      <c r="S40" s="186">
        <f>+'Rate Computation'!M52</f>
        <v>25.85932663673589</v>
      </c>
      <c r="T40" s="186">
        <f t="shared" si="9"/>
        <v>26</v>
      </c>
      <c r="U40" s="190">
        <f t="shared" si="10"/>
        <v>20</v>
      </c>
      <c r="V40" s="186">
        <f>ROUND('Plant &amp; Reserve'!G40,2)</f>
        <v>17.809999999999999</v>
      </c>
      <c r="W40" s="231">
        <f t="shared" si="12"/>
        <v>2.4E-2</v>
      </c>
      <c r="X40" s="231">
        <f t="shared" si="2"/>
        <v>2.4E-2</v>
      </c>
      <c r="Y40" s="132"/>
      <c r="Z40" s="230">
        <f t="shared" si="11"/>
        <v>-5.000000000000001E-3</v>
      </c>
      <c r="AA40" s="132"/>
      <c r="AB40" s="178" t="s">
        <v>58</v>
      </c>
    </row>
    <row r="41" spans="1:28" ht="13" x14ac:dyDescent="0.25">
      <c r="A41" s="154">
        <f>'Plant &amp; Reserve'!A41</f>
        <v>39205</v>
      </c>
      <c r="B41" s="180"/>
      <c r="C41" s="179" t="str">
        <f>'Plant &amp; Reserve'!C41</f>
        <v>Vehicles over 1 Ton</v>
      </c>
      <c r="D41" s="180"/>
      <c r="E41" s="181" t="s">
        <v>706</v>
      </c>
      <c r="F41" s="188">
        <v>12</v>
      </c>
      <c r="G41" s="186">
        <v>6.6</v>
      </c>
      <c r="H41" s="188">
        <v>4</v>
      </c>
      <c r="I41" s="191">
        <v>52.6</v>
      </c>
      <c r="J41" s="230">
        <v>6.6000000000000003E-2</v>
      </c>
      <c r="K41" s="177"/>
      <c r="L41" s="133"/>
      <c r="M41" s="181" t="s">
        <v>706</v>
      </c>
      <c r="N41" s="181">
        <v>13</v>
      </c>
      <c r="O41" s="188">
        <v>7</v>
      </c>
      <c r="P41" s="189">
        <f t="shared" si="8"/>
        <v>7.1538461538461533</v>
      </c>
      <c r="Q41" s="134"/>
      <c r="R41" s="186">
        <f>'Avg Age'!F914</f>
        <v>7.4076240762479957</v>
      </c>
      <c r="S41" s="186">
        <f>+'Rate Computation'!M53</f>
        <v>7.5226482151389957</v>
      </c>
      <c r="T41" s="186">
        <f t="shared" si="9"/>
        <v>7.5226482151389957</v>
      </c>
      <c r="U41" s="190">
        <f t="shared" si="10"/>
        <v>7</v>
      </c>
      <c r="V41" s="186">
        <f>ROUND('Plant &amp; Reserve'!G41,2)</f>
        <v>49.43</v>
      </c>
      <c r="W41" s="231">
        <f t="shared" si="12"/>
        <v>5.7999999999999996E-2</v>
      </c>
      <c r="X41" s="231">
        <f t="shared" si="2"/>
        <v>5.7999999999999996E-2</v>
      </c>
      <c r="Y41" s="132"/>
      <c r="Z41" s="230">
        <f t="shared" si="11"/>
        <v>-8.0000000000000071E-3</v>
      </c>
      <c r="AA41" s="132"/>
      <c r="AB41" s="178" t="s">
        <v>58</v>
      </c>
    </row>
    <row r="42" spans="1:28" ht="13" x14ac:dyDescent="0.25">
      <c r="A42" s="134"/>
      <c r="B42" s="180"/>
      <c r="C42" s="179"/>
      <c r="D42" s="180"/>
      <c r="E42" s="181"/>
      <c r="F42" s="181"/>
      <c r="G42" s="186"/>
      <c r="H42" s="188"/>
      <c r="I42" s="186"/>
      <c r="J42" s="230"/>
      <c r="K42" s="177"/>
      <c r="L42" s="133"/>
      <c r="M42" s="181"/>
      <c r="N42" s="181"/>
      <c r="O42" s="188"/>
      <c r="P42" s="186"/>
      <c r="Q42" s="134"/>
      <c r="R42" s="186"/>
      <c r="S42" s="186"/>
      <c r="T42" s="186"/>
      <c r="U42" s="190"/>
      <c r="V42" s="186"/>
      <c r="W42" s="231"/>
      <c r="X42" s="231"/>
      <c r="Y42" s="132"/>
      <c r="Z42" s="189"/>
      <c r="AA42" s="132"/>
      <c r="AB42" s="178"/>
    </row>
    <row r="43" spans="1:28" ht="13" x14ac:dyDescent="0.25">
      <c r="A43" s="134"/>
      <c r="B43" s="180"/>
      <c r="C43" s="193" t="s">
        <v>62</v>
      </c>
      <c r="D43" s="180"/>
      <c r="E43" s="181"/>
      <c r="F43" s="223"/>
      <c r="G43" s="224"/>
      <c r="H43" s="225"/>
      <c r="I43" s="224"/>
      <c r="J43" s="230"/>
      <c r="K43" s="177"/>
      <c r="L43" s="133"/>
      <c r="M43" s="181"/>
      <c r="N43" s="181"/>
      <c r="O43" s="188"/>
      <c r="P43" s="186"/>
      <c r="Q43" s="134"/>
      <c r="R43" s="186"/>
      <c r="S43" s="186"/>
      <c r="T43" s="186"/>
      <c r="U43" s="190"/>
      <c r="V43" s="186"/>
      <c r="W43" s="231"/>
      <c r="X43" s="231"/>
      <c r="Y43" s="132"/>
      <c r="Z43" s="194"/>
      <c r="AA43" s="132"/>
      <c r="AB43" s="178"/>
    </row>
    <row r="44" spans="1:28" ht="13" x14ac:dyDescent="0.25">
      <c r="A44" s="134"/>
      <c r="B44" s="180"/>
      <c r="C44" s="179"/>
      <c r="D44" s="180"/>
      <c r="E44" s="181"/>
      <c r="F44" s="181"/>
      <c r="G44" s="226"/>
      <c r="H44" s="227"/>
      <c r="I44" s="226"/>
      <c r="J44" s="230"/>
      <c r="K44" s="177"/>
      <c r="L44" s="133"/>
      <c r="M44" s="181"/>
      <c r="N44" s="181"/>
      <c r="O44" s="188"/>
      <c r="P44" s="362"/>
      <c r="Q44" s="134"/>
      <c r="R44" s="186"/>
      <c r="S44" s="226"/>
      <c r="T44" s="226"/>
      <c r="U44" s="363"/>
      <c r="V44" s="186"/>
      <c r="W44" s="231"/>
      <c r="X44" s="231"/>
      <c r="Y44" s="132"/>
      <c r="Z44" s="132"/>
      <c r="AA44" s="132"/>
      <c r="AB44" s="178"/>
    </row>
    <row r="45" spans="1:28" ht="13" x14ac:dyDescent="0.25">
      <c r="A45" s="154">
        <f>'Plant &amp; Reserve'!A45</f>
        <v>30100</v>
      </c>
      <c r="B45" s="180"/>
      <c r="C45" s="179" t="str">
        <f>'Plant &amp; Reserve'!C45</f>
        <v>Organization Costs</v>
      </c>
      <c r="D45" s="180"/>
      <c r="E45" s="181" t="s">
        <v>652</v>
      </c>
      <c r="F45" s="188" t="s">
        <v>645</v>
      </c>
      <c r="G45" s="181"/>
      <c r="H45" s="188"/>
      <c r="I45" s="191"/>
      <c r="J45" s="230">
        <v>0</v>
      </c>
      <c r="K45" s="177"/>
      <c r="L45" s="133"/>
      <c r="M45" s="181"/>
      <c r="N45" s="181" t="s">
        <v>645</v>
      </c>
      <c r="O45" s="188"/>
      <c r="P45" s="186">
        <v>0</v>
      </c>
      <c r="Q45" s="134"/>
      <c r="R45" s="186"/>
      <c r="S45" s="226"/>
      <c r="T45" s="226"/>
      <c r="U45" s="190"/>
      <c r="V45" s="186"/>
      <c r="W45" s="231">
        <v>0</v>
      </c>
      <c r="X45" s="231">
        <f t="shared" si="2"/>
        <v>0</v>
      </c>
      <c r="Y45" s="132"/>
      <c r="Z45" s="230">
        <f t="shared" ref="Z45:Z67" si="13">X45-J45</f>
        <v>0</v>
      </c>
      <c r="AA45" s="132"/>
      <c r="AB45" s="178" t="s">
        <v>653</v>
      </c>
    </row>
    <row r="46" spans="1:28" ht="13" x14ac:dyDescent="0.25">
      <c r="A46" s="154">
        <f>'Plant &amp; Reserve'!A46</f>
        <v>30200</v>
      </c>
      <c r="B46" s="180"/>
      <c r="C46" s="179" t="str">
        <f>'Plant &amp; Reserve'!C46</f>
        <v>Franchise &amp; Consents</v>
      </c>
      <c r="D46" s="180"/>
      <c r="F46" s="188">
        <v>25</v>
      </c>
      <c r="G46" s="181">
        <v>25</v>
      </c>
      <c r="H46" s="188">
        <v>0</v>
      </c>
      <c r="I46" s="191">
        <v>0</v>
      </c>
      <c r="J46" s="230">
        <v>0.04</v>
      </c>
      <c r="K46" s="177"/>
      <c r="L46" s="133"/>
      <c r="M46" s="181" t="s">
        <v>652</v>
      </c>
      <c r="N46" s="181">
        <v>25</v>
      </c>
      <c r="O46" s="188">
        <v>0</v>
      </c>
      <c r="P46" s="189">
        <f t="shared" ref="P46:P57" si="14">(1-O46/100)/N46*100</f>
        <v>4</v>
      </c>
      <c r="Q46" s="134"/>
      <c r="R46" s="186"/>
      <c r="S46" s="186">
        <v>25</v>
      </c>
      <c r="T46" s="186">
        <f t="shared" ref="T46:T61" si="15">IF(S46&gt;20,ROUND(S46,0),S46)</f>
        <v>25</v>
      </c>
      <c r="U46" s="190">
        <f t="shared" ref="U46:U67" si="16">O46</f>
        <v>0</v>
      </c>
      <c r="V46" s="186">
        <f>ROUND('Plant &amp; Reserve'!G46,2)</f>
        <v>0</v>
      </c>
      <c r="W46" s="231">
        <f t="shared" ref="W46:X67" si="17">IF(S46=0,0,ROUND((100-U46-V46)/S46,1))/100</f>
        <v>0.04</v>
      </c>
      <c r="X46" s="231">
        <f t="shared" si="2"/>
        <v>0.04</v>
      </c>
      <c r="Z46" s="230">
        <f t="shared" si="13"/>
        <v>0</v>
      </c>
      <c r="AA46" s="132"/>
      <c r="AB46" s="178" t="s">
        <v>653</v>
      </c>
    </row>
    <row r="47" spans="1:28" ht="13" x14ac:dyDescent="0.25">
      <c r="A47" s="154">
        <f>'Plant &amp; Reserve'!A47</f>
        <v>30300</v>
      </c>
      <c r="B47" s="180"/>
      <c r="C47" s="179" t="str">
        <f>'Plant &amp; Reserve'!C47</f>
        <v>Misc Intangible Plant</v>
      </c>
      <c r="D47" s="180"/>
      <c r="E47" s="181" t="s">
        <v>652</v>
      </c>
      <c r="F47" s="188">
        <v>25</v>
      </c>
      <c r="G47" s="181">
        <v>0.5</v>
      </c>
      <c r="H47" s="188">
        <v>0</v>
      </c>
      <c r="I47" s="191">
        <v>101.9</v>
      </c>
      <c r="J47" s="230">
        <v>0.04</v>
      </c>
      <c r="K47" s="177"/>
      <c r="L47" s="133"/>
      <c r="M47" s="181" t="s">
        <v>652</v>
      </c>
      <c r="N47" s="181">
        <v>25</v>
      </c>
      <c r="O47" s="188">
        <v>0</v>
      </c>
      <c r="P47" s="189">
        <f t="shared" si="14"/>
        <v>4</v>
      </c>
      <c r="Q47" s="134"/>
      <c r="R47" s="186">
        <f>'Avg Age'!F5</f>
        <v>28.517302988119816</v>
      </c>
      <c r="S47" s="186">
        <f>'Rate Computation'!M15</f>
        <v>0</v>
      </c>
      <c r="T47" s="186">
        <f t="shared" si="15"/>
        <v>0</v>
      </c>
      <c r="U47" s="190">
        <f t="shared" si="16"/>
        <v>0</v>
      </c>
      <c r="V47" s="186">
        <f>ROUND('Plant &amp; Reserve'!G47,2)</f>
        <v>100</v>
      </c>
      <c r="W47" s="231">
        <f t="shared" si="17"/>
        <v>0</v>
      </c>
      <c r="X47" s="231">
        <f t="shared" si="2"/>
        <v>0</v>
      </c>
      <c r="Y47" s="132"/>
      <c r="Z47" s="230">
        <f t="shared" si="13"/>
        <v>-0.04</v>
      </c>
      <c r="AA47" s="132"/>
      <c r="AB47" s="178" t="s">
        <v>653</v>
      </c>
    </row>
    <row r="48" spans="1:28" ht="13" x14ac:dyDescent="0.25">
      <c r="A48" s="154">
        <f>'Plant &amp; Reserve'!A48</f>
        <v>30301</v>
      </c>
      <c r="B48" s="180"/>
      <c r="C48" s="179" t="str">
        <f>'Plant &amp; Reserve'!C48</f>
        <v>Custom Intangible Plant</v>
      </c>
      <c r="D48" s="180"/>
      <c r="E48" s="181" t="s">
        <v>652</v>
      </c>
      <c r="F48" s="188">
        <v>15</v>
      </c>
      <c r="G48" s="181">
        <v>9.6999999999999993</v>
      </c>
      <c r="H48" s="188">
        <v>0</v>
      </c>
      <c r="I48" s="191">
        <v>36.5</v>
      </c>
      <c r="J48" s="230">
        <v>6.6000000000000003E-2</v>
      </c>
      <c r="K48" s="177"/>
      <c r="L48" s="133"/>
      <c r="M48" s="181" t="s">
        <v>652</v>
      </c>
      <c r="N48" s="181">
        <v>15</v>
      </c>
      <c r="O48" s="188">
        <v>0</v>
      </c>
      <c r="P48" s="189">
        <f t="shared" si="14"/>
        <v>6.666666666666667</v>
      </c>
      <c r="Q48" s="134"/>
      <c r="R48" s="186">
        <f>'Avg Age'!F28</f>
        <v>4.1821977312259841</v>
      </c>
      <c r="S48" s="186">
        <f>'Rate Computation'!M16</f>
        <v>10.978937130035263</v>
      </c>
      <c r="T48" s="186">
        <f t="shared" si="15"/>
        <v>10.978937130035263</v>
      </c>
      <c r="U48" s="190">
        <f t="shared" si="16"/>
        <v>0</v>
      </c>
      <c r="V48" s="186">
        <f>ROUND('Plant &amp; Reserve'!G48,2)</f>
        <v>27.28</v>
      </c>
      <c r="W48" s="231">
        <f t="shared" si="17"/>
        <v>6.6000000000000003E-2</v>
      </c>
      <c r="X48" s="231">
        <f t="shared" si="2"/>
        <v>6.6000000000000003E-2</v>
      </c>
      <c r="Y48" s="132"/>
      <c r="Z48" s="230">
        <f t="shared" si="13"/>
        <v>0</v>
      </c>
      <c r="AA48" s="132"/>
      <c r="AB48" s="178" t="s">
        <v>653</v>
      </c>
    </row>
    <row r="49" spans="1:28" ht="13" x14ac:dyDescent="0.25">
      <c r="A49" s="154"/>
      <c r="B49" s="180"/>
      <c r="C49" s="179"/>
      <c r="D49" s="180"/>
      <c r="E49" s="181"/>
      <c r="F49" s="188"/>
      <c r="G49" s="181"/>
      <c r="H49" s="188"/>
      <c r="I49" s="191"/>
      <c r="J49" s="230"/>
      <c r="K49" s="177"/>
      <c r="L49" s="133"/>
      <c r="M49" s="181"/>
      <c r="N49" s="181"/>
      <c r="O49" s="188"/>
      <c r="P49" s="189"/>
      <c r="Q49" s="134"/>
      <c r="R49" s="186"/>
      <c r="S49" s="186"/>
      <c r="T49" s="186"/>
      <c r="U49" s="190"/>
      <c r="V49" s="186"/>
      <c r="W49" s="231"/>
      <c r="X49" s="231"/>
      <c r="Y49" s="132"/>
      <c r="Z49" s="230"/>
      <c r="AA49" s="132"/>
      <c r="AB49" s="178"/>
    </row>
    <row r="50" spans="1:28" ht="13" x14ac:dyDescent="0.25">
      <c r="A50" s="154"/>
      <c r="B50" s="180"/>
      <c r="C50" s="179"/>
      <c r="D50" s="180"/>
      <c r="E50" s="181"/>
      <c r="F50" s="188"/>
      <c r="G50" s="181"/>
      <c r="H50" s="188"/>
      <c r="I50" s="191"/>
      <c r="J50" s="230"/>
      <c r="K50" s="177"/>
      <c r="L50" s="133"/>
      <c r="M50" s="181"/>
      <c r="N50" s="181"/>
      <c r="O50" s="188"/>
      <c r="P50" s="189"/>
      <c r="Q50" s="134"/>
      <c r="R50" s="186"/>
      <c r="S50" s="186"/>
      <c r="T50" s="186"/>
      <c r="U50" s="190"/>
      <c r="V50" s="186"/>
      <c r="W50" s="231"/>
      <c r="X50" s="231"/>
      <c r="Y50" s="132"/>
      <c r="Z50" s="230"/>
      <c r="AA50" s="132"/>
      <c r="AB50" s="178"/>
    </row>
    <row r="51" spans="1:28" ht="13" x14ac:dyDescent="0.25">
      <c r="A51" s="154"/>
      <c r="B51" s="180"/>
      <c r="C51" s="179"/>
      <c r="D51" s="180"/>
      <c r="E51" s="181"/>
      <c r="F51" s="188"/>
      <c r="G51" s="181"/>
      <c r="H51" s="188"/>
      <c r="I51" s="191"/>
      <c r="J51" s="230"/>
      <c r="K51" s="177"/>
      <c r="L51" s="133"/>
      <c r="M51" s="181"/>
      <c r="N51" s="181"/>
      <c r="O51" s="188"/>
      <c r="P51" s="189"/>
      <c r="Q51" s="134"/>
      <c r="R51" s="186"/>
      <c r="S51" s="186"/>
      <c r="T51" s="186"/>
      <c r="U51" s="190"/>
      <c r="V51" s="186"/>
      <c r="W51" s="231"/>
      <c r="X51" s="231"/>
      <c r="Y51" s="132"/>
      <c r="Z51" s="230"/>
      <c r="AA51" s="132"/>
      <c r="AB51" s="178"/>
    </row>
    <row r="52" spans="1:28" ht="13" x14ac:dyDescent="0.25">
      <c r="A52" s="154"/>
      <c r="B52" s="180"/>
      <c r="C52" s="179"/>
      <c r="D52" s="180"/>
      <c r="E52" s="181"/>
      <c r="F52" s="188"/>
      <c r="G52" s="181"/>
      <c r="H52" s="188"/>
      <c r="I52" s="191"/>
      <c r="J52" s="230"/>
      <c r="K52" s="177"/>
      <c r="L52" s="133"/>
      <c r="M52" s="181"/>
      <c r="N52" s="181"/>
      <c r="O52" s="188"/>
      <c r="P52" s="189"/>
      <c r="Q52" s="134"/>
      <c r="R52" s="186"/>
      <c r="S52" s="186"/>
      <c r="T52" s="186"/>
      <c r="U52" s="190"/>
      <c r="V52" s="186"/>
      <c r="W52" s="231"/>
      <c r="X52" s="231"/>
      <c r="Y52" s="132"/>
      <c r="Z52" s="230"/>
      <c r="AA52" s="132"/>
      <c r="AB52" s="178"/>
    </row>
    <row r="53" spans="1:28" ht="13" x14ac:dyDescent="0.25">
      <c r="A53" s="154"/>
      <c r="B53" s="180"/>
      <c r="C53" s="179"/>
      <c r="D53" s="180"/>
      <c r="E53" s="181"/>
      <c r="F53" s="188"/>
      <c r="G53" s="181"/>
      <c r="H53" s="188"/>
      <c r="I53" s="191"/>
      <c r="J53" s="230"/>
      <c r="K53" s="177"/>
      <c r="L53" s="133"/>
      <c r="M53" s="181"/>
      <c r="N53" s="181"/>
      <c r="O53" s="188"/>
      <c r="P53" s="189"/>
      <c r="Q53" s="134"/>
      <c r="R53" s="186"/>
      <c r="S53" s="186"/>
      <c r="T53" s="186"/>
      <c r="U53" s="190"/>
      <c r="V53" s="186"/>
      <c r="W53" s="231"/>
      <c r="X53" s="231"/>
      <c r="Y53" s="132"/>
      <c r="Z53" s="230"/>
      <c r="AA53" s="132"/>
      <c r="AB53" s="178"/>
    </row>
    <row r="54" spans="1:28" ht="13" x14ac:dyDescent="0.25">
      <c r="A54" s="154">
        <f>'Plant &amp; Reserve'!A49</f>
        <v>39000</v>
      </c>
      <c r="B54" s="180"/>
      <c r="C54" s="179" t="str">
        <f>'Plant &amp; Reserve'!C49</f>
        <v>Structures &amp; Improvements</v>
      </c>
      <c r="D54" s="180"/>
      <c r="E54" s="181" t="s">
        <v>1254</v>
      </c>
      <c r="F54" s="188">
        <v>25</v>
      </c>
      <c r="G54" s="186">
        <v>20.9</v>
      </c>
      <c r="H54" s="188">
        <v>0</v>
      </c>
      <c r="I54" s="191">
        <v>50.4</v>
      </c>
      <c r="J54" s="230">
        <v>2.4E-2</v>
      </c>
      <c r="K54" s="177"/>
      <c r="L54" s="133"/>
      <c r="M54" s="181" t="s">
        <v>1254</v>
      </c>
      <c r="N54" s="181">
        <v>25</v>
      </c>
      <c r="O54" s="188">
        <v>0</v>
      </c>
      <c r="P54" s="189">
        <f t="shared" si="14"/>
        <v>4</v>
      </c>
      <c r="Q54" s="134"/>
      <c r="R54" s="186">
        <f>'Avg Age'!F767</f>
        <v>2.5586804930829961</v>
      </c>
      <c r="S54" s="186">
        <f>+'Rate Computation'!M46</f>
        <v>23.543618338948562</v>
      </c>
      <c r="T54" s="186">
        <f t="shared" si="15"/>
        <v>24</v>
      </c>
      <c r="U54" s="190">
        <f t="shared" si="16"/>
        <v>0</v>
      </c>
      <c r="V54" s="186">
        <f>ROUND('Plant &amp; Reserve'!G49,2)</f>
        <v>2.77</v>
      </c>
      <c r="W54" s="231">
        <f t="shared" si="17"/>
        <v>4.0999999999999995E-2</v>
      </c>
      <c r="X54" s="231">
        <f t="shared" si="2"/>
        <v>4.0999999999999995E-2</v>
      </c>
      <c r="Y54" s="132"/>
      <c r="Z54" s="230">
        <f t="shared" si="13"/>
        <v>1.6999999999999994E-2</v>
      </c>
      <c r="AA54" s="132"/>
      <c r="AB54" s="178" t="s">
        <v>58</v>
      </c>
    </row>
    <row r="55" spans="1:28" ht="13" x14ac:dyDescent="0.25">
      <c r="A55" s="154">
        <f>'Plant &amp; Reserve'!A50</f>
        <v>39100</v>
      </c>
      <c r="B55" s="180"/>
      <c r="C55" s="179" t="str">
        <f>'Plant &amp; Reserve'!C50</f>
        <v>Office Furniture</v>
      </c>
      <c r="D55" s="180"/>
      <c r="E55" s="181" t="s">
        <v>652</v>
      </c>
      <c r="F55" s="188">
        <v>17</v>
      </c>
      <c r="G55" s="186">
        <v>14.5</v>
      </c>
      <c r="H55" s="188">
        <v>0</v>
      </c>
      <c r="I55" s="191">
        <v>22.9</v>
      </c>
      <c r="J55" s="230">
        <v>5.8999999999999997E-2</v>
      </c>
      <c r="K55" s="177"/>
      <c r="L55" s="133"/>
      <c r="M55" s="181" t="s">
        <v>652</v>
      </c>
      <c r="N55" s="181">
        <v>17</v>
      </c>
      <c r="O55" s="188">
        <v>0</v>
      </c>
      <c r="P55" s="189">
        <f t="shared" si="14"/>
        <v>5.8823529411764701</v>
      </c>
      <c r="Q55" s="134"/>
      <c r="R55" s="186">
        <f>'Avg Age'!F784</f>
        <v>7.6028988163213294</v>
      </c>
      <c r="S55" s="186">
        <f>+'Rate Computation'!M47</f>
        <v>9.4155693195491139</v>
      </c>
      <c r="T55" s="186">
        <f t="shared" si="15"/>
        <v>9.4155693195491139</v>
      </c>
      <c r="U55" s="190">
        <f t="shared" si="16"/>
        <v>0</v>
      </c>
      <c r="V55" s="186">
        <f>ROUND('Plant &amp; Reserve'!G50,2)</f>
        <v>51.77</v>
      </c>
      <c r="W55" s="231">
        <f t="shared" si="17"/>
        <v>5.0999999999999997E-2</v>
      </c>
      <c r="X55" s="231">
        <f t="shared" si="2"/>
        <v>5.0999999999999997E-2</v>
      </c>
      <c r="Y55" s="132"/>
      <c r="Z55" s="230">
        <f t="shared" si="13"/>
        <v>-8.0000000000000002E-3</v>
      </c>
      <c r="AA55" s="132"/>
      <c r="AB55" s="178" t="s">
        <v>58</v>
      </c>
    </row>
    <row r="56" spans="1:28" ht="13" x14ac:dyDescent="0.25">
      <c r="A56" s="154">
        <f>'Plant &amp; Reserve'!A51</f>
        <v>39101</v>
      </c>
      <c r="B56" s="180"/>
      <c r="C56" s="179" t="str">
        <f>'Plant &amp; Reserve'!C51</f>
        <v>Computer Equipment</v>
      </c>
      <c r="D56" s="180"/>
      <c r="E56" s="181" t="s">
        <v>652</v>
      </c>
      <c r="F56" s="188">
        <v>9</v>
      </c>
      <c r="G56" s="186">
        <v>5.2</v>
      </c>
      <c r="H56" s="188">
        <v>0</v>
      </c>
      <c r="I56" s="191">
        <v>86.8</v>
      </c>
      <c r="J56" s="230">
        <v>0.111</v>
      </c>
      <c r="K56" s="177"/>
      <c r="L56" s="133"/>
      <c r="M56" s="181" t="s">
        <v>652</v>
      </c>
      <c r="N56" s="181">
        <v>9</v>
      </c>
      <c r="O56" s="188">
        <v>0</v>
      </c>
      <c r="P56" s="189">
        <f t="shared" si="14"/>
        <v>11.111111111111111</v>
      </c>
      <c r="Q56" s="134"/>
      <c r="R56" s="186">
        <f>'Avg Age'!F797</f>
        <v>3.6740508958724103</v>
      </c>
      <c r="S56" s="186">
        <f>+'Rate Computation'!M48</f>
        <v>5.4119503820957489</v>
      </c>
      <c r="T56" s="186">
        <f t="shared" si="15"/>
        <v>5.4119503820957489</v>
      </c>
      <c r="U56" s="190">
        <f t="shared" si="16"/>
        <v>0</v>
      </c>
      <c r="V56" s="186">
        <f>ROUND('Plant &amp; Reserve'!G51,2)</f>
        <v>57.85</v>
      </c>
      <c r="W56" s="231">
        <f t="shared" si="17"/>
        <v>7.8E-2</v>
      </c>
      <c r="X56" s="231">
        <f t="shared" si="17"/>
        <v>7.8E-2</v>
      </c>
      <c r="Y56" s="132"/>
      <c r="Z56" s="230">
        <f t="shared" si="13"/>
        <v>-3.3000000000000002E-2</v>
      </c>
      <c r="AA56" s="132"/>
      <c r="AB56" s="178" t="s">
        <v>58</v>
      </c>
    </row>
    <row r="57" spans="1:28" ht="13" x14ac:dyDescent="0.25">
      <c r="A57" s="154">
        <f>'Plant &amp; Reserve'!A52</f>
        <v>39102</v>
      </c>
      <c r="B57" s="180"/>
      <c r="C57" s="179" t="str">
        <f>'Plant &amp; Reserve'!C52</f>
        <v>Office Equipment</v>
      </c>
      <c r="D57" s="180"/>
      <c r="E57" s="181" t="s">
        <v>652</v>
      </c>
      <c r="F57" s="188">
        <v>15</v>
      </c>
      <c r="G57" s="186">
        <v>13.1</v>
      </c>
      <c r="H57" s="188">
        <v>0</v>
      </c>
      <c r="I57" s="191">
        <v>52</v>
      </c>
      <c r="J57" s="230">
        <v>6.7000000000000004E-2</v>
      </c>
      <c r="K57" s="177"/>
      <c r="L57" s="133"/>
      <c r="M57" s="181" t="s">
        <v>652</v>
      </c>
      <c r="N57" s="181">
        <v>15</v>
      </c>
      <c r="O57" s="188">
        <v>0</v>
      </c>
      <c r="P57" s="189">
        <f t="shared" si="14"/>
        <v>6.666666666666667</v>
      </c>
      <c r="Q57" s="134"/>
      <c r="R57" s="186">
        <f>'Avg Age'!F817</f>
        <v>9.4483451827987466</v>
      </c>
      <c r="S57" s="186">
        <f>+'Rate Computation'!M49</f>
        <v>5.8917490865813953</v>
      </c>
      <c r="T57" s="186">
        <f t="shared" si="15"/>
        <v>5.8917490865813953</v>
      </c>
      <c r="U57" s="190">
        <f t="shared" si="16"/>
        <v>0</v>
      </c>
      <c r="V57" s="186">
        <f>ROUND('Plant &amp; Reserve'!G52,2)</f>
        <v>63.1</v>
      </c>
      <c r="W57" s="231">
        <f t="shared" si="17"/>
        <v>6.3E-2</v>
      </c>
      <c r="X57" s="231">
        <f t="shared" si="2"/>
        <v>6.3E-2</v>
      </c>
      <c r="Y57" s="132"/>
      <c r="Z57" s="230">
        <f t="shared" si="13"/>
        <v>-4.0000000000000036E-3</v>
      </c>
      <c r="AA57" s="132"/>
      <c r="AB57" s="178" t="s">
        <v>58</v>
      </c>
    </row>
    <row r="58" spans="1:28" ht="13" x14ac:dyDescent="0.25">
      <c r="A58" s="154"/>
      <c r="B58" s="180"/>
      <c r="C58" s="179"/>
      <c r="D58" s="180"/>
      <c r="E58" s="181"/>
      <c r="F58" s="188"/>
      <c r="G58" s="186"/>
      <c r="H58" s="188"/>
      <c r="I58" s="191"/>
      <c r="J58" s="230"/>
      <c r="K58" s="177"/>
      <c r="L58" s="133"/>
      <c r="M58" s="181"/>
      <c r="N58" s="181"/>
      <c r="O58" s="188"/>
      <c r="P58" s="189"/>
      <c r="Q58" s="134"/>
      <c r="R58" s="186"/>
      <c r="S58" s="186"/>
      <c r="T58" s="186"/>
      <c r="U58" s="190"/>
      <c r="V58" s="186"/>
      <c r="W58" s="231"/>
      <c r="X58" s="231"/>
      <c r="Y58" s="132"/>
      <c r="Z58" s="230"/>
      <c r="AA58" s="132"/>
      <c r="AB58" s="178"/>
    </row>
    <row r="59" spans="1:28" ht="13" x14ac:dyDescent="0.25">
      <c r="A59" s="154"/>
      <c r="B59" s="180"/>
      <c r="C59" s="179"/>
      <c r="D59" s="180"/>
      <c r="E59" s="181"/>
      <c r="F59" s="188"/>
      <c r="G59" s="186"/>
      <c r="H59" s="188"/>
      <c r="I59" s="191"/>
      <c r="J59" s="230"/>
      <c r="K59" s="177"/>
      <c r="L59" s="133"/>
      <c r="M59" s="181"/>
      <c r="N59" s="181"/>
      <c r="O59" s="188"/>
      <c r="P59" s="189"/>
      <c r="Q59" s="134"/>
      <c r="R59" s="186"/>
      <c r="S59" s="186"/>
      <c r="T59" s="186"/>
      <c r="U59" s="190"/>
      <c r="V59" s="186"/>
      <c r="W59" s="231"/>
      <c r="X59" s="231"/>
      <c r="Y59" s="132"/>
      <c r="Z59" s="230"/>
      <c r="AA59" s="132"/>
      <c r="AB59" s="178"/>
    </row>
    <row r="60" spans="1:28" ht="13" x14ac:dyDescent="0.25">
      <c r="A60" s="154"/>
      <c r="B60" s="180"/>
      <c r="C60" s="179"/>
      <c r="D60" s="180"/>
      <c r="E60" s="181"/>
      <c r="F60" s="188"/>
      <c r="G60" s="186"/>
      <c r="H60" s="188"/>
      <c r="I60" s="191"/>
      <c r="J60" s="230"/>
      <c r="K60" s="177"/>
      <c r="L60" s="133"/>
      <c r="M60" s="181"/>
      <c r="N60" s="181"/>
      <c r="O60" s="188"/>
      <c r="P60" s="189"/>
      <c r="Q60" s="134"/>
      <c r="R60" s="186"/>
      <c r="S60" s="186"/>
      <c r="T60" s="186"/>
      <c r="U60" s="190"/>
      <c r="V60" s="186"/>
      <c r="W60" s="231"/>
      <c r="X60" s="231"/>
      <c r="Y60" s="132"/>
      <c r="Z60" s="230"/>
      <c r="AA60" s="132"/>
      <c r="AB60" s="178"/>
    </row>
    <row r="61" spans="1:28" ht="13" x14ac:dyDescent="0.25">
      <c r="A61" s="154">
        <f>'Plant &amp; Reserve'!A53</f>
        <v>39300</v>
      </c>
      <c r="B61" s="180"/>
      <c r="C61" s="179" t="str">
        <f>'Plant &amp; Reserve'!C53</f>
        <v>Stores Equipment</v>
      </c>
      <c r="D61" s="180"/>
      <c r="E61" s="181" t="s">
        <v>652</v>
      </c>
      <c r="F61" s="188">
        <v>24</v>
      </c>
      <c r="G61" s="186">
        <v>18.5</v>
      </c>
      <c r="H61" s="188">
        <v>0</v>
      </c>
      <c r="I61" s="191">
        <v>33.5</v>
      </c>
      <c r="J61" s="230">
        <v>4.2000000000000003E-2</v>
      </c>
      <c r="K61" s="177"/>
      <c r="L61" s="133"/>
      <c r="M61" s="181" t="s">
        <v>652</v>
      </c>
      <c r="N61" s="181">
        <v>24</v>
      </c>
      <c r="O61" s="188">
        <v>0</v>
      </c>
      <c r="P61" s="189">
        <f t="shared" ref="P61:P64" si="18">(1-O61/100)/N61*100</f>
        <v>4.1666666666666661</v>
      </c>
      <c r="Q61" s="134"/>
      <c r="R61" s="186">
        <f>'Avg Age'!F916</f>
        <v>11.5</v>
      </c>
      <c r="S61" s="186">
        <f>+'Rate Computation'!M54</f>
        <v>12.5</v>
      </c>
      <c r="T61" s="186">
        <f t="shared" si="15"/>
        <v>12.5</v>
      </c>
      <c r="U61" s="190">
        <f t="shared" si="16"/>
        <v>0</v>
      </c>
      <c r="V61" s="186">
        <f>ROUND('Plant &amp; Reserve'!G53,2)</f>
        <v>46.12</v>
      </c>
      <c r="W61" s="231">
        <f t="shared" si="17"/>
        <v>4.2999999999999997E-2</v>
      </c>
      <c r="X61" s="231">
        <f t="shared" si="2"/>
        <v>4.2999999999999997E-2</v>
      </c>
      <c r="Y61" s="132"/>
      <c r="Z61" s="230">
        <f t="shared" si="13"/>
        <v>9.9999999999999395E-4</v>
      </c>
      <c r="AA61" s="132"/>
      <c r="AB61" s="178" t="s">
        <v>58</v>
      </c>
    </row>
    <row r="62" spans="1:28" ht="13" x14ac:dyDescent="0.25">
      <c r="A62" s="154">
        <f>'Plant &amp; Reserve'!A54</f>
        <v>39400</v>
      </c>
      <c r="B62" s="180"/>
      <c r="C62" s="179" t="str">
        <f>'Plant &amp; Reserve'!C54</f>
        <v>Tools, Shop &amp; Garage Equip</v>
      </c>
      <c r="D62" s="180"/>
      <c r="E62" s="181" t="s">
        <v>652</v>
      </c>
      <c r="F62" s="188">
        <v>18</v>
      </c>
      <c r="G62" s="186">
        <v>11.4</v>
      </c>
      <c r="H62" s="188">
        <v>0</v>
      </c>
      <c r="I62" s="191">
        <v>45.9</v>
      </c>
      <c r="J62" s="230">
        <v>5.6000000000000001E-2</v>
      </c>
      <c r="K62" s="177"/>
      <c r="L62" s="133"/>
      <c r="M62" s="181" t="s">
        <v>652</v>
      </c>
      <c r="N62" s="181">
        <v>18</v>
      </c>
      <c r="O62" s="188">
        <v>0</v>
      </c>
      <c r="P62" s="189">
        <f t="shared" si="18"/>
        <v>5.5555555555555554</v>
      </c>
      <c r="Q62" s="134"/>
      <c r="R62" s="186">
        <f>'Avg Age'!F938</f>
        <v>7.8608557486473867</v>
      </c>
      <c r="S62" s="186">
        <f>+'Rate Computation'!M55</f>
        <v>10.158405861079391</v>
      </c>
      <c r="T62" s="186">
        <f t="shared" ref="T62:T66" si="19">IF(S62&gt;20,ROUND(S62,0),S62)</f>
        <v>10.158405861079391</v>
      </c>
      <c r="U62" s="190">
        <f t="shared" si="16"/>
        <v>0</v>
      </c>
      <c r="V62" s="186">
        <f>ROUND('Plant &amp; Reserve'!G54,2)</f>
        <v>51.48</v>
      </c>
      <c r="W62" s="231">
        <f t="shared" si="17"/>
        <v>4.8000000000000001E-2</v>
      </c>
      <c r="X62" s="231">
        <f t="shared" si="2"/>
        <v>4.8000000000000001E-2</v>
      </c>
      <c r="Y62" s="132"/>
      <c r="Z62" s="230">
        <f t="shared" si="13"/>
        <v>-8.0000000000000002E-3</v>
      </c>
      <c r="AA62" s="132"/>
      <c r="AB62" s="178" t="s">
        <v>58</v>
      </c>
    </row>
    <row r="63" spans="1:28" ht="13" x14ac:dyDescent="0.25">
      <c r="A63" s="154">
        <f>'Plant &amp; Reserve'!A55</f>
        <v>39401</v>
      </c>
      <c r="B63" s="180"/>
      <c r="C63" s="179" t="str">
        <f>'Plant &amp; Reserve'!C55</f>
        <v>CNG Station Equipment</v>
      </c>
      <c r="D63" s="180"/>
      <c r="E63" s="181" t="s">
        <v>652</v>
      </c>
      <c r="F63" s="188">
        <v>20</v>
      </c>
      <c r="G63" s="228">
        <v>16.399999999999999</v>
      </c>
      <c r="H63" s="188">
        <v>0</v>
      </c>
      <c r="I63" s="191">
        <v>17</v>
      </c>
      <c r="J63" s="230">
        <v>0.05</v>
      </c>
      <c r="K63" s="177"/>
      <c r="L63" s="133"/>
      <c r="M63" s="181" t="s">
        <v>652</v>
      </c>
      <c r="N63" s="181">
        <v>20</v>
      </c>
      <c r="O63" s="188">
        <v>0</v>
      </c>
      <c r="P63" s="189">
        <f t="shared" si="18"/>
        <v>5</v>
      </c>
      <c r="Q63" s="134"/>
      <c r="R63" s="186">
        <f>'Avg Age'!F947</f>
        <v>5.0640169154673202</v>
      </c>
      <c r="S63" s="186">
        <f>+'Rate Computation'!M56</f>
        <v>14.933922505577536</v>
      </c>
      <c r="T63" s="186">
        <f t="shared" si="19"/>
        <v>14.933922505577536</v>
      </c>
      <c r="U63" s="190">
        <f t="shared" si="16"/>
        <v>0</v>
      </c>
      <c r="V63" s="186">
        <f>ROUND('Plant &amp; Reserve'!G55,2)</f>
        <v>24.53</v>
      </c>
      <c r="W63" s="231">
        <f>IF(S63=0,0,ROUND((100-U63-V63)/S63+0.01,1))/100</f>
        <v>5.0999999999999997E-2</v>
      </c>
      <c r="X63" s="231">
        <f t="shared" si="2"/>
        <v>5.0999999999999997E-2</v>
      </c>
      <c r="Y63" s="132"/>
      <c r="Z63" s="230">
        <f t="shared" si="13"/>
        <v>9.9999999999999395E-4</v>
      </c>
      <c r="AA63" s="132"/>
      <c r="AB63" s="178" t="s">
        <v>58</v>
      </c>
    </row>
    <row r="64" spans="1:28" ht="13" hidden="1" x14ac:dyDescent="0.25">
      <c r="A64" s="154">
        <f>'Plant &amp; Reserve'!A56</f>
        <v>39500</v>
      </c>
      <c r="B64" s="180"/>
      <c r="C64" s="179" t="str">
        <f>'Plant &amp; Reserve'!C56</f>
        <v>Laboratory Equipment</v>
      </c>
      <c r="D64" s="180"/>
      <c r="E64" s="181" t="s">
        <v>652</v>
      </c>
      <c r="F64" s="188">
        <v>20</v>
      </c>
      <c r="G64" s="186">
        <v>20</v>
      </c>
      <c r="H64" s="188">
        <v>0</v>
      </c>
      <c r="I64" s="191">
        <v>0</v>
      </c>
      <c r="J64" s="230">
        <v>0.05</v>
      </c>
      <c r="K64" s="177"/>
      <c r="L64" s="133"/>
      <c r="M64" s="181" t="s">
        <v>652</v>
      </c>
      <c r="N64" s="181">
        <v>20</v>
      </c>
      <c r="O64" s="188">
        <v>0</v>
      </c>
      <c r="P64" s="189">
        <f t="shared" si="18"/>
        <v>5</v>
      </c>
      <c r="Q64" s="132"/>
      <c r="R64" s="186"/>
      <c r="S64" s="186">
        <v>20</v>
      </c>
      <c r="T64" s="186">
        <f t="shared" si="19"/>
        <v>20</v>
      </c>
      <c r="U64" s="190">
        <f t="shared" si="16"/>
        <v>0</v>
      </c>
      <c r="V64" s="186">
        <f>ROUND('Plant &amp; Reserve'!G56,2)</f>
        <v>0</v>
      </c>
      <c r="W64" s="231">
        <f t="shared" si="17"/>
        <v>0.05</v>
      </c>
      <c r="X64" s="231">
        <f t="shared" si="2"/>
        <v>0.05</v>
      </c>
      <c r="Y64" s="132"/>
      <c r="Z64" s="230">
        <f t="shared" si="13"/>
        <v>0</v>
      </c>
      <c r="AA64" s="132"/>
      <c r="AB64" s="178" t="s">
        <v>58</v>
      </c>
    </row>
    <row r="65" spans="1:28" ht="13" x14ac:dyDescent="0.25">
      <c r="A65" s="154">
        <f>'Plant &amp; Reserve'!A57</f>
        <v>39600</v>
      </c>
      <c r="B65" s="180"/>
      <c r="C65" s="179" t="str">
        <f>'Plant &amp; Reserve'!C57</f>
        <v>Power Operated Equipment</v>
      </c>
      <c r="D65" s="180"/>
      <c r="E65" s="181" t="s">
        <v>1257</v>
      </c>
      <c r="F65" s="188">
        <v>18</v>
      </c>
      <c r="G65" s="186">
        <v>11.2</v>
      </c>
      <c r="H65" s="188">
        <v>10</v>
      </c>
      <c r="I65" s="191">
        <v>60.1</v>
      </c>
      <c r="J65" s="230">
        <v>2.7E-2</v>
      </c>
      <c r="K65" s="177"/>
      <c r="L65" s="133"/>
      <c r="M65" s="181" t="s">
        <v>1257</v>
      </c>
      <c r="N65" s="181">
        <v>18</v>
      </c>
      <c r="O65" s="188">
        <v>10</v>
      </c>
      <c r="P65" s="189">
        <f>(1-O65/100)/N65*100</f>
        <v>5</v>
      </c>
      <c r="Q65" s="132"/>
      <c r="R65" s="186">
        <f>'Avg Age'!F982</f>
        <v>11.781445900535878</v>
      </c>
      <c r="S65" s="186">
        <f>'Rate Computation'!M57</f>
        <v>10.668836430679919</v>
      </c>
      <c r="T65" s="186">
        <f t="shared" si="19"/>
        <v>10.668836430679919</v>
      </c>
      <c r="U65" s="190">
        <f t="shared" si="16"/>
        <v>10</v>
      </c>
      <c r="V65" s="186">
        <f>ROUND('Plant &amp; Reserve'!G57,2)</f>
        <v>59.55</v>
      </c>
      <c r="W65" s="231">
        <f t="shared" si="17"/>
        <v>2.8999999999999998E-2</v>
      </c>
      <c r="X65" s="231">
        <f t="shared" si="2"/>
        <v>2.8999999999999998E-2</v>
      </c>
      <c r="Y65" s="132"/>
      <c r="Z65" s="230">
        <f t="shared" si="13"/>
        <v>1.9999999999999983E-3</v>
      </c>
      <c r="AA65" s="132"/>
      <c r="AB65" s="178" t="s">
        <v>58</v>
      </c>
    </row>
    <row r="66" spans="1:28" ht="13" x14ac:dyDescent="0.25">
      <c r="A66" s="154">
        <f>'Plant &amp; Reserve'!A58</f>
        <v>39700</v>
      </c>
      <c r="B66" s="180"/>
      <c r="C66" s="179" t="str">
        <f>'Plant &amp; Reserve'!C58</f>
        <v>Communication Equipment</v>
      </c>
      <c r="D66" s="180"/>
      <c r="E66" s="181" t="s">
        <v>652</v>
      </c>
      <c r="F66" s="188">
        <v>13</v>
      </c>
      <c r="G66" s="186">
        <v>4.7</v>
      </c>
      <c r="H66" s="188">
        <v>0</v>
      </c>
      <c r="I66" s="191">
        <v>81.400000000000006</v>
      </c>
      <c r="J66" s="230">
        <v>7.6999999999999999E-2</v>
      </c>
      <c r="K66" s="177"/>
      <c r="L66" s="133"/>
      <c r="M66" s="181" t="s">
        <v>652</v>
      </c>
      <c r="N66" s="181">
        <v>13</v>
      </c>
      <c r="O66" s="188">
        <v>0</v>
      </c>
      <c r="P66" s="189">
        <f t="shared" ref="P66:P67" si="20">(1-O66/100)/N66*100</f>
        <v>7.6923076923076925</v>
      </c>
      <c r="Q66" s="132"/>
      <c r="R66" s="186">
        <f>'Avg Age'!F993</f>
        <v>11.017082700641049</v>
      </c>
      <c r="S66" s="186">
        <f>'Rate Computation'!M58</f>
        <v>2.2975441032926631</v>
      </c>
      <c r="T66" s="186">
        <f t="shared" si="19"/>
        <v>2.2975441032926631</v>
      </c>
      <c r="U66" s="190">
        <f t="shared" si="16"/>
        <v>0</v>
      </c>
      <c r="V66" s="186">
        <f>ROUND('Plant &amp; Reserve'!G58,2)</f>
        <v>97.38</v>
      </c>
      <c r="W66" s="231">
        <v>0</v>
      </c>
      <c r="X66" s="231">
        <f t="shared" si="2"/>
        <v>0</v>
      </c>
      <c r="Y66" s="132"/>
      <c r="Z66" s="230">
        <f t="shared" si="13"/>
        <v>-7.6999999999999999E-2</v>
      </c>
      <c r="AA66" s="132"/>
      <c r="AB66" s="178" t="s">
        <v>58</v>
      </c>
    </row>
    <row r="67" spans="1:28" ht="13" x14ac:dyDescent="0.25">
      <c r="A67" s="154">
        <f>'Plant &amp; Reserve'!A59</f>
        <v>39800</v>
      </c>
      <c r="B67" s="180"/>
      <c r="C67" s="179" t="str">
        <f>'Plant &amp; Reserve'!C59</f>
        <v>Miscellaneous Equipment</v>
      </c>
      <c r="D67" s="180"/>
      <c r="E67" s="181" t="s">
        <v>652</v>
      </c>
      <c r="F67" s="188">
        <v>20</v>
      </c>
      <c r="G67" s="186">
        <v>16.8</v>
      </c>
      <c r="H67" s="188">
        <v>0</v>
      </c>
      <c r="I67" s="191">
        <v>-10.8</v>
      </c>
      <c r="J67" s="230">
        <v>0.05</v>
      </c>
      <c r="K67" s="177"/>
      <c r="L67" s="133"/>
      <c r="M67" s="181" t="s">
        <v>652</v>
      </c>
      <c r="N67" s="181">
        <v>20</v>
      </c>
      <c r="O67" s="188">
        <v>0</v>
      </c>
      <c r="P67" s="189">
        <f t="shared" si="20"/>
        <v>5</v>
      </c>
      <c r="Q67" s="132"/>
      <c r="R67" s="186">
        <f>'Avg Age'!F1009</f>
        <v>3.4299446211288553</v>
      </c>
      <c r="S67" s="186">
        <f>'Rate Computation'!M59</f>
        <v>16.570055378871142</v>
      </c>
      <c r="T67" s="186">
        <f t="shared" ref="T67" si="21">IF(S67&gt;20,ROUND(S67,0),S67)</f>
        <v>16.570055378871142</v>
      </c>
      <c r="U67" s="190">
        <f t="shared" si="16"/>
        <v>0</v>
      </c>
      <c r="V67" s="186">
        <f>ROUND('Plant &amp; Reserve'!G59,2)</f>
        <v>28.29</v>
      </c>
      <c r="W67" s="231">
        <f t="shared" si="17"/>
        <v>4.2999999999999997E-2</v>
      </c>
      <c r="X67" s="231">
        <f t="shared" si="2"/>
        <v>4.2999999999999997E-2</v>
      </c>
      <c r="Y67" s="132"/>
      <c r="Z67" s="230">
        <f t="shared" si="13"/>
        <v>-7.0000000000000062E-3</v>
      </c>
      <c r="AA67" s="132"/>
      <c r="AB67" s="178" t="s">
        <v>58</v>
      </c>
    </row>
    <row r="68" spans="1:28" ht="13" x14ac:dyDescent="0.3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186"/>
      <c r="S68" s="44"/>
      <c r="T68" s="240"/>
      <c r="U68" s="240"/>
      <c r="V68" s="240"/>
      <c r="W68" s="240"/>
      <c r="X68" s="240"/>
      <c r="Y68" s="44"/>
      <c r="Z68" s="44"/>
      <c r="AA68" s="44"/>
      <c r="AB68" s="44"/>
    </row>
    <row r="69" spans="1:28" x14ac:dyDescent="0.25">
      <c r="R69" s="186"/>
    </row>
    <row r="70" spans="1:28" x14ac:dyDescent="0.25">
      <c r="R70" s="186"/>
    </row>
    <row r="71" spans="1:28" x14ac:dyDescent="0.25">
      <c r="A71" s="11">
        <v>33600</v>
      </c>
      <c r="C71" t="s">
        <v>1268</v>
      </c>
      <c r="E71" t="s">
        <v>26</v>
      </c>
      <c r="F71">
        <v>30</v>
      </c>
      <c r="G71">
        <v>30</v>
      </c>
      <c r="H71">
        <v>-5</v>
      </c>
      <c r="I71">
        <v>0</v>
      </c>
      <c r="J71" s="230">
        <v>3.5000000000000003E-2</v>
      </c>
      <c r="M71" t="s">
        <v>26</v>
      </c>
      <c r="N71">
        <v>30</v>
      </c>
      <c r="O71">
        <f>+Parameter!I55</f>
        <v>-5</v>
      </c>
      <c r="P71" s="189">
        <f t="shared" ref="P71:P73" si="22">IF(N71=0,0,ROUND((100-O71)/N71,1))</f>
        <v>3.5</v>
      </c>
      <c r="Q71" s="77" t="s">
        <v>1229</v>
      </c>
      <c r="R71" s="186">
        <f>'Avg Age'!F30</f>
        <v>0.5</v>
      </c>
      <c r="S71" s="212">
        <f>+'Rate Computation'!M66</f>
        <v>29.547744000000002</v>
      </c>
      <c r="T71" s="186">
        <f t="shared" ref="T71:T73" si="23">IF(S71&gt;20,ROUND(S71,0),S71)</f>
        <v>30</v>
      </c>
      <c r="U71">
        <v>-5</v>
      </c>
      <c r="V71" s="186">
        <f>ROUND('Plant &amp; Reserve'!G63,2)</f>
        <v>3.2</v>
      </c>
      <c r="W71" s="231">
        <f>'Rate Computation'!Q66</f>
        <v>3.4000000000000002E-2</v>
      </c>
      <c r="X71" s="231">
        <f t="shared" ref="X71:X73" si="24">W71</f>
        <v>3.4000000000000002E-2</v>
      </c>
      <c r="Y71" s="132"/>
      <c r="Z71" s="230">
        <f t="shared" ref="Z71:Z73" si="25">X71-J71</f>
        <v>-1.0000000000000009E-3</v>
      </c>
      <c r="AA71" s="132"/>
      <c r="AB71" s="178" t="s">
        <v>58</v>
      </c>
    </row>
    <row r="72" spans="1:28" x14ac:dyDescent="0.25">
      <c r="A72" s="11">
        <v>33601</v>
      </c>
      <c r="C72" s="77" t="s">
        <v>1357</v>
      </c>
      <c r="E72" t="s">
        <v>26</v>
      </c>
      <c r="F72">
        <v>30</v>
      </c>
      <c r="J72" s="230"/>
      <c r="M72" t="str">
        <f>+Parameter!H56</f>
        <v>SQ</v>
      </c>
      <c r="N72">
        <f>+Parameter!G56</f>
        <v>15</v>
      </c>
      <c r="O72">
        <f>+Parameter!I56</f>
        <v>0</v>
      </c>
      <c r="P72" s="189">
        <f t="shared" si="22"/>
        <v>6.7</v>
      </c>
      <c r="Q72" s="77" t="s">
        <v>1229</v>
      </c>
      <c r="R72" s="186">
        <f>'Avg Age'!F32</f>
        <v>0.5</v>
      </c>
      <c r="S72" s="212">
        <v>13.5</v>
      </c>
      <c r="T72" s="186">
        <f t="shared" ref="T72" si="26">IF(S72&gt;20,ROUND(S72,0),S72)</f>
        <v>13.5</v>
      </c>
      <c r="U72">
        <f>+Parameter!I56</f>
        <v>0</v>
      </c>
      <c r="V72" s="186">
        <f>ROUND('Plant &amp; Reserve'!G64,2)</f>
        <v>5.5</v>
      </c>
      <c r="W72" s="231">
        <v>6.7000000000000004E-2</v>
      </c>
      <c r="X72" s="231">
        <f t="shared" si="24"/>
        <v>6.7000000000000004E-2</v>
      </c>
      <c r="Y72" s="132"/>
      <c r="Z72" s="230">
        <f t="shared" si="25"/>
        <v>6.7000000000000004E-2</v>
      </c>
      <c r="AA72" s="132"/>
      <c r="AB72" s="178" t="s">
        <v>58</v>
      </c>
    </row>
    <row r="73" spans="1:28" x14ac:dyDescent="0.25">
      <c r="A73" s="11">
        <v>36400</v>
      </c>
      <c r="C73" t="s">
        <v>1269</v>
      </c>
      <c r="E73" t="s">
        <v>26</v>
      </c>
      <c r="F73">
        <v>30</v>
      </c>
      <c r="G73">
        <v>30</v>
      </c>
      <c r="H73">
        <v>-5</v>
      </c>
      <c r="I73">
        <v>0</v>
      </c>
      <c r="J73" s="230">
        <v>3.5000000000000003E-2</v>
      </c>
      <c r="M73" t="s">
        <v>26</v>
      </c>
      <c r="N73">
        <v>30</v>
      </c>
      <c r="O73">
        <f>+Parameter!I57</f>
        <v>-5</v>
      </c>
      <c r="P73" s="189">
        <f t="shared" si="22"/>
        <v>3.5</v>
      </c>
      <c r="Q73" s="77" t="s">
        <v>1229</v>
      </c>
      <c r="R73" s="186">
        <f>'Avg Age'!F35</f>
        <v>0.5</v>
      </c>
      <c r="S73" s="212">
        <f>+'Rate Computation'!M68</f>
        <v>29.547744000000005</v>
      </c>
      <c r="T73" s="186">
        <f t="shared" si="23"/>
        <v>30</v>
      </c>
      <c r="U73">
        <v>-5</v>
      </c>
      <c r="V73" s="186">
        <f>ROUND('Plant &amp; Reserve'!G65,2)</f>
        <v>1.72</v>
      </c>
      <c r="W73" s="231">
        <f>'Rate Computation'!Q68</f>
        <v>3.5000000000000003E-2</v>
      </c>
      <c r="X73" s="231">
        <f t="shared" si="24"/>
        <v>3.5000000000000003E-2</v>
      </c>
      <c r="Z73" s="230">
        <f t="shared" si="25"/>
        <v>0</v>
      </c>
    </row>
    <row r="74" spans="1:28" x14ac:dyDescent="0.25">
      <c r="J74" s="230"/>
      <c r="P74" s="189"/>
      <c r="Q74" s="77"/>
      <c r="R74" s="230"/>
      <c r="S74" s="212"/>
      <c r="W74" s="231"/>
    </row>
    <row r="75" spans="1:28" x14ac:dyDescent="0.25">
      <c r="W75" s="231"/>
    </row>
    <row r="76" spans="1:28" x14ac:dyDescent="0.25">
      <c r="W76" s="231"/>
    </row>
    <row r="77" spans="1:28" x14ac:dyDescent="0.25">
      <c r="W77" s="231"/>
    </row>
  </sheetData>
  <phoneticPr fontId="0" type="noConversion"/>
  <conditionalFormatting sqref="M16:N67">
    <cfRule type="cellIs" dxfId="3" priority="2" operator="notEqual">
      <formula>E16</formula>
    </cfRule>
  </conditionalFormatting>
  <conditionalFormatting sqref="O16:O67">
    <cfRule type="cellIs" dxfId="2" priority="1" operator="notEqual">
      <formula>H16</formula>
    </cfRule>
  </conditionalFormatting>
  <printOptions horizontalCentered="1"/>
  <pageMargins left="0.5" right="0.5" top="0.5" bottom="0.5" header="0.3" footer="0.3"/>
  <pageSetup scale="71" fitToHeight="2" orientation="landscape" blackAndWhite="1" r:id="rId1"/>
  <headerFooter alignWithMargins="0"/>
  <rowBreaks count="1" manualBreakCount="1">
    <brk id="34" max="23" man="1"/>
  </rowBreaks>
  <customProperties>
    <customPr name="EpmWorksheetKeyString_GUID" r:id="rId2"/>
  </customProperties>
  <ignoredErrors>
    <ignoredError sqref="W63 W22" formula="1"/>
  </ignoredErrors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7"/>
    <pageSetUpPr fitToPage="1"/>
  </sheetPr>
  <dimension ref="A1:K75"/>
  <sheetViews>
    <sheetView zoomScale="80" zoomScaleNormal="80" workbookViewId="0">
      <pane xSplit="2" ySplit="4" topLeftCell="C5" activePane="bottomRight" state="frozen"/>
      <selection activeCell="R305" sqref="R305"/>
      <selection pane="topRight" activeCell="R305" sqref="R305"/>
      <selection pane="bottomLeft" activeCell="R305" sqref="R305"/>
      <selection pane="bottomRight" activeCell="R305" sqref="R305"/>
    </sheetView>
  </sheetViews>
  <sheetFormatPr defaultColWidth="10.81640625" defaultRowHeight="12.5" x14ac:dyDescent="0.25"/>
  <cols>
    <col min="1" max="1" width="38.81640625" bestFit="1" customWidth="1"/>
    <col min="2" max="2" width="9.81640625" customWidth="1"/>
    <col min="3" max="3" width="13.26953125" customWidth="1"/>
    <col min="4" max="4" width="18.81640625" customWidth="1"/>
    <col min="5" max="5" width="18.453125" customWidth="1"/>
    <col min="6" max="6" width="11.7265625" customWidth="1"/>
    <col min="7" max="7" width="14.54296875" customWidth="1"/>
    <col min="8" max="8" width="16.7265625" customWidth="1"/>
    <col min="9" max="9" width="13.26953125" customWidth="1"/>
    <col min="10" max="10" width="17.7265625" customWidth="1"/>
    <col min="11" max="11" width="12.26953125" bestFit="1" customWidth="1"/>
  </cols>
  <sheetData>
    <row r="1" spans="1:10" ht="15.5" x14ac:dyDescent="0.35">
      <c r="A1" s="59" t="s">
        <v>129</v>
      </c>
      <c r="B1" s="60"/>
      <c r="E1" s="109" t="s">
        <v>677</v>
      </c>
      <c r="J1" s="61" t="s">
        <v>179</v>
      </c>
    </row>
    <row r="3" spans="1:10" x14ac:dyDescent="0.25">
      <c r="A3" s="62"/>
      <c r="B3" s="63"/>
      <c r="C3" s="70" t="s">
        <v>131</v>
      </c>
      <c r="D3" s="63"/>
      <c r="E3" s="63"/>
      <c r="F3" s="63"/>
      <c r="G3" s="63"/>
      <c r="H3" s="63"/>
      <c r="I3" s="63"/>
      <c r="J3" s="64"/>
    </row>
    <row r="4" spans="1:10" ht="13" x14ac:dyDescent="0.3">
      <c r="A4" s="70" t="s">
        <v>123</v>
      </c>
      <c r="B4" s="70" t="s">
        <v>9</v>
      </c>
      <c r="C4" s="110" t="s">
        <v>132</v>
      </c>
      <c r="D4" s="111" t="s">
        <v>180</v>
      </c>
      <c r="E4" s="111" t="s">
        <v>134</v>
      </c>
      <c r="F4" s="111" t="s">
        <v>182</v>
      </c>
      <c r="G4" s="111" t="s">
        <v>181</v>
      </c>
      <c r="H4" s="111" t="s">
        <v>135</v>
      </c>
      <c r="I4" s="111" t="s">
        <v>136</v>
      </c>
      <c r="J4" s="112" t="s">
        <v>137</v>
      </c>
    </row>
    <row r="5" spans="1:10" x14ac:dyDescent="0.25">
      <c r="A5" s="62" t="s">
        <v>138</v>
      </c>
      <c r="B5" s="65">
        <v>30100</v>
      </c>
      <c r="C5" s="66">
        <v>-3116.4300000000003</v>
      </c>
      <c r="D5" s="67">
        <v>0</v>
      </c>
      <c r="E5" s="67">
        <v>0</v>
      </c>
      <c r="F5" s="67">
        <v>0</v>
      </c>
      <c r="G5" s="67">
        <v>0</v>
      </c>
      <c r="H5" s="67">
        <v>0</v>
      </c>
      <c r="I5" s="67">
        <v>-3116.4300000000003</v>
      </c>
      <c r="J5" s="68">
        <v>-3116.4300000000003</v>
      </c>
    </row>
    <row r="6" spans="1:10" x14ac:dyDescent="0.25">
      <c r="A6" s="62" t="s">
        <v>139</v>
      </c>
      <c r="B6" s="65">
        <v>30200</v>
      </c>
      <c r="C6" s="66">
        <v>-1.9258550310041755E-10</v>
      </c>
      <c r="D6" s="67">
        <v>0</v>
      </c>
      <c r="E6" s="67">
        <v>0</v>
      </c>
      <c r="F6" s="67">
        <v>0</v>
      </c>
      <c r="G6" s="67">
        <v>0</v>
      </c>
      <c r="H6" s="67">
        <v>0</v>
      </c>
      <c r="I6" s="67">
        <v>-1.9258550310041755E-10</v>
      </c>
      <c r="J6" s="68">
        <v>-1.9258550310041755E-10</v>
      </c>
    </row>
    <row r="7" spans="1:10" x14ac:dyDescent="0.25">
      <c r="A7" s="62" t="s">
        <v>140</v>
      </c>
      <c r="B7" s="65">
        <v>30300</v>
      </c>
      <c r="C7" s="66">
        <v>-724877.96999999904</v>
      </c>
      <c r="D7" s="67">
        <v>-32613</v>
      </c>
      <c r="E7" s="67">
        <v>0</v>
      </c>
      <c r="F7" s="67">
        <v>0</v>
      </c>
      <c r="G7" s="67">
        <v>0</v>
      </c>
      <c r="H7" s="67">
        <v>0</v>
      </c>
      <c r="I7" s="67">
        <v>-757490.96999999904</v>
      </c>
      <c r="J7" s="68">
        <v>-741184.46999999904</v>
      </c>
    </row>
    <row r="8" spans="1:10" x14ac:dyDescent="0.25">
      <c r="A8" s="62" t="s">
        <v>141</v>
      </c>
      <c r="B8" s="65">
        <v>30301</v>
      </c>
      <c r="C8" s="66">
        <v>-16495213.029999999</v>
      </c>
      <c r="D8" s="67">
        <v>-1696894.75</v>
      </c>
      <c r="E8" s="67">
        <v>5854250.0299999993</v>
      </c>
      <c r="F8" s="67">
        <v>0</v>
      </c>
      <c r="G8" s="67">
        <v>0</v>
      </c>
      <c r="H8" s="67">
        <v>0</v>
      </c>
      <c r="I8" s="67">
        <v>-12337857.75</v>
      </c>
      <c r="J8" s="68">
        <v>-12389272.936923077</v>
      </c>
    </row>
    <row r="9" spans="1:10" x14ac:dyDescent="0.25">
      <c r="A9" s="62" t="s">
        <v>671</v>
      </c>
      <c r="B9" s="65">
        <v>30302</v>
      </c>
      <c r="C9" s="66">
        <v>0</v>
      </c>
      <c r="D9" s="67">
        <v>0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8">
        <v>0</v>
      </c>
    </row>
    <row r="10" spans="1:10" x14ac:dyDescent="0.25">
      <c r="A10" s="62" t="s">
        <v>142</v>
      </c>
      <c r="B10" s="65">
        <v>37400</v>
      </c>
      <c r="C10" s="66">
        <v>0</v>
      </c>
      <c r="D10" s="67">
        <v>0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8">
        <v>0</v>
      </c>
    </row>
    <row r="11" spans="1:10" x14ac:dyDescent="0.25">
      <c r="A11" s="62" t="s">
        <v>143</v>
      </c>
      <c r="B11" s="65">
        <v>37402</v>
      </c>
      <c r="C11" s="66">
        <v>-621779.84999999951</v>
      </c>
      <c r="D11" s="67">
        <v>-32885.699999999997</v>
      </c>
      <c r="E11" s="67">
        <v>0</v>
      </c>
      <c r="F11" s="67">
        <v>0</v>
      </c>
      <c r="G11" s="67">
        <v>0</v>
      </c>
      <c r="H11" s="67">
        <v>0</v>
      </c>
      <c r="I11" s="67">
        <v>-654665.54999999981</v>
      </c>
      <c r="J11" s="68">
        <v>-637024.35769230709</v>
      </c>
    </row>
    <row r="12" spans="1:10" x14ac:dyDescent="0.25">
      <c r="A12" s="62" t="s">
        <v>144</v>
      </c>
      <c r="B12" s="65">
        <v>37500</v>
      </c>
      <c r="C12" s="66">
        <v>-7452718.2000000002</v>
      </c>
      <c r="D12" s="67">
        <v>-476023.06999999995</v>
      </c>
      <c r="E12" s="67">
        <v>0</v>
      </c>
      <c r="F12" s="67">
        <v>0</v>
      </c>
      <c r="G12" s="67">
        <v>0</v>
      </c>
      <c r="H12" s="67">
        <v>0</v>
      </c>
      <c r="I12" s="67">
        <v>-7928741.2700000014</v>
      </c>
      <c r="J12" s="68">
        <v>-7689350.5546153858</v>
      </c>
    </row>
    <row r="13" spans="1:10" x14ac:dyDescent="0.25">
      <c r="A13" s="62" t="s">
        <v>145</v>
      </c>
      <c r="B13" s="65">
        <v>37600</v>
      </c>
      <c r="C13" s="66">
        <v>-206745843.82999998</v>
      </c>
      <c r="D13" s="67">
        <v>-15969078.390000001</v>
      </c>
      <c r="E13" s="67">
        <v>2271521.1100000003</v>
      </c>
      <c r="F13" s="67">
        <v>2412466.77</v>
      </c>
      <c r="G13" s="67">
        <v>10637.26</v>
      </c>
      <c r="H13" s="67">
        <v>0</v>
      </c>
      <c r="I13" s="67">
        <v>-218020297.08000004</v>
      </c>
      <c r="J13" s="68">
        <v>-212201197.14461544</v>
      </c>
    </row>
    <row r="14" spans="1:10" x14ac:dyDescent="0.25">
      <c r="A14" s="62" t="s">
        <v>146</v>
      </c>
      <c r="B14" s="65">
        <v>37602</v>
      </c>
      <c r="C14" s="66">
        <v>-126680258.59000005</v>
      </c>
      <c r="D14" s="67">
        <v>-11723953.089999998</v>
      </c>
      <c r="E14" s="67">
        <v>543219.1</v>
      </c>
      <c r="F14" s="67">
        <v>677922.17</v>
      </c>
      <c r="G14" s="67">
        <v>-1247.5100000000002</v>
      </c>
      <c r="H14" s="67">
        <v>0</v>
      </c>
      <c r="I14" s="67">
        <v>-137184317.92000005</v>
      </c>
      <c r="J14" s="68">
        <v>-131873508.83153853</v>
      </c>
    </row>
    <row r="15" spans="1:10" x14ac:dyDescent="0.25">
      <c r="A15" s="62" t="s">
        <v>147</v>
      </c>
      <c r="B15" s="65">
        <v>37800</v>
      </c>
      <c r="C15" s="66">
        <v>-2786056.5599999991</v>
      </c>
      <c r="D15" s="67">
        <v>-401586.31</v>
      </c>
      <c r="E15" s="67">
        <v>76233.399999999994</v>
      </c>
      <c r="F15" s="67">
        <v>31075.09</v>
      </c>
      <c r="G15" s="67">
        <v>0</v>
      </c>
      <c r="H15" s="67">
        <v>0</v>
      </c>
      <c r="I15" s="67">
        <v>-3080334.3799999994</v>
      </c>
      <c r="J15" s="68">
        <v>-2921796.2561538462</v>
      </c>
    </row>
    <row r="16" spans="1:10" x14ac:dyDescent="0.25">
      <c r="A16" s="62" t="s">
        <v>148</v>
      </c>
      <c r="B16" s="65">
        <v>37900</v>
      </c>
      <c r="C16" s="66">
        <v>-6507150.1899999976</v>
      </c>
      <c r="D16" s="67">
        <v>-1142582.17</v>
      </c>
      <c r="E16" s="67">
        <v>6130.88</v>
      </c>
      <c r="F16" s="67">
        <v>5882.36</v>
      </c>
      <c r="G16" s="67">
        <v>0</v>
      </c>
      <c r="H16" s="67">
        <v>0</v>
      </c>
      <c r="I16" s="67">
        <v>-7637719.1199999973</v>
      </c>
      <c r="J16" s="68">
        <v>-7074522.1169230724</v>
      </c>
    </row>
    <row r="17" spans="1:10" x14ac:dyDescent="0.25">
      <c r="A17" s="62" t="s">
        <v>149</v>
      </c>
      <c r="B17" s="65">
        <v>38000</v>
      </c>
      <c r="C17" s="66">
        <v>-50389425.689999998</v>
      </c>
      <c r="D17" s="67">
        <v>-3006008.8599999994</v>
      </c>
      <c r="E17" s="67">
        <v>297928.00000000012</v>
      </c>
      <c r="F17" s="67">
        <v>1613137.71</v>
      </c>
      <c r="G17" s="67">
        <v>-84</v>
      </c>
      <c r="H17" s="67">
        <v>0</v>
      </c>
      <c r="I17" s="67">
        <v>-51484452.840000011</v>
      </c>
      <c r="J17" s="68">
        <v>-51041035.113076933</v>
      </c>
    </row>
    <row r="18" spans="1:10" x14ac:dyDescent="0.25">
      <c r="A18" s="62" t="s">
        <v>150</v>
      </c>
      <c r="B18" s="65">
        <v>38002</v>
      </c>
      <c r="C18" s="66">
        <v>-124309897.25</v>
      </c>
      <c r="D18" s="67">
        <v>-11878740.950000001</v>
      </c>
      <c r="E18" s="67">
        <v>396791.63999999996</v>
      </c>
      <c r="F18" s="67">
        <v>1313550.27</v>
      </c>
      <c r="G18" s="67">
        <v>-833.85</v>
      </c>
      <c r="H18" s="67">
        <v>0</v>
      </c>
      <c r="I18" s="67">
        <v>-134479130.13999996</v>
      </c>
      <c r="J18" s="68">
        <v>-129452352.57538462</v>
      </c>
    </row>
    <row r="19" spans="1:10" x14ac:dyDescent="0.25">
      <c r="A19" s="62" t="s">
        <v>151</v>
      </c>
      <c r="B19" s="65">
        <v>38100</v>
      </c>
      <c r="C19" s="66">
        <v>-19327065.189999986</v>
      </c>
      <c r="D19" s="67">
        <v>-3582096.86</v>
      </c>
      <c r="E19" s="67">
        <v>1076327.8500000001</v>
      </c>
      <c r="F19" s="67">
        <v>24117.77</v>
      </c>
      <c r="G19" s="67">
        <v>-66484.55</v>
      </c>
      <c r="H19" s="67">
        <v>0</v>
      </c>
      <c r="I19" s="67">
        <v>-21875200.979999986</v>
      </c>
      <c r="J19" s="68">
        <v>-20488774.419999983</v>
      </c>
    </row>
    <row r="20" spans="1:10" x14ac:dyDescent="0.25">
      <c r="A20" s="62" t="s">
        <v>152</v>
      </c>
      <c r="B20" s="65">
        <v>38200</v>
      </c>
      <c r="C20" s="66">
        <v>-24199187.63000001</v>
      </c>
      <c r="D20" s="67">
        <v>-2159999.27</v>
      </c>
      <c r="E20" s="67">
        <v>319302.69</v>
      </c>
      <c r="F20" s="67">
        <v>210018.38</v>
      </c>
      <c r="G20" s="67">
        <v>0</v>
      </c>
      <c r="H20" s="67">
        <v>0</v>
      </c>
      <c r="I20" s="67">
        <v>-25829865.830000002</v>
      </c>
      <c r="J20" s="68">
        <v>-25096179.611538462</v>
      </c>
    </row>
    <row r="21" spans="1:10" x14ac:dyDescent="0.25">
      <c r="A21" s="62" t="s">
        <v>153</v>
      </c>
      <c r="B21" s="65">
        <v>38300</v>
      </c>
      <c r="C21" s="66">
        <v>-6065954.2000000002</v>
      </c>
      <c r="D21" s="67">
        <v>-516509.86</v>
      </c>
      <c r="E21" s="67">
        <v>64582.04</v>
      </c>
      <c r="F21" s="67">
        <v>0</v>
      </c>
      <c r="G21" s="67">
        <v>0</v>
      </c>
      <c r="H21" s="67">
        <v>0</v>
      </c>
      <c r="I21" s="67">
        <v>-6517882.0200000005</v>
      </c>
      <c r="J21" s="68">
        <v>-6317747.0530769248</v>
      </c>
    </row>
    <row r="22" spans="1:10" x14ac:dyDescent="0.25">
      <c r="A22" s="62" t="s">
        <v>154</v>
      </c>
      <c r="B22" s="65">
        <v>38400</v>
      </c>
      <c r="C22" s="66">
        <v>-9270617.2400000002</v>
      </c>
      <c r="D22" s="67">
        <v>-879122.80999999994</v>
      </c>
      <c r="E22" s="67">
        <v>78463.209999999992</v>
      </c>
      <c r="F22" s="67">
        <v>167547.76999999999</v>
      </c>
      <c r="G22" s="67">
        <v>0</v>
      </c>
      <c r="H22" s="67">
        <v>0</v>
      </c>
      <c r="I22" s="67">
        <v>-9903729.0699999966</v>
      </c>
      <c r="J22" s="68">
        <v>-9587507.6807692274</v>
      </c>
    </row>
    <row r="23" spans="1:10" x14ac:dyDescent="0.25">
      <c r="A23" s="62" t="s">
        <v>155</v>
      </c>
      <c r="B23" s="65">
        <v>38500</v>
      </c>
      <c r="C23" s="66">
        <v>-5169257.5599999996</v>
      </c>
      <c r="D23" s="67">
        <v>-282188.49999999994</v>
      </c>
      <c r="E23" s="67">
        <v>23703.08</v>
      </c>
      <c r="F23" s="67">
        <v>729.57</v>
      </c>
      <c r="G23" s="67">
        <v>0</v>
      </c>
      <c r="H23" s="67">
        <v>0</v>
      </c>
      <c r="I23" s="67">
        <v>-5427013.4100000001</v>
      </c>
      <c r="J23" s="68">
        <v>-5299182.1715384638</v>
      </c>
    </row>
    <row r="24" spans="1:10" x14ac:dyDescent="0.25">
      <c r="A24" s="62" t="s">
        <v>673</v>
      </c>
      <c r="B24" s="65">
        <v>38602</v>
      </c>
      <c r="C24" s="66">
        <v>0</v>
      </c>
      <c r="D24" s="67">
        <v>0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8">
        <v>0</v>
      </c>
    </row>
    <row r="25" spans="1:10" x14ac:dyDescent="0.25">
      <c r="A25" s="62" t="s">
        <v>674</v>
      </c>
      <c r="B25" s="65">
        <v>38608</v>
      </c>
      <c r="C25" s="66">
        <v>0</v>
      </c>
      <c r="D25" s="67">
        <v>0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8">
        <v>0</v>
      </c>
    </row>
    <row r="26" spans="1:10" x14ac:dyDescent="0.25">
      <c r="A26" s="62" t="s">
        <v>156</v>
      </c>
      <c r="B26" s="65">
        <v>38700</v>
      </c>
      <c r="C26" s="66">
        <v>-1837412.2899999996</v>
      </c>
      <c r="D26" s="67">
        <v>-351229.86999999994</v>
      </c>
      <c r="E26" s="67">
        <v>0</v>
      </c>
      <c r="F26" s="67">
        <v>0</v>
      </c>
      <c r="G26" s="67">
        <v>0</v>
      </c>
      <c r="H26" s="67">
        <v>0</v>
      </c>
      <c r="I26" s="67">
        <v>-2188642.1599999997</v>
      </c>
      <c r="J26" s="68">
        <v>-2011012.3623076926</v>
      </c>
    </row>
    <row r="27" spans="1:10" x14ac:dyDescent="0.25">
      <c r="A27" s="62" t="s">
        <v>157</v>
      </c>
      <c r="B27" s="65">
        <v>39000</v>
      </c>
      <c r="C27" s="66">
        <v>-10589.809999999972</v>
      </c>
      <c r="D27" s="67">
        <v>-296.01000000000005</v>
      </c>
      <c r="E27" s="67">
        <v>0</v>
      </c>
      <c r="F27" s="67">
        <v>0</v>
      </c>
      <c r="G27" s="67">
        <v>0</v>
      </c>
      <c r="H27" s="67">
        <v>0</v>
      </c>
      <c r="I27" s="67">
        <v>-10885.819999999974</v>
      </c>
      <c r="J27" s="68">
        <v>-10722.34538461535</v>
      </c>
    </row>
    <row r="28" spans="1:10" x14ac:dyDescent="0.25">
      <c r="A28" s="62" t="s">
        <v>158</v>
      </c>
      <c r="B28" s="65">
        <v>39002</v>
      </c>
      <c r="C28" s="66">
        <v>-7066.9999999999955</v>
      </c>
      <c r="D28" s="67">
        <v>-3069.9800000000009</v>
      </c>
      <c r="E28" s="67">
        <v>0</v>
      </c>
      <c r="F28" s="67">
        <v>0</v>
      </c>
      <c r="G28" s="67">
        <v>0</v>
      </c>
      <c r="H28" s="67">
        <v>0</v>
      </c>
      <c r="I28" s="67">
        <v>-10136.979999999996</v>
      </c>
      <c r="J28" s="68">
        <v>-8591.0661538461482</v>
      </c>
    </row>
    <row r="29" spans="1:10" x14ac:dyDescent="0.25">
      <c r="A29" s="62" t="s">
        <v>159</v>
      </c>
      <c r="B29" s="65">
        <v>39100</v>
      </c>
      <c r="C29" s="66">
        <v>-1156788.070000001</v>
      </c>
      <c r="D29" s="67">
        <v>-101696.21</v>
      </c>
      <c r="E29" s="67">
        <v>576000</v>
      </c>
      <c r="F29" s="67">
        <v>0</v>
      </c>
      <c r="G29" s="67">
        <v>0</v>
      </c>
      <c r="H29" s="67">
        <v>0</v>
      </c>
      <c r="I29" s="67">
        <v>-682484.28000000073</v>
      </c>
      <c r="J29" s="68">
        <v>-721908.76384615456</v>
      </c>
    </row>
    <row r="30" spans="1:10" x14ac:dyDescent="0.25">
      <c r="A30" s="62" t="s">
        <v>160</v>
      </c>
      <c r="B30" s="65">
        <v>39101</v>
      </c>
      <c r="C30" s="66">
        <v>-4470519.9400000023</v>
      </c>
      <c r="D30" s="67">
        <v>-667907.09000000008</v>
      </c>
      <c r="E30" s="67">
        <v>933953.06</v>
      </c>
      <c r="F30" s="67">
        <v>0</v>
      </c>
      <c r="G30" s="67">
        <v>0</v>
      </c>
      <c r="H30" s="67">
        <v>0</v>
      </c>
      <c r="I30" s="67">
        <v>-4204473.9700000025</v>
      </c>
      <c r="J30" s="68">
        <v>-4019942.3846153873</v>
      </c>
    </row>
    <row r="31" spans="1:10" x14ac:dyDescent="0.25">
      <c r="A31" s="62" t="s">
        <v>161</v>
      </c>
      <c r="B31" s="65">
        <v>39102</v>
      </c>
      <c r="C31" s="66">
        <v>-231711.42999999956</v>
      </c>
      <c r="D31" s="67">
        <v>-57655.649999999994</v>
      </c>
      <c r="E31" s="67">
        <v>0</v>
      </c>
      <c r="F31" s="67">
        <v>0</v>
      </c>
      <c r="G31" s="67">
        <v>0</v>
      </c>
      <c r="H31" s="67">
        <v>0</v>
      </c>
      <c r="I31" s="67">
        <v>-289367.07999999955</v>
      </c>
      <c r="J31" s="68">
        <v>-260210.35923076887</v>
      </c>
    </row>
    <row r="32" spans="1:10" x14ac:dyDescent="0.25">
      <c r="A32" s="62" t="s">
        <v>162</v>
      </c>
      <c r="B32" s="65">
        <v>39103</v>
      </c>
      <c r="C32" s="66">
        <v>0</v>
      </c>
      <c r="D32" s="67">
        <v>0</v>
      </c>
      <c r="E32" s="67">
        <v>0</v>
      </c>
      <c r="F32" s="67">
        <v>0</v>
      </c>
      <c r="G32" s="67">
        <v>0</v>
      </c>
      <c r="H32" s="67">
        <v>0</v>
      </c>
      <c r="I32" s="67">
        <v>0</v>
      </c>
      <c r="J32" s="68">
        <v>0</v>
      </c>
    </row>
    <row r="33" spans="1:10" x14ac:dyDescent="0.25">
      <c r="A33" s="62" t="s">
        <v>163</v>
      </c>
      <c r="B33" s="65">
        <v>39201</v>
      </c>
      <c r="C33" s="66">
        <v>-2596486.17</v>
      </c>
      <c r="D33" s="67">
        <v>-795656.48</v>
      </c>
      <c r="E33" s="67">
        <v>248255.03</v>
      </c>
      <c r="F33" s="67">
        <v>5200.1000000000004</v>
      </c>
      <c r="G33" s="67">
        <v>-57615.3</v>
      </c>
      <c r="H33" s="67">
        <v>0</v>
      </c>
      <c r="I33" s="67">
        <v>-3196302.8199999994</v>
      </c>
      <c r="J33" s="68">
        <v>-2851568.7899999996</v>
      </c>
    </row>
    <row r="34" spans="1:10" x14ac:dyDescent="0.25">
      <c r="A34" s="62" t="s">
        <v>164</v>
      </c>
      <c r="B34" s="65">
        <v>39202</v>
      </c>
      <c r="C34" s="66">
        <v>-3435958.8699999992</v>
      </c>
      <c r="D34" s="67">
        <v>-808623.02</v>
      </c>
      <c r="E34" s="67">
        <v>425514.52999999997</v>
      </c>
      <c r="F34" s="67">
        <v>2970.16</v>
      </c>
      <c r="G34" s="67">
        <v>-83279.7</v>
      </c>
      <c r="H34" s="67">
        <v>0</v>
      </c>
      <c r="I34" s="67">
        <v>-3899376.8999999994</v>
      </c>
      <c r="J34" s="68">
        <v>-3648077.6038461532</v>
      </c>
    </row>
    <row r="35" spans="1:10" x14ac:dyDescent="0.25">
      <c r="A35" s="62" t="s">
        <v>165</v>
      </c>
      <c r="B35" s="65">
        <v>39203</v>
      </c>
      <c r="C35" s="66">
        <v>0.4599999999627471</v>
      </c>
      <c r="D35" s="67">
        <v>0</v>
      </c>
      <c r="E35" s="67">
        <v>0</v>
      </c>
      <c r="F35" s="67">
        <v>0</v>
      </c>
      <c r="G35" s="67">
        <v>0</v>
      </c>
      <c r="H35" s="67">
        <v>0</v>
      </c>
      <c r="I35" s="67">
        <v>0.4599999999627471</v>
      </c>
      <c r="J35" s="68">
        <v>0.4599999999627471</v>
      </c>
    </row>
    <row r="36" spans="1:10" x14ac:dyDescent="0.25">
      <c r="A36" s="62" t="s">
        <v>166</v>
      </c>
      <c r="B36" s="65">
        <v>39204</v>
      </c>
      <c r="C36" s="66">
        <v>-167460.75999999989</v>
      </c>
      <c r="D36" s="67">
        <v>-46001.94000000001</v>
      </c>
      <c r="E36" s="67">
        <v>2292.7399999999998</v>
      </c>
      <c r="F36" s="67">
        <v>0</v>
      </c>
      <c r="G36" s="67">
        <v>-50</v>
      </c>
      <c r="H36" s="67">
        <v>0</v>
      </c>
      <c r="I36" s="67">
        <v>-211219.95999999993</v>
      </c>
      <c r="J36" s="68">
        <v>-189422.18846153838</v>
      </c>
    </row>
    <row r="37" spans="1:10" x14ac:dyDescent="0.25">
      <c r="A37" s="62" t="s">
        <v>167</v>
      </c>
      <c r="B37" s="65">
        <v>39205</v>
      </c>
      <c r="C37" s="66">
        <v>-585830.0399999998</v>
      </c>
      <c r="D37" s="67">
        <v>-116292.23999999999</v>
      </c>
      <c r="E37" s="67">
        <v>32788.949999999997</v>
      </c>
      <c r="F37" s="67">
        <v>0</v>
      </c>
      <c r="G37" s="67">
        <v>-515</v>
      </c>
      <c r="H37" s="67">
        <v>0</v>
      </c>
      <c r="I37" s="67">
        <v>-669848.32999999996</v>
      </c>
      <c r="J37" s="68">
        <v>-624772.26230769197</v>
      </c>
    </row>
    <row r="38" spans="1:10" x14ac:dyDescent="0.25">
      <c r="A38" s="62" t="s">
        <v>168</v>
      </c>
      <c r="B38" s="65">
        <v>39300</v>
      </c>
      <c r="C38" s="66">
        <v>4615.2299999999341</v>
      </c>
      <c r="D38" s="67">
        <v>-47.080000000000005</v>
      </c>
      <c r="E38" s="67">
        <v>0</v>
      </c>
      <c r="F38" s="67">
        <v>0</v>
      </c>
      <c r="G38" s="67">
        <v>0</v>
      </c>
      <c r="H38" s="67">
        <v>0</v>
      </c>
      <c r="I38" s="67">
        <v>4568.1499999999342</v>
      </c>
      <c r="J38" s="68">
        <v>4593.5007692307026</v>
      </c>
    </row>
    <row r="39" spans="1:10" x14ac:dyDescent="0.25">
      <c r="A39" s="62" t="s">
        <v>169</v>
      </c>
      <c r="B39" s="65">
        <v>39400</v>
      </c>
      <c r="C39" s="66">
        <v>-850578.37000000046</v>
      </c>
      <c r="D39" s="67">
        <v>-335370.61</v>
      </c>
      <c r="E39" s="67">
        <v>10941.39</v>
      </c>
      <c r="F39" s="67">
        <v>0</v>
      </c>
      <c r="G39" s="67">
        <v>0</v>
      </c>
      <c r="H39" s="67">
        <v>0</v>
      </c>
      <c r="I39" s="67">
        <v>-1175007.5900000001</v>
      </c>
      <c r="J39" s="68">
        <v>-998131.09230769263</v>
      </c>
    </row>
    <row r="40" spans="1:10" x14ac:dyDescent="0.25">
      <c r="A40" s="62" t="s">
        <v>666</v>
      </c>
      <c r="B40" s="65">
        <v>39401</v>
      </c>
      <c r="C40" s="66">
        <v>0</v>
      </c>
      <c r="D40" s="67">
        <v>-467.17000000000007</v>
      </c>
      <c r="E40" s="67">
        <v>0</v>
      </c>
      <c r="F40" s="67">
        <v>0</v>
      </c>
      <c r="G40" s="67">
        <v>0</v>
      </c>
      <c r="H40" s="67">
        <v>0</v>
      </c>
      <c r="I40" s="67">
        <v>-467.17000000000007</v>
      </c>
      <c r="J40" s="68">
        <v>-215.61692307692309</v>
      </c>
    </row>
    <row r="41" spans="1:10" x14ac:dyDescent="0.25">
      <c r="A41" s="62" t="s">
        <v>170</v>
      </c>
      <c r="B41" s="65">
        <v>39500</v>
      </c>
      <c r="C41" s="66">
        <v>14417.43999999985</v>
      </c>
      <c r="D41" s="67">
        <v>0</v>
      </c>
      <c r="E41" s="67">
        <v>0</v>
      </c>
      <c r="F41" s="67">
        <v>0</v>
      </c>
      <c r="G41" s="67">
        <v>0</v>
      </c>
      <c r="H41" s="67">
        <v>0</v>
      </c>
      <c r="I41" s="67">
        <v>14417.43999999985</v>
      </c>
      <c r="J41" s="68">
        <v>14417.439999999857</v>
      </c>
    </row>
    <row r="42" spans="1:10" x14ac:dyDescent="0.25">
      <c r="A42" s="62" t="s">
        <v>171</v>
      </c>
      <c r="B42" s="65">
        <v>39600</v>
      </c>
      <c r="C42" s="66">
        <v>-1138250.2500000007</v>
      </c>
      <c r="D42" s="67">
        <v>-171998.95</v>
      </c>
      <c r="E42" s="67">
        <v>0</v>
      </c>
      <c r="F42" s="67">
        <v>0</v>
      </c>
      <c r="G42" s="67">
        <v>0</v>
      </c>
      <c r="H42" s="67">
        <v>0</v>
      </c>
      <c r="I42" s="67">
        <v>-1310249.2000000009</v>
      </c>
      <c r="J42" s="68">
        <v>-1223359.8769230777</v>
      </c>
    </row>
    <row r="43" spans="1:10" x14ac:dyDescent="0.25">
      <c r="A43" s="62" t="s">
        <v>172</v>
      </c>
      <c r="B43" s="65">
        <v>39700</v>
      </c>
      <c r="C43" s="66">
        <v>-2881688.0799999973</v>
      </c>
      <c r="D43" s="67">
        <v>-407237.53</v>
      </c>
      <c r="E43" s="67">
        <v>224380.83999999997</v>
      </c>
      <c r="F43" s="67">
        <v>0</v>
      </c>
      <c r="G43" s="67">
        <v>0</v>
      </c>
      <c r="H43" s="67">
        <v>0</v>
      </c>
      <c r="I43" s="67">
        <v>-3064544.7699999968</v>
      </c>
      <c r="J43" s="68">
        <v>-2896457.896153843</v>
      </c>
    </row>
    <row r="44" spans="1:10" x14ac:dyDescent="0.25">
      <c r="A44" s="62" t="s">
        <v>173</v>
      </c>
      <c r="B44" s="65">
        <v>39800</v>
      </c>
      <c r="C44" s="66">
        <v>-314495.8600000001</v>
      </c>
      <c r="D44" s="67">
        <v>-26115.360000000001</v>
      </c>
      <c r="E44" s="67">
        <v>20472.060000000001</v>
      </c>
      <c r="F44" s="67">
        <v>0</v>
      </c>
      <c r="G44" s="67">
        <v>0</v>
      </c>
      <c r="H44" s="67">
        <v>0</v>
      </c>
      <c r="I44" s="67">
        <v>-320139.16000000003</v>
      </c>
      <c r="J44" s="68">
        <v>-310136.66384615382</v>
      </c>
    </row>
    <row r="45" spans="1:10" x14ac:dyDescent="0.25">
      <c r="A45" s="62" t="s">
        <v>676</v>
      </c>
      <c r="B45" s="65">
        <v>39900</v>
      </c>
      <c r="C45" s="66">
        <v>0</v>
      </c>
      <c r="D45" s="67">
        <v>0</v>
      </c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8">
        <v>0</v>
      </c>
    </row>
    <row r="46" spans="1:10" ht="13" x14ac:dyDescent="0.3">
      <c r="A46" s="113" t="s">
        <v>174</v>
      </c>
      <c r="B46" s="114"/>
      <c r="C46" s="115">
        <v>-626414223.21999979</v>
      </c>
      <c r="D46" s="116">
        <v>-57669948.780000001</v>
      </c>
      <c r="E46" s="116">
        <v>13483051.630000001</v>
      </c>
      <c r="F46" s="116">
        <v>6464618.1199999982</v>
      </c>
      <c r="G46" s="116">
        <v>-199472.65000000002</v>
      </c>
      <c r="H46" s="116">
        <v>0</v>
      </c>
      <c r="I46" s="116">
        <v>-664335974.90000021</v>
      </c>
      <c r="J46" s="117">
        <v>-642569269.59538448</v>
      </c>
    </row>
    <row r="48" spans="1:10" x14ac:dyDescent="0.25">
      <c r="I48" s="94"/>
    </row>
    <row r="50" spans="1:11" x14ac:dyDescent="0.25">
      <c r="A50" s="119" t="s">
        <v>678</v>
      </c>
      <c r="B50" s="120"/>
      <c r="C50" s="94">
        <v>0</v>
      </c>
      <c r="D50" s="94">
        <v>0</v>
      </c>
      <c r="F50" s="94">
        <v>0</v>
      </c>
      <c r="G50" s="94">
        <v>0</v>
      </c>
      <c r="H50" s="94">
        <v>0</v>
      </c>
      <c r="I50" s="94">
        <v>0</v>
      </c>
      <c r="J50" s="94">
        <v>0</v>
      </c>
      <c r="K50" s="10"/>
    </row>
    <row r="52" spans="1:11" x14ac:dyDescent="0.25">
      <c r="A52" s="118" t="s">
        <v>183</v>
      </c>
      <c r="B52" s="1">
        <v>11501</v>
      </c>
      <c r="C52" s="94">
        <v>-4111754.4699999928</v>
      </c>
      <c r="D52" s="94">
        <v>-149145.84000000003</v>
      </c>
      <c r="E52" s="94">
        <v>0</v>
      </c>
      <c r="F52" s="94">
        <v>0</v>
      </c>
      <c r="G52" s="94">
        <v>0</v>
      </c>
      <c r="H52" s="94">
        <v>0</v>
      </c>
      <c r="I52" s="94">
        <v>-4260900.3099999931</v>
      </c>
      <c r="J52" s="94">
        <v>-4186327.3899999931</v>
      </c>
      <c r="K52" s="10">
        <v>0</v>
      </c>
    </row>
    <row r="54" spans="1:11" x14ac:dyDescent="0.25">
      <c r="A54" t="s">
        <v>175</v>
      </c>
      <c r="B54" s="1">
        <v>10500</v>
      </c>
      <c r="C54" s="94">
        <v>0</v>
      </c>
      <c r="D54" s="94">
        <v>0</v>
      </c>
      <c r="E54" s="94">
        <v>0</v>
      </c>
      <c r="F54" s="94">
        <v>0</v>
      </c>
      <c r="G54" s="94">
        <v>0</v>
      </c>
      <c r="H54" s="94">
        <v>0</v>
      </c>
      <c r="I54" s="94">
        <v>0</v>
      </c>
      <c r="J54" s="94">
        <v>0</v>
      </c>
      <c r="K54" s="10">
        <v>0</v>
      </c>
    </row>
    <row r="56" spans="1:11" ht="13.5" thickBot="1" x14ac:dyDescent="0.35">
      <c r="A56" t="s">
        <v>184</v>
      </c>
      <c r="C56" s="69">
        <v>-630525977.68999982</v>
      </c>
      <c r="D56" s="69">
        <v>-57819094.620000005</v>
      </c>
      <c r="E56" s="69">
        <v>13483051.630000001</v>
      </c>
      <c r="F56" s="69">
        <v>6464618.1199999982</v>
      </c>
      <c r="G56" s="69">
        <v>-199472.65000000002</v>
      </c>
      <c r="H56" s="69">
        <v>0</v>
      </c>
      <c r="I56" s="69">
        <v>-668596875.21000016</v>
      </c>
      <c r="J56" s="69">
        <v>-646755596.98538446</v>
      </c>
      <c r="K56" s="10">
        <v>0</v>
      </c>
    </row>
    <row r="57" spans="1:11" ht="13" thickTop="1" x14ac:dyDescent="0.25">
      <c r="A57" s="25"/>
      <c r="B57" s="25"/>
      <c r="C57" s="25"/>
      <c r="D57" s="25"/>
      <c r="E57" s="25"/>
      <c r="F57" s="25"/>
      <c r="G57" s="25"/>
      <c r="H57" s="25"/>
      <c r="I57" s="25"/>
      <c r="J57" s="25"/>
    </row>
    <row r="58" spans="1:11" x14ac:dyDescent="0.25">
      <c r="B58" s="7" t="s">
        <v>178</v>
      </c>
      <c r="C58" s="94">
        <v>0</v>
      </c>
      <c r="D58" s="94">
        <v>0</v>
      </c>
      <c r="E58" s="94">
        <v>0</v>
      </c>
      <c r="F58" s="94">
        <v>0</v>
      </c>
      <c r="G58" s="94">
        <v>0</v>
      </c>
      <c r="H58" s="94">
        <v>0</v>
      </c>
      <c r="I58" s="94">
        <v>0</v>
      </c>
      <c r="J58" s="94">
        <v>0</v>
      </c>
    </row>
    <row r="59" spans="1:11" x14ac:dyDescent="0.25">
      <c r="B59" s="7" t="s">
        <v>178</v>
      </c>
      <c r="C59" s="94">
        <v>0</v>
      </c>
      <c r="D59" s="94">
        <v>0</v>
      </c>
      <c r="E59" s="94">
        <v>0</v>
      </c>
      <c r="F59" s="94">
        <v>0</v>
      </c>
      <c r="G59" s="94">
        <v>0</v>
      </c>
      <c r="H59" s="94">
        <v>0</v>
      </c>
      <c r="I59" s="94">
        <v>0</v>
      </c>
      <c r="J59" s="94">
        <v>0</v>
      </c>
    </row>
    <row r="60" spans="1:11" x14ac:dyDescent="0.25">
      <c r="F60" s="91"/>
      <c r="G60" s="77"/>
      <c r="I60" s="10"/>
    </row>
    <row r="61" spans="1:11" x14ac:dyDescent="0.25">
      <c r="D61" s="121"/>
      <c r="F61" s="10"/>
      <c r="G61" s="10"/>
      <c r="I61" s="10"/>
    </row>
    <row r="62" spans="1:11" x14ac:dyDescent="0.25">
      <c r="D62" s="94"/>
      <c r="E62" s="94"/>
      <c r="F62" s="94"/>
    </row>
    <row r="63" spans="1:11" x14ac:dyDescent="0.25">
      <c r="I63" s="10"/>
    </row>
    <row r="67" spans="4:6" x14ac:dyDescent="0.25">
      <c r="D67" s="94"/>
      <c r="E67" s="94"/>
      <c r="F67" s="94"/>
    </row>
    <row r="68" spans="4:6" x14ac:dyDescent="0.25">
      <c r="D68" s="94"/>
      <c r="E68" s="94"/>
      <c r="F68" s="94"/>
    </row>
    <row r="69" spans="4:6" x14ac:dyDescent="0.25">
      <c r="D69" s="94"/>
      <c r="E69" s="94"/>
      <c r="F69" s="94"/>
    </row>
    <row r="70" spans="4:6" x14ac:dyDescent="0.25">
      <c r="D70" s="94"/>
      <c r="E70" s="94"/>
      <c r="F70" s="94"/>
    </row>
    <row r="71" spans="4:6" x14ac:dyDescent="0.25">
      <c r="D71" s="94"/>
      <c r="E71" s="94"/>
      <c r="F71" s="94"/>
    </row>
    <row r="72" spans="4:6" x14ac:dyDescent="0.25">
      <c r="D72" s="94"/>
      <c r="E72" s="94"/>
      <c r="F72" s="94"/>
    </row>
    <row r="73" spans="4:6" x14ac:dyDescent="0.25">
      <c r="D73" s="94"/>
      <c r="E73" s="94"/>
      <c r="F73" s="94"/>
    </row>
    <row r="74" spans="4:6" x14ac:dyDescent="0.25">
      <c r="D74" s="94"/>
      <c r="E74" s="94"/>
      <c r="F74" s="94"/>
    </row>
    <row r="75" spans="4:6" x14ac:dyDescent="0.25">
      <c r="F75" s="10"/>
    </row>
  </sheetData>
  <phoneticPr fontId="0" type="noConversion"/>
  <printOptions horizontalCentered="1"/>
  <pageMargins left="0.75" right="0.75" top="1" bottom="1" header="0.5" footer="0.5"/>
  <pageSetup scale="64" orientation="landscape" r:id="rId1"/>
  <headerFooter alignWithMargins="0"/>
  <customProperties>
    <customPr name="EpmWorksheetKeyString_GU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469"/>
  <sheetViews>
    <sheetView workbookViewId="0">
      <selection activeCell="R305" sqref="R305"/>
    </sheetView>
  </sheetViews>
  <sheetFormatPr defaultRowHeight="12.5" x14ac:dyDescent="0.25"/>
  <cols>
    <col min="1" max="2" width="11.7265625" style="1" bestFit="1" customWidth="1"/>
    <col min="3" max="3" width="10.7265625" style="1" bestFit="1" customWidth="1"/>
    <col min="4" max="4" width="34.26953125" bestFit="1" customWidth="1"/>
    <col min="5" max="5" width="18" bestFit="1" customWidth="1"/>
    <col min="6" max="6" width="12.7265625" style="1" bestFit="1" customWidth="1"/>
    <col min="7" max="7" width="21.54296875" style="1" bestFit="1" customWidth="1"/>
    <col min="8" max="8" width="14.1796875" bestFit="1" customWidth="1"/>
    <col min="9" max="9" width="10.453125" bestFit="1" customWidth="1"/>
    <col min="10" max="10" width="15.54296875" bestFit="1" customWidth="1"/>
    <col min="11" max="11" width="9" bestFit="1" customWidth="1"/>
    <col min="12" max="12" width="14.1796875" bestFit="1" customWidth="1"/>
  </cols>
  <sheetData>
    <row r="1" spans="1:12" ht="13" x14ac:dyDescent="0.3">
      <c r="A1" s="126" t="s">
        <v>660</v>
      </c>
      <c r="B1" s="123" t="s">
        <v>681</v>
      </c>
      <c r="C1" s="123" t="s">
        <v>682</v>
      </c>
      <c r="D1" s="124" t="s">
        <v>683</v>
      </c>
      <c r="E1" s="124" t="s">
        <v>684</v>
      </c>
      <c r="F1" s="123" t="s">
        <v>685</v>
      </c>
      <c r="G1" s="123" t="s">
        <v>686</v>
      </c>
      <c r="H1" s="128" t="s">
        <v>687</v>
      </c>
      <c r="I1" s="128" t="s">
        <v>688</v>
      </c>
      <c r="J1" s="128" t="s">
        <v>689</v>
      </c>
      <c r="K1" s="128" t="s">
        <v>690</v>
      </c>
      <c r="L1" s="128" t="s">
        <v>691</v>
      </c>
    </row>
    <row r="2" spans="1:12" ht="13" x14ac:dyDescent="0.3">
      <c r="A2" s="127">
        <v>30100</v>
      </c>
      <c r="B2" s="1" t="s">
        <v>692</v>
      </c>
      <c r="C2" s="1" t="s">
        <v>692</v>
      </c>
      <c r="D2" t="s">
        <v>185</v>
      </c>
      <c r="E2" t="s">
        <v>89</v>
      </c>
      <c r="F2" s="1" t="s">
        <v>693</v>
      </c>
      <c r="G2" s="1" t="s">
        <v>694</v>
      </c>
      <c r="H2" s="9">
        <v>0</v>
      </c>
      <c r="I2" s="9">
        <v>0</v>
      </c>
      <c r="J2" s="9">
        <v>0</v>
      </c>
      <c r="K2" s="9">
        <v>0</v>
      </c>
      <c r="L2" s="125">
        <v>0</v>
      </c>
    </row>
    <row r="3" spans="1:12" ht="13" x14ac:dyDescent="0.3">
      <c r="A3" s="127">
        <v>30100</v>
      </c>
      <c r="B3" s="1" t="s">
        <v>692</v>
      </c>
      <c r="C3" s="1" t="s">
        <v>692</v>
      </c>
      <c r="D3" t="s">
        <v>247</v>
      </c>
      <c r="E3" t="s">
        <v>89</v>
      </c>
      <c r="F3" s="1" t="s">
        <v>693</v>
      </c>
      <c r="G3" s="1" t="s">
        <v>694</v>
      </c>
      <c r="H3" s="9">
        <v>0</v>
      </c>
      <c r="I3" s="9">
        <v>0</v>
      </c>
      <c r="J3" s="9">
        <v>0</v>
      </c>
      <c r="K3" s="9">
        <v>0</v>
      </c>
      <c r="L3" s="125">
        <v>0</v>
      </c>
    </row>
    <row r="4" spans="1:12" ht="13" x14ac:dyDescent="0.3">
      <c r="A4" s="127">
        <v>30100</v>
      </c>
      <c r="B4" s="1" t="s">
        <v>692</v>
      </c>
      <c r="C4" s="1" t="s">
        <v>692</v>
      </c>
      <c r="D4" t="s">
        <v>510</v>
      </c>
      <c r="E4" t="s">
        <v>89</v>
      </c>
      <c r="F4" s="1" t="s">
        <v>693</v>
      </c>
      <c r="G4" s="1" t="s">
        <v>694</v>
      </c>
      <c r="H4" s="9">
        <v>0</v>
      </c>
      <c r="I4" s="9">
        <v>0</v>
      </c>
      <c r="J4" s="9">
        <v>0</v>
      </c>
      <c r="K4" s="9">
        <v>0</v>
      </c>
      <c r="L4" s="125">
        <v>0</v>
      </c>
    </row>
    <row r="5" spans="1:12" ht="13" x14ac:dyDescent="0.3">
      <c r="A5" s="127">
        <v>30100</v>
      </c>
      <c r="B5" s="1" t="s">
        <v>692</v>
      </c>
      <c r="C5" s="1" t="s">
        <v>692</v>
      </c>
      <c r="D5" t="s">
        <v>547</v>
      </c>
      <c r="E5" t="s">
        <v>89</v>
      </c>
      <c r="F5" s="1" t="s">
        <v>693</v>
      </c>
      <c r="G5" s="1" t="s">
        <v>694</v>
      </c>
      <c r="H5" s="9">
        <v>0</v>
      </c>
      <c r="I5" s="9">
        <v>0</v>
      </c>
      <c r="J5" s="9">
        <v>0</v>
      </c>
      <c r="K5" s="9">
        <v>0</v>
      </c>
      <c r="L5" s="125">
        <v>0</v>
      </c>
    </row>
    <row r="6" spans="1:12" ht="13" x14ac:dyDescent="0.3">
      <c r="A6" s="127">
        <v>30100</v>
      </c>
      <c r="B6" s="1" t="s">
        <v>692</v>
      </c>
      <c r="C6" s="1" t="s">
        <v>692</v>
      </c>
      <c r="D6" t="s">
        <v>617</v>
      </c>
      <c r="E6" t="s">
        <v>89</v>
      </c>
      <c r="F6" s="1" t="s">
        <v>693</v>
      </c>
      <c r="G6" s="1" t="s">
        <v>694</v>
      </c>
      <c r="H6" s="9">
        <v>0</v>
      </c>
      <c r="I6" s="9">
        <v>0</v>
      </c>
      <c r="J6" s="9">
        <v>0</v>
      </c>
      <c r="K6" s="9">
        <v>0</v>
      </c>
      <c r="L6" s="125">
        <v>0</v>
      </c>
    </row>
    <row r="7" spans="1:12" ht="13" x14ac:dyDescent="0.3">
      <c r="A7" s="127">
        <v>30200</v>
      </c>
      <c r="B7" s="1" t="s">
        <v>692</v>
      </c>
      <c r="C7" s="1" t="s">
        <v>692</v>
      </c>
      <c r="D7" t="s">
        <v>186</v>
      </c>
      <c r="E7" t="s">
        <v>89</v>
      </c>
      <c r="F7" s="1" t="s">
        <v>693</v>
      </c>
      <c r="G7" s="1" t="s">
        <v>694</v>
      </c>
      <c r="H7" s="9">
        <v>0</v>
      </c>
      <c r="I7" s="9">
        <v>0</v>
      </c>
      <c r="J7" s="9">
        <v>0</v>
      </c>
      <c r="K7" s="9">
        <v>0</v>
      </c>
      <c r="L7" s="125">
        <v>0</v>
      </c>
    </row>
    <row r="8" spans="1:12" ht="13" x14ac:dyDescent="0.3">
      <c r="A8" s="127">
        <v>30200</v>
      </c>
      <c r="B8" s="1" t="s">
        <v>692</v>
      </c>
      <c r="C8" s="1" t="s">
        <v>692</v>
      </c>
      <c r="D8" t="s">
        <v>248</v>
      </c>
      <c r="E8" t="s">
        <v>89</v>
      </c>
      <c r="F8" s="1" t="s">
        <v>693</v>
      </c>
      <c r="G8" s="1" t="s">
        <v>694</v>
      </c>
      <c r="H8" s="9">
        <v>0</v>
      </c>
      <c r="I8" s="9">
        <v>0</v>
      </c>
      <c r="J8" s="9">
        <v>0</v>
      </c>
      <c r="K8" s="9">
        <v>0</v>
      </c>
      <c r="L8" s="125">
        <v>0</v>
      </c>
    </row>
    <row r="9" spans="1:12" ht="13" x14ac:dyDescent="0.3">
      <c r="A9" s="127">
        <v>30200</v>
      </c>
      <c r="B9" s="1" t="s">
        <v>692</v>
      </c>
      <c r="C9" s="1" t="s">
        <v>692</v>
      </c>
      <c r="D9" t="s">
        <v>308</v>
      </c>
      <c r="E9" t="s">
        <v>89</v>
      </c>
      <c r="F9" s="1" t="s">
        <v>693</v>
      </c>
      <c r="G9" s="1" t="s">
        <v>694</v>
      </c>
      <c r="H9" s="9">
        <v>0</v>
      </c>
      <c r="I9" s="9">
        <v>0</v>
      </c>
      <c r="J9" s="9">
        <v>0</v>
      </c>
      <c r="K9" s="9">
        <v>0</v>
      </c>
      <c r="L9" s="125">
        <v>0</v>
      </c>
    </row>
    <row r="10" spans="1:12" ht="13" x14ac:dyDescent="0.3">
      <c r="A10" s="127">
        <v>30200</v>
      </c>
      <c r="B10" s="1" t="s">
        <v>692</v>
      </c>
      <c r="C10" s="1" t="s">
        <v>692</v>
      </c>
      <c r="D10" t="s">
        <v>400</v>
      </c>
      <c r="E10" t="s">
        <v>89</v>
      </c>
      <c r="F10" s="1" t="s">
        <v>693</v>
      </c>
      <c r="G10" s="1" t="s">
        <v>694</v>
      </c>
      <c r="H10" s="9">
        <v>0</v>
      </c>
      <c r="I10" s="9">
        <v>0</v>
      </c>
      <c r="J10" s="9">
        <v>0</v>
      </c>
      <c r="K10" s="9">
        <v>0</v>
      </c>
      <c r="L10" s="125">
        <v>0</v>
      </c>
    </row>
    <row r="11" spans="1:12" ht="13" x14ac:dyDescent="0.3">
      <c r="A11" s="127">
        <v>30200</v>
      </c>
      <c r="B11" s="1" t="s">
        <v>692</v>
      </c>
      <c r="C11" s="1" t="s">
        <v>692</v>
      </c>
      <c r="D11" t="s">
        <v>511</v>
      </c>
      <c r="E11" t="s">
        <v>89</v>
      </c>
      <c r="F11" s="1" t="s">
        <v>693</v>
      </c>
      <c r="G11" s="1" t="s">
        <v>694</v>
      </c>
      <c r="H11" s="9">
        <v>0</v>
      </c>
      <c r="I11" s="9">
        <v>0</v>
      </c>
      <c r="J11" s="9">
        <v>0</v>
      </c>
      <c r="K11" s="9">
        <v>0</v>
      </c>
      <c r="L11" s="125">
        <v>0</v>
      </c>
    </row>
    <row r="12" spans="1:12" ht="13" x14ac:dyDescent="0.3">
      <c r="A12" s="127">
        <v>30200</v>
      </c>
      <c r="B12" s="1" t="s">
        <v>692</v>
      </c>
      <c r="C12" s="1" t="s">
        <v>692</v>
      </c>
      <c r="D12" t="s">
        <v>548</v>
      </c>
      <c r="E12" t="s">
        <v>89</v>
      </c>
      <c r="F12" s="1" t="s">
        <v>693</v>
      </c>
      <c r="G12" s="1" t="s">
        <v>694</v>
      </c>
      <c r="H12" s="9">
        <v>0</v>
      </c>
      <c r="I12" s="9">
        <v>0</v>
      </c>
      <c r="J12" s="9">
        <v>0</v>
      </c>
      <c r="K12" s="9">
        <v>0</v>
      </c>
      <c r="L12" s="125">
        <v>0</v>
      </c>
    </row>
    <row r="13" spans="1:12" ht="13" x14ac:dyDescent="0.3">
      <c r="A13" s="127">
        <v>30200</v>
      </c>
      <c r="B13" s="1" t="s">
        <v>692</v>
      </c>
      <c r="C13" s="1" t="s">
        <v>692</v>
      </c>
      <c r="D13" t="s">
        <v>618</v>
      </c>
      <c r="E13" t="s">
        <v>89</v>
      </c>
      <c r="F13" s="1" t="s">
        <v>693</v>
      </c>
      <c r="G13" s="1" t="s">
        <v>694</v>
      </c>
      <c r="H13" s="9">
        <v>0</v>
      </c>
      <c r="I13" s="9">
        <v>0</v>
      </c>
      <c r="J13" s="9">
        <v>0</v>
      </c>
      <c r="K13" s="9">
        <v>0</v>
      </c>
      <c r="L13" s="125">
        <v>0</v>
      </c>
    </row>
    <row r="14" spans="1:12" ht="13" x14ac:dyDescent="0.3">
      <c r="A14" s="127">
        <v>30300</v>
      </c>
      <c r="B14" s="1" t="s">
        <v>692</v>
      </c>
      <c r="C14" s="1" t="s">
        <v>692</v>
      </c>
      <c r="D14" t="s">
        <v>512</v>
      </c>
      <c r="E14" t="s">
        <v>89</v>
      </c>
      <c r="F14" s="1" t="s">
        <v>693</v>
      </c>
      <c r="G14" s="1" t="s">
        <v>694</v>
      </c>
      <c r="H14" s="9">
        <v>0</v>
      </c>
      <c r="I14" s="9">
        <v>0</v>
      </c>
      <c r="J14" s="9">
        <v>0</v>
      </c>
      <c r="K14" s="9">
        <v>0</v>
      </c>
      <c r="L14" s="125">
        <v>0</v>
      </c>
    </row>
    <row r="15" spans="1:12" ht="13" x14ac:dyDescent="0.3">
      <c r="A15" s="127">
        <v>30300</v>
      </c>
      <c r="B15" s="1" t="s">
        <v>692</v>
      </c>
      <c r="C15" s="1" t="s">
        <v>692</v>
      </c>
      <c r="D15" t="s">
        <v>549</v>
      </c>
      <c r="E15" t="s">
        <v>89</v>
      </c>
      <c r="F15" s="1" t="s">
        <v>693</v>
      </c>
      <c r="G15" s="1" t="s">
        <v>694</v>
      </c>
      <c r="H15" s="9">
        <v>0</v>
      </c>
      <c r="I15" s="9">
        <v>0</v>
      </c>
      <c r="J15" s="9">
        <v>0</v>
      </c>
      <c r="K15" s="9">
        <v>0</v>
      </c>
      <c r="L15" s="125">
        <v>0</v>
      </c>
    </row>
    <row r="16" spans="1:12" ht="13" x14ac:dyDescent="0.3">
      <c r="A16" s="127">
        <v>30301</v>
      </c>
      <c r="B16" s="1" t="s">
        <v>692</v>
      </c>
      <c r="C16" s="1" t="s">
        <v>692</v>
      </c>
      <c r="D16" t="s">
        <v>187</v>
      </c>
      <c r="E16" t="s">
        <v>89</v>
      </c>
      <c r="F16" s="1" t="s">
        <v>693</v>
      </c>
      <c r="G16" s="1" t="s">
        <v>694</v>
      </c>
      <c r="H16" s="9">
        <v>0</v>
      </c>
      <c r="I16" s="9">
        <v>0</v>
      </c>
      <c r="J16" s="9">
        <v>0</v>
      </c>
      <c r="K16" s="9">
        <v>0</v>
      </c>
      <c r="L16" s="125">
        <v>0</v>
      </c>
    </row>
    <row r="17" spans="1:12" ht="13" x14ac:dyDescent="0.3">
      <c r="A17" s="127">
        <v>30301</v>
      </c>
      <c r="B17" s="1" t="s">
        <v>692</v>
      </c>
      <c r="C17" s="1" t="s">
        <v>692</v>
      </c>
      <c r="D17" t="s">
        <v>218</v>
      </c>
      <c r="E17" t="s">
        <v>89</v>
      </c>
      <c r="F17" s="1" t="s">
        <v>693</v>
      </c>
      <c r="G17" s="1" t="s">
        <v>694</v>
      </c>
      <c r="H17" s="9">
        <v>0</v>
      </c>
      <c r="I17" s="9">
        <v>0</v>
      </c>
      <c r="J17" s="9">
        <v>0</v>
      </c>
      <c r="K17" s="9">
        <v>0</v>
      </c>
      <c r="L17" s="125">
        <v>0</v>
      </c>
    </row>
    <row r="18" spans="1:12" ht="13" x14ac:dyDescent="0.3">
      <c r="A18" s="127">
        <v>30301</v>
      </c>
      <c r="B18" s="1" t="s">
        <v>692</v>
      </c>
      <c r="C18" s="1" t="s">
        <v>692</v>
      </c>
      <c r="D18" t="s">
        <v>249</v>
      </c>
      <c r="E18" t="s">
        <v>89</v>
      </c>
      <c r="F18" s="1" t="s">
        <v>693</v>
      </c>
      <c r="G18" s="1" t="s">
        <v>694</v>
      </c>
      <c r="H18" s="9">
        <v>0</v>
      </c>
      <c r="I18" s="9">
        <v>0</v>
      </c>
      <c r="J18" s="9">
        <v>0</v>
      </c>
      <c r="K18" s="9">
        <v>0</v>
      </c>
      <c r="L18" s="125">
        <v>0</v>
      </c>
    </row>
    <row r="19" spans="1:12" ht="13" x14ac:dyDescent="0.3">
      <c r="A19" s="127">
        <v>30301</v>
      </c>
      <c r="B19" s="1" t="s">
        <v>692</v>
      </c>
      <c r="C19" s="1" t="s">
        <v>692</v>
      </c>
      <c r="D19" t="s">
        <v>278</v>
      </c>
      <c r="E19" t="s">
        <v>89</v>
      </c>
      <c r="F19" s="1" t="s">
        <v>693</v>
      </c>
      <c r="G19" s="1" t="s">
        <v>694</v>
      </c>
      <c r="H19" s="9">
        <v>0</v>
      </c>
      <c r="I19" s="9">
        <v>0</v>
      </c>
      <c r="J19" s="9">
        <v>0</v>
      </c>
      <c r="K19" s="9">
        <v>0</v>
      </c>
      <c r="L19" s="125">
        <v>0</v>
      </c>
    </row>
    <row r="20" spans="1:12" ht="13" x14ac:dyDescent="0.3">
      <c r="A20" s="127">
        <v>30301</v>
      </c>
      <c r="B20" s="1" t="s">
        <v>692</v>
      </c>
      <c r="C20" s="1" t="s">
        <v>692</v>
      </c>
      <c r="D20" t="s">
        <v>309</v>
      </c>
      <c r="E20" t="s">
        <v>89</v>
      </c>
      <c r="F20" s="1" t="s">
        <v>693</v>
      </c>
      <c r="G20" s="1" t="s">
        <v>694</v>
      </c>
      <c r="H20" s="9">
        <v>0</v>
      </c>
      <c r="I20" s="9">
        <v>0</v>
      </c>
      <c r="J20" s="9">
        <v>0</v>
      </c>
      <c r="K20" s="9">
        <v>0</v>
      </c>
      <c r="L20" s="125">
        <v>0</v>
      </c>
    </row>
    <row r="21" spans="1:12" ht="13" x14ac:dyDescent="0.3">
      <c r="A21" s="127">
        <v>30301</v>
      </c>
      <c r="B21" s="1" t="s">
        <v>692</v>
      </c>
      <c r="C21" s="1" t="s">
        <v>692</v>
      </c>
      <c r="D21" t="s">
        <v>338</v>
      </c>
      <c r="E21" t="s">
        <v>89</v>
      </c>
      <c r="F21" s="1" t="s">
        <v>693</v>
      </c>
      <c r="G21" s="1" t="s">
        <v>694</v>
      </c>
      <c r="H21" s="9">
        <v>0</v>
      </c>
      <c r="I21" s="9">
        <v>0</v>
      </c>
      <c r="J21" s="9">
        <v>0</v>
      </c>
      <c r="K21" s="9">
        <v>0</v>
      </c>
      <c r="L21" s="125">
        <v>0</v>
      </c>
    </row>
    <row r="22" spans="1:12" ht="13" x14ac:dyDescent="0.3">
      <c r="A22" s="127">
        <v>30301</v>
      </c>
      <c r="B22" s="1" t="s">
        <v>692</v>
      </c>
      <c r="C22" s="1" t="s">
        <v>692</v>
      </c>
      <c r="D22" t="s">
        <v>372</v>
      </c>
      <c r="E22" t="s">
        <v>89</v>
      </c>
      <c r="F22" s="1" t="s">
        <v>693</v>
      </c>
      <c r="G22" s="1" t="s">
        <v>694</v>
      </c>
      <c r="H22" s="9">
        <v>0</v>
      </c>
      <c r="I22" s="9">
        <v>0</v>
      </c>
      <c r="J22" s="9">
        <v>0</v>
      </c>
      <c r="K22" s="9">
        <v>0</v>
      </c>
      <c r="L22" s="125">
        <v>0</v>
      </c>
    </row>
    <row r="23" spans="1:12" ht="13" x14ac:dyDescent="0.3">
      <c r="A23" s="127">
        <v>30301</v>
      </c>
      <c r="B23" s="1" t="s">
        <v>692</v>
      </c>
      <c r="C23" s="1" t="s">
        <v>692</v>
      </c>
      <c r="D23" t="s">
        <v>427</v>
      </c>
      <c r="E23" t="s">
        <v>89</v>
      </c>
      <c r="F23" s="1" t="s">
        <v>693</v>
      </c>
      <c r="G23" s="1" t="s">
        <v>694</v>
      </c>
      <c r="H23" s="9">
        <v>0</v>
      </c>
      <c r="I23" s="9">
        <v>0</v>
      </c>
      <c r="J23" s="9">
        <v>0</v>
      </c>
      <c r="K23" s="9">
        <v>0</v>
      </c>
      <c r="L23" s="125">
        <v>0</v>
      </c>
    </row>
    <row r="24" spans="1:12" ht="13" x14ac:dyDescent="0.3">
      <c r="A24" s="127">
        <v>30301</v>
      </c>
      <c r="B24" s="1" t="s">
        <v>692</v>
      </c>
      <c r="C24" s="1" t="s">
        <v>692</v>
      </c>
      <c r="D24" t="s">
        <v>452</v>
      </c>
      <c r="E24" t="s">
        <v>89</v>
      </c>
      <c r="F24" s="1" t="s">
        <v>693</v>
      </c>
      <c r="G24" s="1" t="s">
        <v>694</v>
      </c>
      <c r="H24" s="9">
        <v>0</v>
      </c>
      <c r="I24" s="9">
        <v>0</v>
      </c>
      <c r="J24" s="9">
        <v>0</v>
      </c>
      <c r="K24" s="9">
        <v>0</v>
      </c>
      <c r="L24" s="125">
        <v>0</v>
      </c>
    </row>
    <row r="25" spans="1:12" ht="13" x14ac:dyDescent="0.3">
      <c r="A25" s="127">
        <v>30301</v>
      </c>
      <c r="B25" s="1" t="s">
        <v>692</v>
      </c>
      <c r="C25" s="1" t="s">
        <v>692</v>
      </c>
      <c r="D25" t="s">
        <v>479</v>
      </c>
      <c r="E25" t="s">
        <v>89</v>
      </c>
      <c r="F25" s="1" t="s">
        <v>693</v>
      </c>
      <c r="G25" s="1" t="s">
        <v>694</v>
      </c>
      <c r="H25" s="9">
        <v>0</v>
      </c>
      <c r="I25" s="9">
        <v>0</v>
      </c>
      <c r="J25" s="9">
        <v>0</v>
      </c>
      <c r="K25" s="9">
        <v>0</v>
      </c>
      <c r="L25" s="125">
        <v>0</v>
      </c>
    </row>
    <row r="26" spans="1:12" ht="13" x14ac:dyDescent="0.3">
      <c r="A26" s="127">
        <v>30301</v>
      </c>
      <c r="B26" s="1" t="s">
        <v>692</v>
      </c>
      <c r="C26" s="1" t="s">
        <v>692</v>
      </c>
      <c r="D26" t="s">
        <v>513</v>
      </c>
      <c r="E26" t="s">
        <v>89</v>
      </c>
      <c r="F26" s="1" t="s">
        <v>693</v>
      </c>
      <c r="G26" s="1" t="s">
        <v>694</v>
      </c>
      <c r="H26" s="9">
        <v>0</v>
      </c>
      <c r="I26" s="9">
        <v>0</v>
      </c>
      <c r="J26" s="9">
        <v>0</v>
      </c>
      <c r="K26" s="9">
        <v>0</v>
      </c>
      <c r="L26" s="125">
        <v>0</v>
      </c>
    </row>
    <row r="27" spans="1:12" ht="13" x14ac:dyDescent="0.3">
      <c r="A27" s="127">
        <v>30301</v>
      </c>
      <c r="B27" s="1" t="s">
        <v>692</v>
      </c>
      <c r="C27" s="1" t="s">
        <v>692</v>
      </c>
      <c r="D27" t="s">
        <v>669</v>
      </c>
      <c r="E27" t="s">
        <v>89</v>
      </c>
      <c r="F27" s="1" t="s">
        <v>693</v>
      </c>
      <c r="G27" s="1" t="s">
        <v>694</v>
      </c>
      <c r="H27" s="9">
        <v>0</v>
      </c>
      <c r="I27" s="9">
        <v>0</v>
      </c>
      <c r="J27" s="9">
        <v>0</v>
      </c>
      <c r="K27" s="9">
        <v>0</v>
      </c>
      <c r="L27" s="125">
        <v>0</v>
      </c>
    </row>
    <row r="28" spans="1:12" ht="13" x14ac:dyDescent="0.3">
      <c r="A28" s="127">
        <v>30301</v>
      </c>
      <c r="B28" s="1" t="s">
        <v>692</v>
      </c>
      <c r="C28" s="1" t="s">
        <v>692</v>
      </c>
      <c r="D28" t="s">
        <v>611</v>
      </c>
      <c r="E28" t="s">
        <v>89</v>
      </c>
      <c r="F28" s="1" t="s">
        <v>693</v>
      </c>
      <c r="G28" s="1" t="s">
        <v>694</v>
      </c>
      <c r="H28" s="9">
        <v>0</v>
      </c>
      <c r="I28" s="9">
        <v>0</v>
      </c>
      <c r="J28" s="9">
        <v>0</v>
      </c>
      <c r="K28" s="9">
        <v>0</v>
      </c>
      <c r="L28" s="125">
        <v>0</v>
      </c>
    </row>
    <row r="29" spans="1:12" ht="13" x14ac:dyDescent="0.3">
      <c r="A29" s="127">
        <v>30301</v>
      </c>
      <c r="B29" s="1" t="s">
        <v>692</v>
      </c>
      <c r="C29" s="1" t="s">
        <v>692</v>
      </c>
      <c r="D29" t="s">
        <v>619</v>
      </c>
      <c r="E29" t="s">
        <v>89</v>
      </c>
      <c r="F29" s="1" t="s">
        <v>693</v>
      </c>
      <c r="G29" s="1" t="s">
        <v>694</v>
      </c>
      <c r="H29" s="9">
        <v>0</v>
      </c>
      <c r="I29" s="9">
        <v>0</v>
      </c>
      <c r="J29" s="9">
        <v>0</v>
      </c>
      <c r="K29" s="9">
        <v>0</v>
      </c>
      <c r="L29" s="125">
        <v>0</v>
      </c>
    </row>
    <row r="30" spans="1:12" ht="13" x14ac:dyDescent="0.3">
      <c r="A30" s="127">
        <v>37402</v>
      </c>
      <c r="B30" s="1" t="s">
        <v>692</v>
      </c>
      <c r="C30" s="1" t="s">
        <v>692</v>
      </c>
      <c r="D30" t="s">
        <v>189</v>
      </c>
      <c r="E30" t="s">
        <v>89</v>
      </c>
      <c r="F30" s="1" t="s">
        <v>693</v>
      </c>
      <c r="G30" s="1" t="s">
        <v>694</v>
      </c>
      <c r="H30" s="9">
        <v>0</v>
      </c>
      <c r="I30" s="9">
        <v>0</v>
      </c>
      <c r="J30" s="9">
        <v>0</v>
      </c>
      <c r="K30" s="9">
        <v>0</v>
      </c>
      <c r="L30" s="125">
        <v>0</v>
      </c>
    </row>
    <row r="31" spans="1:12" ht="13" x14ac:dyDescent="0.3">
      <c r="A31" s="127">
        <v>37402</v>
      </c>
      <c r="B31" s="1" t="s">
        <v>692</v>
      </c>
      <c r="C31" s="1" t="s">
        <v>692</v>
      </c>
      <c r="D31" t="s">
        <v>251</v>
      </c>
      <c r="E31" t="s">
        <v>89</v>
      </c>
      <c r="F31" s="1" t="s">
        <v>693</v>
      </c>
      <c r="G31" s="1" t="s">
        <v>694</v>
      </c>
      <c r="H31" s="9">
        <v>0</v>
      </c>
      <c r="I31" s="9">
        <v>0</v>
      </c>
      <c r="J31" s="9">
        <v>0</v>
      </c>
      <c r="K31" s="9">
        <v>0</v>
      </c>
      <c r="L31" s="125">
        <v>0</v>
      </c>
    </row>
    <row r="32" spans="1:12" ht="13" x14ac:dyDescent="0.3">
      <c r="A32" s="127">
        <v>37402</v>
      </c>
      <c r="B32" s="1" t="s">
        <v>692</v>
      </c>
      <c r="C32" s="1" t="s">
        <v>692</v>
      </c>
      <c r="D32" t="s">
        <v>280</v>
      </c>
      <c r="E32" t="s">
        <v>89</v>
      </c>
      <c r="F32" s="1" t="s">
        <v>693</v>
      </c>
      <c r="G32" s="1" t="s">
        <v>694</v>
      </c>
      <c r="H32" s="9">
        <v>0</v>
      </c>
      <c r="I32" s="9">
        <v>0</v>
      </c>
      <c r="J32" s="9">
        <v>0</v>
      </c>
      <c r="K32" s="9">
        <v>0</v>
      </c>
      <c r="L32" s="125">
        <v>0</v>
      </c>
    </row>
    <row r="33" spans="1:12" ht="13" x14ac:dyDescent="0.3">
      <c r="A33" s="127">
        <v>37402</v>
      </c>
      <c r="B33" s="1" t="s">
        <v>692</v>
      </c>
      <c r="C33" s="1" t="s">
        <v>692</v>
      </c>
      <c r="D33" t="s">
        <v>311</v>
      </c>
      <c r="E33" t="s">
        <v>89</v>
      </c>
      <c r="F33" s="1" t="s">
        <v>693</v>
      </c>
      <c r="G33" s="1" t="s">
        <v>694</v>
      </c>
      <c r="H33" s="9">
        <v>0</v>
      </c>
      <c r="I33" s="9">
        <v>0</v>
      </c>
      <c r="J33" s="9">
        <v>0</v>
      </c>
      <c r="K33" s="9">
        <v>0</v>
      </c>
      <c r="L33" s="125">
        <v>0</v>
      </c>
    </row>
    <row r="34" spans="1:12" ht="13" x14ac:dyDescent="0.3">
      <c r="A34" s="127">
        <v>37402</v>
      </c>
      <c r="B34" s="1" t="s">
        <v>692</v>
      </c>
      <c r="C34" s="1" t="s">
        <v>692</v>
      </c>
      <c r="D34" t="s">
        <v>340</v>
      </c>
      <c r="E34" t="s">
        <v>89</v>
      </c>
      <c r="F34" s="1" t="s">
        <v>693</v>
      </c>
      <c r="G34" s="1" t="s">
        <v>694</v>
      </c>
      <c r="H34" s="9">
        <v>0</v>
      </c>
      <c r="I34" s="9">
        <v>0</v>
      </c>
      <c r="J34" s="9">
        <v>0</v>
      </c>
      <c r="K34" s="9">
        <v>0</v>
      </c>
      <c r="L34" s="125">
        <v>0</v>
      </c>
    </row>
    <row r="35" spans="1:12" ht="13" x14ac:dyDescent="0.3">
      <c r="A35" s="127">
        <v>37402</v>
      </c>
      <c r="B35" s="1" t="s">
        <v>692</v>
      </c>
      <c r="C35" s="1" t="s">
        <v>692</v>
      </c>
      <c r="D35" t="s">
        <v>374</v>
      </c>
      <c r="E35" t="s">
        <v>89</v>
      </c>
      <c r="F35" s="1" t="s">
        <v>693</v>
      </c>
      <c r="G35" s="1" t="s">
        <v>694</v>
      </c>
      <c r="H35" s="9">
        <v>0</v>
      </c>
      <c r="I35" s="9">
        <v>0</v>
      </c>
      <c r="J35" s="9">
        <v>0</v>
      </c>
      <c r="K35" s="9">
        <v>0</v>
      </c>
      <c r="L35" s="125">
        <v>0</v>
      </c>
    </row>
    <row r="36" spans="1:12" ht="13" x14ac:dyDescent="0.3">
      <c r="A36" s="127">
        <v>37402</v>
      </c>
      <c r="B36" s="1" t="s">
        <v>692</v>
      </c>
      <c r="C36" s="1" t="s">
        <v>692</v>
      </c>
      <c r="D36" t="s">
        <v>402</v>
      </c>
      <c r="E36" t="s">
        <v>89</v>
      </c>
      <c r="F36" s="1" t="s">
        <v>693</v>
      </c>
      <c r="G36" s="1" t="s">
        <v>694</v>
      </c>
      <c r="H36" s="9">
        <v>0</v>
      </c>
      <c r="I36" s="9">
        <v>0</v>
      </c>
      <c r="J36" s="9">
        <v>0</v>
      </c>
      <c r="K36" s="9">
        <v>0</v>
      </c>
      <c r="L36" s="125">
        <v>0</v>
      </c>
    </row>
    <row r="37" spans="1:12" ht="13" x14ac:dyDescent="0.3">
      <c r="A37" s="127">
        <v>37402</v>
      </c>
      <c r="B37" s="1" t="s">
        <v>692</v>
      </c>
      <c r="C37" s="1" t="s">
        <v>692</v>
      </c>
      <c r="D37" t="s">
        <v>428</v>
      </c>
      <c r="E37" t="s">
        <v>89</v>
      </c>
      <c r="F37" s="1" t="s">
        <v>693</v>
      </c>
      <c r="G37" s="1" t="s">
        <v>694</v>
      </c>
      <c r="H37" s="9">
        <v>0</v>
      </c>
      <c r="I37" s="9">
        <v>0</v>
      </c>
      <c r="J37" s="9">
        <v>0</v>
      </c>
      <c r="K37" s="9">
        <v>0</v>
      </c>
      <c r="L37" s="125">
        <v>0</v>
      </c>
    </row>
    <row r="38" spans="1:12" ht="13" x14ac:dyDescent="0.3">
      <c r="A38" s="127">
        <v>37402</v>
      </c>
      <c r="B38" s="1" t="s">
        <v>692</v>
      </c>
      <c r="C38" s="1" t="s">
        <v>692</v>
      </c>
      <c r="D38" t="s">
        <v>454</v>
      </c>
      <c r="E38" t="s">
        <v>89</v>
      </c>
      <c r="F38" s="1" t="s">
        <v>693</v>
      </c>
      <c r="G38" s="1" t="s">
        <v>694</v>
      </c>
      <c r="H38" s="9">
        <v>0</v>
      </c>
      <c r="I38" s="9">
        <v>0</v>
      </c>
      <c r="J38" s="9">
        <v>0</v>
      </c>
      <c r="K38" s="9">
        <v>0</v>
      </c>
      <c r="L38" s="125">
        <v>0</v>
      </c>
    </row>
    <row r="39" spans="1:12" ht="13" x14ac:dyDescent="0.3">
      <c r="A39" s="127">
        <v>37402</v>
      </c>
      <c r="B39" s="1" t="s">
        <v>692</v>
      </c>
      <c r="C39" s="1" t="s">
        <v>692</v>
      </c>
      <c r="D39" t="s">
        <v>481</v>
      </c>
      <c r="E39" t="s">
        <v>89</v>
      </c>
      <c r="F39" s="1" t="s">
        <v>693</v>
      </c>
      <c r="G39" s="1" t="s">
        <v>694</v>
      </c>
      <c r="H39" s="9">
        <v>0</v>
      </c>
      <c r="I39" s="9">
        <v>0</v>
      </c>
      <c r="J39" s="9">
        <v>0</v>
      </c>
      <c r="K39" s="9">
        <v>0</v>
      </c>
      <c r="L39" s="125">
        <v>0</v>
      </c>
    </row>
    <row r="40" spans="1:12" ht="13" x14ac:dyDescent="0.3">
      <c r="A40" s="127">
        <v>37402</v>
      </c>
      <c r="B40" s="1" t="s">
        <v>692</v>
      </c>
      <c r="C40" s="1" t="s">
        <v>692</v>
      </c>
      <c r="D40" t="s">
        <v>551</v>
      </c>
      <c r="E40" t="s">
        <v>89</v>
      </c>
      <c r="F40" s="1" t="s">
        <v>693</v>
      </c>
      <c r="G40" s="1" t="s">
        <v>694</v>
      </c>
      <c r="H40" s="9">
        <v>0</v>
      </c>
      <c r="I40" s="9">
        <v>0</v>
      </c>
      <c r="J40" s="9">
        <v>0</v>
      </c>
      <c r="K40" s="9">
        <v>0</v>
      </c>
      <c r="L40" s="125">
        <v>0</v>
      </c>
    </row>
    <row r="41" spans="1:12" ht="13" x14ac:dyDescent="0.3">
      <c r="A41" s="127">
        <v>37402</v>
      </c>
      <c r="B41" s="1" t="s">
        <v>692</v>
      </c>
      <c r="C41" s="1" t="s">
        <v>692</v>
      </c>
      <c r="D41" t="s">
        <v>584</v>
      </c>
      <c r="E41" t="s">
        <v>89</v>
      </c>
      <c r="F41" s="1" t="s">
        <v>693</v>
      </c>
      <c r="G41" s="1" t="s">
        <v>694</v>
      </c>
      <c r="H41" s="9">
        <v>0</v>
      </c>
      <c r="I41" s="9">
        <v>0</v>
      </c>
      <c r="J41" s="9">
        <v>0</v>
      </c>
      <c r="K41" s="9">
        <v>0</v>
      </c>
      <c r="L41" s="125">
        <v>0</v>
      </c>
    </row>
    <row r="42" spans="1:12" ht="13" x14ac:dyDescent="0.3">
      <c r="A42" s="127">
        <v>37402</v>
      </c>
      <c r="B42" s="1" t="s">
        <v>692</v>
      </c>
      <c r="C42" s="1" t="s">
        <v>692</v>
      </c>
      <c r="D42" t="s">
        <v>621</v>
      </c>
      <c r="E42" t="s">
        <v>89</v>
      </c>
      <c r="F42" s="1" t="s">
        <v>693</v>
      </c>
      <c r="G42" s="1" t="s">
        <v>694</v>
      </c>
      <c r="H42" s="9">
        <v>0</v>
      </c>
      <c r="I42" s="9">
        <v>0</v>
      </c>
      <c r="J42" s="9">
        <v>0</v>
      </c>
      <c r="K42" s="9">
        <v>0</v>
      </c>
      <c r="L42" s="125">
        <v>0</v>
      </c>
    </row>
    <row r="43" spans="1:12" ht="13" x14ac:dyDescent="0.3">
      <c r="A43" s="127">
        <v>37500</v>
      </c>
      <c r="B43" s="1" t="s">
        <v>692</v>
      </c>
      <c r="C43" s="1" t="s">
        <v>692</v>
      </c>
      <c r="D43" t="s">
        <v>190</v>
      </c>
      <c r="E43" t="s">
        <v>89</v>
      </c>
      <c r="F43" s="1" t="s">
        <v>693</v>
      </c>
      <c r="G43" s="1" t="s">
        <v>694</v>
      </c>
      <c r="H43" s="9">
        <v>0</v>
      </c>
      <c r="I43" s="9">
        <v>0</v>
      </c>
      <c r="J43" s="9">
        <v>0</v>
      </c>
      <c r="K43" s="9">
        <v>0</v>
      </c>
      <c r="L43" s="125">
        <v>0</v>
      </c>
    </row>
    <row r="44" spans="1:12" ht="13" x14ac:dyDescent="0.3">
      <c r="A44" s="127">
        <v>37500</v>
      </c>
      <c r="B44" s="1" t="s">
        <v>692</v>
      </c>
      <c r="C44" s="1" t="s">
        <v>692</v>
      </c>
      <c r="D44" t="s">
        <v>220</v>
      </c>
      <c r="E44" t="s">
        <v>89</v>
      </c>
      <c r="F44" s="1" t="s">
        <v>693</v>
      </c>
      <c r="G44" s="1" t="s">
        <v>694</v>
      </c>
      <c r="H44" s="9">
        <v>0</v>
      </c>
      <c r="I44" s="9">
        <v>0</v>
      </c>
      <c r="J44" s="9">
        <v>0</v>
      </c>
      <c r="K44" s="9">
        <v>0</v>
      </c>
      <c r="L44" s="125">
        <v>0</v>
      </c>
    </row>
    <row r="45" spans="1:12" ht="13" x14ac:dyDescent="0.3">
      <c r="A45" s="127">
        <v>37500</v>
      </c>
      <c r="B45" s="1" t="s">
        <v>692</v>
      </c>
      <c r="C45" s="1" t="s">
        <v>692</v>
      </c>
      <c r="D45" t="s">
        <v>252</v>
      </c>
      <c r="E45" t="s">
        <v>89</v>
      </c>
      <c r="F45" s="1" t="s">
        <v>693</v>
      </c>
      <c r="G45" s="1" t="s">
        <v>694</v>
      </c>
      <c r="H45" s="9">
        <v>0</v>
      </c>
      <c r="I45" s="9">
        <v>0</v>
      </c>
      <c r="J45" s="9">
        <v>0</v>
      </c>
      <c r="K45" s="9">
        <v>0</v>
      </c>
      <c r="L45" s="125">
        <v>0</v>
      </c>
    </row>
    <row r="46" spans="1:12" ht="13" x14ac:dyDescent="0.3">
      <c r="A46" s="127">
        <v>37500</v>
      </c>
      <c r="B46" s="1" t="s">
        <v>692</v>
      </c>
      <c r="C46" s="1" t="s">
        <v>692</v>
      </c>
      <c r="D46" t="s">
        <v>281</v>
      </c>
      <c r="E46" t="s">
        <v>89</v>
      </c>
      <c r="F46" s="1" t="s">
        <v>693</v>
      </c>
      <c r="G46" s="1" t="s">
        <v>694</v>
      </c>
      <c r="H46" s="9">
        <v>0</v>
      </c>
      <c r="I46" s="9">
        <v>0</v>
      </c>
      <c r="J46" s="9">
        <v>0</v>
      </c>
      <c r="K46" s="9">
        <v>0</v>
      </c>
      <c r="L46" s="125">
        <v>0</v>
      </c>
    </row>
    <row r="47" spans="1:12" ht="13" x14ac:dyDescent="0.3">
      <c r="A47" s="127">
        <v>37500</v>
      </c>
      <c r="B47" s="1" t="s">
        <v>692</v>
      </c>
      <c r="C47" s="1" t="s">
        <v>692</v>
      </c>
      <c r="D47" t="s">
        <v>312</v>
      </c>
      <c r="E47" t="s">
        <v>89</v>
      </c>
      <c r="F47" s="1" t="s">
        <v>693</v>
      </c>
      <c r="G47" s="1" t="s">
        <v>694</v>
      </c>
      <c r="H47" s="9">
        <v>0</v>
      </c>
      <c r="I47" s="9">
        <v>0</v>
      </c>
      <c r="J47" s="9">
        <v>0</v>
      </c>
      <c r="K47" s="9">
        <v>0</v>
      </c>
      <c r="L47" s="125">
        <v>0</v>
      </c>
    </row>
    <row r="48" spans="1:12" ht="13" x14ac:dyDescent="0.3">
      <c r="A48" s="127">
        <v>37500</v>
      </c>
      <c r="B48" s="1" t="s">
        <v>692</v>
      </c>
      <c r="C48" s="1" t="s">
        <v>692</v>
      </c>
      <c r="D48" t="s">
        <v>341</v>
      </c>
      <c r="E48" t="s">
        <v>89</v>
      </c>
      <c r="F48" s="1" t="s">
        <v>693</v>
      </c>
      <c r="G48" s="1" t="s">
        <v>694</v>
      </c>
      <c r="H48" s="9">
        <v>0</v>
      </c>
      <c r="I48" s="9">
        <v>0</v>
      </c>
      <c r="J48" s="9">
        <v>0</v>
      </c>
      <c r="K48" s="9">
        <v>0</v>
      </c>
      <c r="L48" s="125">
        <v>0</v>
      </c>
    </row>
    <row r="49" spans="1:12" ht="13" x14ac:dyDescent="0.3">
      <c r="A49" s="127">
        <v>37500</v>
      </c>
      <c r="B49" s="1" t="s">
        <v>692</v>
      </c>
      <c r="C49" s="1" t="s">
        <v>692</v>
      </c>
      <c r="D49" t="s">
        <v>368</v>
      </c>
      <c r="E49" t="s">
        <v>89</v>
      </c>
      <c r="F49" s="1" t="s">
        <v>693</v>
      </c>
      <c r="G49" s="1" t="s">
        <v>694</v>
      </c>
      <c r="H49" s="9">
        <v>0</v>
      </c>
      <c r="I49" s="9">
        <v>0</v>
      </c>
      <c r="J49" s="9">
        <v>0</v>
      </c>
      <c r="K49" s="9">
        <v>0</v>
      </c>
      <c r="L49" s="125">
        <v>0</v>
      </c>
    </row>
    <row r="50" spans="1:12" ht="13" x14ac:dyDescent="0.3">
      <c r="A50" s="127">
        <v>37500</v>
      </c>
      <c r="B50" s="1" t="s">
        <v>692</v>
      </c>
      <c r="C50" s="1" t="s">
        <v>692</v>
      </c>
      <c r="D50" t="s">
        <v>375</v>
      </c>
      <c r="E50" t="s">
        <v>89</v>
      </c>
      <c r="F50" s="1" t="s">
        <v>693</v>
      </c>
      <c r="G50" s="1" t="s">
        <v>694</v>
      </c>
      <c r="H50" s="9">
        <v>0</v>
      </c>
      <c r="I50" s="9">
        <v>0</v>
      </c>
      <c r="J50" s="9">
        <v>0</v>
      </c>
      <c r="K50" s="9">
        <v>0</v>
      </c>
      <c r="L50" s="125">
        <v>0</v>
      </c>
    </row>
    <row r="51" spans="1:12" ht="13" x14ac:dyDescent="0.3">
      <c r="A51" s="127">
        <v>37500</v>
      </c>
      <c r="B51" s="1" t="s">
        <v>692</v>
      </c>
      <c r="C51" s="1" t="s">
        <v>692</v>
      </c>
      <c r="D51" t="s">
        <v>403</v>
      </c>
      <c r="E51" t="s">
        <v>89</v>
      </c>
      <c r="F51" s="1" t="s">
        <v>693</v>
      </c>
      <c r="G51" s="1" t="s">
        <v>694</v>
      </c>
      <c r="H51" s="9">
        <v>0</v>
      </c>
      <c r="I51" s="9">
        <v>0</v>
      </c>
      <c r="J51" s="9">
        <v>0</v>
      </c>
      <c r="K51" s="9">
        <v>0</v>
      </c>
      <c r="L51" s="125">
        <v>0</v>
      </c>
    </row>
    <row r="52" spans="1:12" ht="13" x14ac:dyDescent="0.3">
      <c r="A52" s="127">
        <v>37500</v>
      </c>
      <c r="B52" s="1" t="s">
        <v>692</v>
      </c>
      <c r="C52" s="1" t="s">
        <v>692</v>
      </c>
      <c r="D52" t="s">
        <v>429</v>
      </c>
      <c r="E52" t="s">
        <v>89</v>
      </c>
      <c r="F52" s="1" t="s">
        <v>693</v>
      </c>
      <c r="G52" s="1" t="s">
        <v>694</v>
      </c>
      <c r="H52" s="9">
        <v>0</v>
      </c>
      <c r="I52" s="9">
        <v>0</v>
      </c>
      <c r="J52" s="9">
        <v>0</v>
      </c>
      <c r="K52" s="9">
        <v>0</v>
      </c>
      <c r="L52" s="125">
        <v>0</v>
      </c>
    </row>
    <row r="53" spans="1:12" ht="13" x14ac:dyDescent="0.3">
      <c r="A53" s="127">
        <v>37500</v>
      </c>
      <c r="B53" s="1" t="s">
        <v>692</v>
      </c>
      <c r="C53" s="1" t="s">
        <v>692</v>
      </c>
      <c r="D53" t="s">
        <v>455</v>
      </c>
      <c r="E53" t="s">
        <v>89</v>
      </c>
      <c r="F53" s="1" t="s">
        <v>693</v>
      </c>
      <c r="G53" s="1" t="s">
        <v>694</v>
      </c>
      <c r="H53" s="9">
        <v>0</v>
      </c>
      <c r="I53" s="9">
        <v>0</v>
      </c>
      <c r="J53" s="9">
        <v>0</v>
      </c>
      <c r="K53" s="9">
        <v>0</v>
      </c>
      <c r="L53" s="125">
        <v>0</v>
      </c>
    </row>
    <row r="54" spans="1:12" ht="13" x14ac:dyDescent="0.3">
      <c r="A54" s="127">
        <v>37500</v>
      </c>
      <c r="B54" s="1" t="s">
        <v>692</v>
      </c>
      <c r="C54" s="1" t="s">
        <v>692</v>
      </c>
      <c r="D54" t="s">
        <v>482</v>
      </c>
      <c r="E54" t="s">
        <v>89</v>
      </c>
      <c r="F54" s="1" t="s">
        <v>693</v>
      </c>
      <c r="G54" s="1" t="s">
        <v>694</v>
      </c>
      <c r="H54" s="9">
        <v>0</v>
      </c>
      <c r="I54" s="9">
        <v>0</v>
      </c>
      <c r="J54" s="9">
        <v>0</v>
      </c>
      <c r="K54" s="9">
        <v>0</v>
      </c>
      <c r="L54" s="125">
        <v>0</v>
      </c>
    </row>
    <row r="55" spans="1:12" ht="13" x14ac:dyDescent="0.3">
      <c r="A55" s="127">
        <v>37500</v>
      </c>
      <c r="B55" s="1" t="s">
        <v>692</v>
      </c>
      <c r="C55" s="1" t="s">
        <v>692</v>
      </c>
      <c r="D55" t="s">
        <v>515</v>
      </c>
      <c r="E55" t="s">
        <v>89</v>
      </c>
      <c r="F55" s="1" t="s">
        <v>693</v>
      </c>
      <c r="G55" s="1" t="s">
        <v>694</v>
      </c>
      <c r="H55" s="9">
        <v>0</v>
      </c>
      <c r="I55" s="9">
        <v>0</v>
      </c>
      <c r="J55" s="9">
        <v>0</v>
      </c>
      <c r="K55" s="9">
        <v>0</v>
      </c>
      <c r="L55" s="125">
        <v>0</v>
      </c>
    </row>
    <row r="56" spans="1:12" ht="13" x14ac:dyDescent="0.3">
      <c r="A56" s="127">
        <v>37500</v>
      </c>
      <c r="B56" s="1" t="s">
        <v>692</v>
      </c>
      <c r="C56" s="1" t="s">
        <v>692</v>
      </c>
      <c r="D56" t="s">
        <v>552</v>
      </c>
      <c r="E56" t="s">
        <v>89</v>
      </c>
      <c r="F56" s="1" t="s">
        <v>693</v>
      </c>
      <c r="G56" s="1" t="s">
        <v>694</v>
      </c>
      <c r="H56" s="9">
        <v>0</v>
      </c>
      <c r="I56" s="9">
        <v>0</v>
      </c>
      <c r="J56" s="9">
        <v>0</v>
      </c>
      <c r="K56" s="9">
        <v>0</v>
      </c>
      <c r="L56" s="125">
        <v>0</v>
      </c>
    </row>
    <row r="57" spans="1:12" ht="13" x14ac:dyDescent="0.3">
      <c r="A57" s="127">
        <v>37500</v>
      </c>
      <c r="B57" s="1" t="s">
        <v>692</v>
      </c>
      <c r="C57" s="1" t="s">
        <v>692</v>
      </c>
      <c r="D57" t="s">
        <v>585</v>
      </c>
      <c r="E57" t="s">
        <v>89</v>
      </c>
      <c r="F57" s="1" t="s">
        <v>693</v>
      </c>
      <c r="G57" s="1" t="s">
        <v>694</v>
      </c>
      <c r="H57" s="9">
        <v>0</v>
      </c>
      <c r="I57" s="9">
        <v>0</v>
      </c>
      <c r="J57" s="9">
        <v>0</v>
      </c>
      <c r="K57" s="9">
        <v>0</v>
      </c>
      <c r="L57" s="125">
        <v>0</v>
      </c>
    </row>
    <row r="58" spans="1:12" ht="13" x14ac:dyDescent="0.3">
      <c r="A58" s="127">
        <v>37500</v>
      </c>
      <c r="B58" s="1" t="s">
        <v>692</v>
      </c>
      <c r="C58" s="1" t="s">
        <v>692</v>
      </c>
      <c r="D58" t="s">
        <v>612</v>
      </c>
      <c r="E58" t="s">
        <v>89</v>
      </c>
      <c r="F58" s="1" t="s">
        <v>693</v>
      </c>
      <c r="G58" s="1" t="s">
        <v>694</v>
      </c>
      <c r="H58" s="9">
        <v>0</v>
      </c>
      <c r="I58" s="9">
        <v>0</v>
      </c>
      <c r="J58" s="9">
        <v>0</v>
      </c>
      <c r="K58" s="9">
        <v>0</v>
      </c>
      <c r="L58" s="125">
        <v>0</v>
      </c>
    </row>
    <row r="59" spans="1:12" ht="13" x14ac:dyDescent="0.3">
      <c r="A59" s="127">
        <v>37500</v>
      </c>
      <c r="B59" s="1" t="s">
        <v>692</v>
      </c>
      <c r="C59" s="1" t="s">
        <v>692</v>
      </c>
      <c r="D59" t="s">
        <v>622</v>
      </c>
      <c r="E59" t="s">
        <v>89</v>
      </c>
      <c r="F59" s="1" t="s">
        <v>693</v>
      </c>
      <c r="G59" s="1" t="s">
        <v>694</v>
      </c>
      <c r="H59" s="9">
        <v>0</v>
      </c>
      <c r="I59" s="9">
        <v>0</v>
      </c>
      <c r="J59" s="9">
        <v>0</v>
      </c>
      <c r="K59" s="9">
        <v>0</v>
      </c>
      <c r="L59" s="125">
        <v>0</v>
      </c>
    </row>
    <row r="60" spans="1:12" ht="13" x14ac:dyDescent="0.3">
      <c r="A60" s="127">
        <v>37600</v>
      </c>
      <c r="B60" s="1" t="s">
        <v>692</v>
      </c>
      <c r="C60" s="1" t="s">
        <v>692</v>
      </c>
      <c r="D60" t="s">
        <v>369</v>
      </c>
      <c r="E60" t="s">
        <v>89</v>
      </c>
      <c r="F60" s="1" t="s">
        <v>693</v>
      </c>
      <c r="G60" s="1" t="s">
        <v>694</v>
      </c>
      <c r="H60" s="9">
        <v>0</v>
      </c>
      <c r="I60" s="9">
        <v>0</v>
      </c>
      <c r="J60" s="9">
        <v>0</v>
      </c>
      <c r="K60" s="9">
        <v>0</v>
      </c>
      <c r="L60" s="125">
        <v>0</v>
      </c>
    </row>
    <row r="61" spans="1:12" ht="13" x14ac:dyDescent="0.3">
      <c r="A61" s="127">
        <v>37600</v>
      </c>
      <c r="B61" s="1" t="s">
        <v>692</v>
      </c>
      <c r="C61" s="1" t="s">
        <v>692</v>
      </c>
      <c r="D61" t="s">
        <v>430</v>
      </c>
      <c r="E61" t="s">
        <v>89</v>
      </c>
      <c r="F61" s="1" t="s">
        <v>693</v>
      </c>
      <c r="G61" s="1" t="s">
        <v>694</v>
      </c>
      <c r="H61" s="9">
        <v>177498.99</v>
      </c>
      <c r="I61" s="9">
        <v>444.66</v>
      </c>
      <c r="J61" s="9">
        <v>0</v>
      </c>
      <c r="K61" s="9">
        <v>0</v>
      </c>
      <c r="L61" s="125">
        <v>177943.65</v>
      </c>
    </row>
    <row r="62" spans="1:12" ht="13" x14ac:dyDescent="0.3">
      <c r="A62" s="127">
        <v>37600</v>
      </c>
      <c r="B62" s="1" t="s">
        <v>692</v>
      </c>
      <c r="C62" s="1" t="s">
        <v>692</v>
      </c>
      <c r="D62" t="s">
        <v>483</v>
      </c>
      <c r="E62" t="s">
        <v>89</v>
      </c>
      <c r="F62" s="1" t="s">
        <v>693</v>
      </c>
      <c r="G62" s="1" t="s">
        <v>694</v>
      </c>
      <c r="H62" s="9">
        <v>594726.80000000005</v>
      </c>
      <c r="I62" s="9">
        <v>1707.13</v>
      </c>
      <c r="J62" s="9">
        <v>0</v>
      </c>
      <c r="K62" s="9">
        <v>0</v>
      </c>
      <c r="L62" s="125">
        <v>596433.93000000005</v>
      </c>
    </row>
    <row r="63" spans="1:12" ht="13" x14ac:dyDescent="0.3">
      <c r="A63" s="127">
        <v>37600</v>
      </c>
      <c r="B63" s="1" t="s">
        <v>692</v>
      </c>
      <c r="C63" s="1" t="s">
        <v>692</v>
      </c>
      <c r="D63" t="s">
        <v>313</v>
      </c>
      <c r="E63" t="s">
        <v>89</v>
      </c>
      <c r="F63" s="1" t="s">
        <v>693</v>
      </c>
      <c r="G63" s="1" t="s">
        <v>694</v>
      </c>
      <c r="H63" s="9">
        <v>836632.28</v>
      </c>
      <c r="I63" s="9">
        <v>1802.5</v>
      </c>
      <c r="J63" s="9">
        <v>0</v>
      </c>
      <c r="K63" s="9">
        <v>0</v>
      </c>
      <c r="L63" s="125">
        <v>838434.78</v>
      </c>
    </row>
    <row r="64" spans="1:12" ht="13" x14ac:dyDescent="0.3">
      <c r="A64" s="127">
        <v>37600</v>
      </c>
      <c r="B64" s="1" t="s">
        <v>692</v>
      </c>
      <c r="C64" s="1" t="s">
        <v>692</v>
      </c>
      <c r="D64" t="s">
        <v>623</v>
      </c>
      <c r="E64" t="s">
        <v>89</v>
      </c>
      <c r="F64" s="1" t="s">
        <v>693</v>
      </c>
      <c r="G64" s="1" t="s">
        <v>694</v>
      </c>
      <c r="H64" s="9">
        <v>894276.98</v>
      </c>
      <c r="I64" s="9">
        <v>17375.580000000002</v>
      </c>
      <c r="J64" s="9">
        <v>0</v>
      </c>
      <c r="K64" s="9">
        <v>0</v>
      </c>
      <c r="L64" s="125">
        <v>911652.56</v>
      </c>
    </row>
    <row r="65" spans="1:12" ht="13" x14ac:dyDescent="0.3">
      <c r="A65" s="127">
        <v>37600</v>
      </c>
      <c r="B65" s="1" t="s">
        <v>692</v>
      </c>
      <c r="C65" s="1" t="s">
        <v>692</v>
      </c>
      <c r="D65" t="s">
        <v>516</v>
      </c>
      <c r="E65" t="s">
        <v>89</v>
      </c>
      <c r="F65" s="1" t="s">
        <v>693</v>
      </c>
      <c r="G65" s="1" t="s">
        <v>694</v>
      </c>
      <c r="H65" s="9">
        <v>961402.38</v>
      </c>
      <c r="I65" s="9">
        <v>2387.7800000000002</v>
      </c>
      <c r="J65" s="9">
        <v>0</v>
      </c>
      <c r="K65" s="9">
        <v>0</v>
      </c>
      <c r="L65" s="125">
        <v>963790.16</v>
      </c>
    </row>
    <row r="66" spans="1:12" ht="13" x14ac:dyDescent="0.3">
      <c r="A66" s="127">
        <v>37600</v>
      </c>
      <c r="B66" s="1" t="s">
        <v>692</v>
      </c>
      <c r="C66" s="1" t="s">
        <v>692</v>
      </c>
      <c r="D66" t="s">
        <v>376</v>
      </c>
      <c r="E66" t="s">
        <v>89</v>
      </c>
      <c r="F66" s="1" t="s">
        <v>693</v>
      </c>
      <c r="G66" s="1" t="s">
        <v>694</v>
      </c>
      <c r="H66" s="9">
        <v>1666859.28</v>
      </c>
      <c r="I66" s="9">
        <v>4295.82</v>
      </c>
      <c r="J66" s="9">
        <v>0</v>
      </c>
      <c r="K66" s="9">
        <v>0</v>
      </c>
      <c r="L66" s="125">
        <v>1671155.1</v>
      </c>
    </row>
    <row r="67" spans="1:12" ht="13" x14ac:dyDescent="0.3">
      <c r="A67" s="127">
        <v>37600</v>
      </c>
      <c r="B67" s="1" t="s">
        <v>692</v>
      </c>
      <c r="C67" s="1" t="s">
        <v>692</v>
      </c>
      <c r="D67" t="s">
        <v>553</v>
      </c>
      <c r="E67" t="s">
        <v>89</v>
      </c>
      <c r="F67" s="1" t="s">
        <v>693</v>
      </c>
      <c r="G67" s="1" t="s">
        <v>694</v>
      </c>
      <c r="H67" s="9">
        <v>1886328.36</v>
      </c>
      <c r="I67" s="9">
        <v>13005.54</v>
      </c>
      <c r="J67" s="9">
        <v>0</v>
      </c>
      <c r="K67" s="9">
        <v>0</v>
      </c>
      <c r="L67" s="125">
        <v>1899333.9</v>
      </c>
    </row>
    <row r="68" spans="1:12" ht="13" x14ac:dyDescent="0.3">
      <c r="A68" s="127">
        <v>37600</v>
      </c>
      <c r="B68" s="1" t="s">
        <v>692</v>
      </c>
      <c r="C68" s="1" t="s">
        <v>692</v>
      </c>
      <c r="D68" t="s">
        <v>456</v>
      </c>
      <c r="E68" t="s">
        <v>89</v>
      </c>
      <c r="F68" s="1" t="s">
        <v>693</v>
      </c>
      <c r="G68" s="1" t="s">
        <v>694</v>
      </c>
      <c r="H68" s="9">
        <v>2709896.52</v>
      </c>
      <c r="I68" s="9">
        <v>8231.86</v>
      </c>
      <c r="J68" s="9">
        <v>0</v>
      </c>
      <c r="K68" s="9">
        <v>0</v>
      </c>
      <c r="L68" s="125">
        <v>2718128.38</v>
      </c>
    </row>
    <row r="69" spans="1:12" ht="13" x14ac:dyDescent="0.3">
      <c r="A69" s="127">
        <v>37600</v>
      </c>
      <c r="B69" s="1" t="s">
        <v>692</v>
      </c>
      <c r="C69" s="1" t="s">
        <v>692</v>
      </c>
      <c r="D69" t="s">
        <v>404</v>
      </c>
      <c r="E69" t="s">
        <v>89</v>
      </c>
      <c r="F69" s="1" t="s">
        <v>693</v>
      </c>
      <c r="G69" s="1" t="s">
        <v>694</v>
      </c>
      <c r="H69" s="9">
        <v>2987360.26</v>
      </c>
      <c r="I69" s="9">
        <v>9591.6200000000008</v>
      </c>
      <c r="J69" s="9">
        <v>-16869.29</v>
      </c>
      <c r="K69" s="9">
        <v>0</v>
      </c>
      <c r="L69" s="125">
        <v>2980082.59</v>
      </c>
    </row>
    <row r="70" spans="1:12" ht="13" x14ac:dyDescent="0.3">
      <c r="A70" s="127">
        <v>37600</v>
      </c>
      <c r="B70" s="1" t="s">
        <v>692</v>
      </c>
      <c r="C70" s="1" t="s">
        <v>692</v>
      </c>
      <c r="D70" t="s">
        <v>253</v>
      </c>
      <c r="E70" t="s">
        <v>89</v>
      </c>
      <c r="F70" s="1" t="s">
        <v>693</v>
      </c>
      <c r="G70" s="1" t="s">
        <v>694</v>
      </c>
      <c r="H70" s="9">
        <v>4199762.59</v>
      </c>
      <c r="I70" s="9">
        <v>10777.63</v>
      </c>
      <c r="J70" s="9">
        <v>-79120.13</v>
      </c>
      <c r="K70" s="9">
        <v>0</v>
      </c>
      <c r="L70" s="125">
        <v>4131420.09</v>
      </c>
    </row>
    <row r="71" spans="1:12" ht="13" x14ac:dyDescent="0.3">
      <c r="A71" s="127">
        <v>37600</v>
      </c>
      <c r="B71" s="1" t="s">
        <v>692</v>
      </c>
      <c r="C71" s="1" t="s">
        <v>692</v>
      </c>
      <c r="D71" t="s">
        <v>586</v>
      </c>
      <c r="E71" t="s">
        <v>89</v>
      </c>
      <c r="F71" s="1" t="s">
        <v>693</v>
      </c>
      <c r="G71" s="1" t="s">
        <v>694</v>
      </c>
      <c r="H71" s="9">
        <v>6011350.9500000002</v>
      </c>
      <c r="I71" s="9">
        <v>23771.02</v>
      </c>
      <c r="J71" s="9">
        <v>0</v>
      </c>
      <c r="K71" s="9">
        <v>0</v>
      </c>
      <c r="L71" s="125">
        <v>6035121.9699999997</v>
      </c>
    </row>
    <row r="72" spans="1:12" ht="13" x14ac:dyDescent="0.3">
      <c r="A72" s="127">
        <v>37600</v>
      </c>
      <c r="B72" s="1" t="s">
        <v>692</v>
      </c>
      <c r="C72" s="1" t="s">
        <v>692</v>
      </c>
      <c r="D72" t="s">
        <v>282</v>
      </c>
      <c r="E72" t="s">
        <v>89</v>
      </c>
      <c r="F72" s="1" t="s">
        <v>693</v>
      </c>
      <c r="G72" s="1" t="s">
        <v>694</v>
      </c>
      <c r="H72" s="9">
        <v>10110458.75</v>
      </c>
      <c r="I72" s="9">
        <v>33349.269999999997</v>
      </c>
      <c r="J72" s="9">
        <v>0</v>
      </c>
      <c r="K72" s="9">
        <v>0</v>
      </c>
      <c r="L72" s="125">
        <v>10143808.02</v>
      </c>
    </row>
    <row r="73" spans="1:12" ht="13" x14ac:dyDescent="0.3">
      <c r="A73" s="127">
        <v>37600</v>
      </c>
      <c r="B73" s="1" t="s">
        <v>692</v>
      </c>
      <c r="C73" s="1" t="s">
        <v>692</v>
      </c>
      <c r="D73" t="s">
        <v>221</v>
      </c>
      <c r="E73" t="s">
        <v>89</v>
      </c>
      <c r="F73" s="1" t="s">
        <v>693</v>
      </c>
      <c r="G73" s="1" t="s">
        <v>694</v>
      </c>
      <c r="H73" s="9">
        <v>10560044.57</v>
      </c>
      <c r="I73" s="9">
        <v>31291.45</v>
      </c>
      <c r="J73" s="9">
        <v>-116373.25</v>
      </c>
      <c r="K73" s="9">
        <v>0</v>
      </c>
      <c r="L73" s="125">
        <v>10474962.77</v>
      </c>
    </row>
    <row r="74" spans="1:12" ht="13" x14ac:dyDescent="0.3">
      <c r="A74" s="127">
        <v>37600</v>
      </c>
      <c r="B74" s="1" t="s">
        <v>692</v>
      </c>
      <c r="C74" s="1" t="s">
        <v>692</v>
      </c>
      <c r="D74" t="s">
        <v>191</v>
      </c>
      <c r="E74" t="s">
        <v>89</v>
      </c>
      <c r="F74" s="1" t="s">
        <v>693</v>
      </c>
      <c r="G74" s="1" t="s">
        <v>694</v>
      </c>
      <c r="H74" s="9">
        <v>15207399.16</v>
      </c>
      <c r="I74" s="9">
        <v>26085.38</v>
      </c>
      <c r="J74" s="9">
        <v>-174262.53</v>
      </c>
      <c r="K74" s="9">
        <v>0</v>
      </c>
      <c r="L74" s="125">
        <v>15059222.01</v>
      </c>
    </row>
    <row r="75" spans="1:12" ht="13" x14ac:dyDescent="0.3">
      <c r="A75" s="127">
        <v>37600</v>
      </c>
      <c r="B75" s="1" t="s">
        <v>692</v>
      </c>
      <c r="C75" s="1" t="s">
        <v>692</v>
      </c>
      <c r="D75" t="s">
        <v>342</v>
      </c>
      <c r="E75" t="s">
        <v>89</v>
      </c>
      <c r="F75" s="1" t="s">
        <v>693</v>
      </c>
      <c r="G75" s="1" t="s">
        <v>694</v>
      </c>
      <c r="H75" s="9">
        <v>15737355.550000001</v>
      </c>
      <c r="I75" s="9">
        <v>42930.42</v>
      </c>
      <c r="J75" s="9">
        <v>-274886.40999999997</v>
      </c>
      <c r="K75" s="9">
        <v>0</v>
      </c>
      <c r="L75" s="125">
        <v>15505399.560000001</v>
      </c>
    </row>
    <row r="76" spans="1:12" ht="13" x14ac:dyDescent="0.3">
      <c r="A76" s="127">
        <v>37602</v>
      </c>
      <c r="B76" s="1" t="s">
        <v>692</v>
      </c>
      <c r="C76" s="1" t="s">
        <v>692</v>
      </c>
      <c r="D76" t="s">
        <v>370</v>
      </c>
      <c r="E76" t="s">
        <v>89</v>
      </c>
      <c r="F76" s="1" t="s">
        <v>693</v>
      </c>
      <c r="G76" s="1" t="s">
        <v>694</v>
      </c>
      <c r="H76" s="9">
        <v>0</v>
      </c>
      <c r="I76" s="9">
        <v>0</v>
      </c>
      <c r="J76" s="9">
        <v>0</v>
      </c>
      <c r="K76" s="9">
        <v>0</v>
      </c>
      <c r="L76" s="125">
        <v>0</v>
      </c>
    </row>
    <row r="77" spans="1:12" ht="13" x14ac:dyDescent="0.3">
      <c r="A77" s="127">
        <v>37602</v>
      </c>
      <c r="B77" s="1" t="s">
        <v>692</v>
      </c>
      <c r="C77" s="1" t="s">
        <v>692</v>
      </c>
      <c r="D77" t="s">
        <v>223</v>
      </c>
      <c r="E77" t="s">
        <v>89</v>
      </c>
      <c r="F77" s="1" t="s">
        <v>693</v>
      </c>
      <c r="G77" s="1" t="s">
        <v>694</v>
      </c>
      <c r="H77" s="9">
        <v>0</v>
      </c>
      <c r="I77" s="9">
        <v>0</v>
      </c>
      <c r="J77" s="9">
        <v>0</v>
      </c>
      <c r="K77" s="9">
        <v>0</v>
      </c>
      <c r="L77" s="125">
        <v>0</v>
      </c>
    </row>
    <row r="78" spans="1:12" ht="13" x14ac:dyDescent="0.3">
      <c r="A78" s="127">
        <v>37602</v>
      </c>
      <c r="B78" s="1" t="s">
        <v>692</v>
      </c>
      <c r="C78" s="1" t="s">
        <v>692</v>
      </c>
      <c r="D78" t="s">
        <v>315</v>
      </c>
      <c r="E78" t="s">
        <v>89</v>
      </c>
      <c r="F78" s="1" t="s">
        <v>693</v>
      </c>
      <c r="G78" s="1" t="s">
        <v>694</v>
      </c>
      <c r="H78" s="9">
        <v>0</v>
      </c>
      <c r="I78" s="9">
        <v>0</v>
      </c>
      <c r="J78" s="9">
        <v>0</v>
      </c>
      <c r="K78" s="9">
        <v>0</v>
      </c>
      <c r="L78" s="125">
        <v>0</v>
      </c>
    </row>
    <row r="79" spans="1:12" ht="13" x14ac:dyDescent="0.3">
      <c r="A79" s="127">
        <v>37602</v>
      </c>
      <c r="B79" s="1" t="s">
        <v>692</v>
      </c>
      <c r="C79" s="1" t="s">
        <v>692</v>
      </c>
      <c r="D79" t="s">
        <v>344</v>
      </c>
      <c r="E79" t="s">
        <v>89</v>
      </c>
      <c r="F79" s="1" t="s">
        <v>693</v>
      </c>
      <c r="G79" s="1" t="s">
        <v>694</v>
      </c>
      <c r="H79" s="9">
        <v>0</v>
      </c>
      <c r="I79" s="9">
        <v>0</v>
      </c>
      <c r="J79" s="9">
        <v>0</v>
      </c>
      <c r="K79" s="9">
        <v>0</v>
      </c>
      <c r="L79" s="125">
        <v>0</v>
      </c>
    </row>
    <row r="80" spans="1:12" ht="13" x14ac:dyDescent="0.3">
      <c r="A80" s="127">
        <v>37602</v>
      </c>
      <c r="B80" s="1" t="s">
        <v>692</v>
      </c>
      <c r="C80" s="1" t="s">
        <v>692</v>
      </c>
      <c r="D80" t="s">
        <v>458</v>
      </c>
      <c r="E80" t="s">
        <v>89</v>
      </c>
      <c r="F80" s="1" t="s">
        <v>693</v>
      </c>
      <c r="G80" s="1" t="s">
        <v>694</v>
      </c>
      <c r="H80" s="9">
        <v>0</v>
      </c>
      <c r="I80" s="9">
        <v>0</v>
      </c>
      <c r="J80" s="9">
        <v>0</v>
      </c>
      <c r="K80" s="9">
        <v>0</v>
      </c>
      <c r="L80" s="125">
        <v>0</v>
      </c>
    </row>
    <row r="81" spans="1:12" ht="13" x14ac:dyDescent="0.3">
      <c r="A81" s="127">
        <v>37602</v>
      </c>
      <c r="B81" s="1" t="s">
        <v>692</v>
      </c>
      <c r="C81" s="1" t="s">
        <v>692</v>
      </c>
      <c r="D81" t="s">
        <v>224</v>
      </c>
      <c r="E81" t="s">
        <v>89</v>
      </c>
      <c r="F81" s="1" t="s">
        <v>693</v>
      </c>
      <c r="G81" s="1" t="s">
        <v>694</v>
      </c>
      <c r="H81" s="9">
        <v>0</v>
      </c>
      <c r="I81" s="9">
        <v>0</v>
      </c>
      <c r="J81" s="9">
        <v>0</v>
      </c>
      <c r="K81" s="9">
        <v>0</v>
      </c>
      <c r="L81" s="125">
        <v>0</v>
      </c>
    </row>
    <row r="82" spans="1:12" ht="13" x14ac:dyDescent="0.3">
      <c r="A82" s="127">
        <v>37602</v>
      </c>
      <c r="B82" s="1" t="s">
        <v>692</v>
      </c>
      <c r="C82" s="1" t="s">
        <v>692</v>
      </c>
      <c r="D82" t="s">
        <v>256</v>
      </c>
      <c r="E82" t="s">
        <v>89</v>
      </c>
      <c r="F82" s="1" t="s">
        <v>693</v>
      </c>
      <c r="G82" s="1" t="s">
        <v>694</v>
      </c>
      <c r="H82" s="9">
        <v>0</v>
      </c>
      <c r="I82" s="9">
        <v>0</v>
      </c>
      <c r="J82" s="9">
        <v>0</v>
      </c>
      <c r="K82" s="9">
        <v>0</v>
      </c>
      <c r="L82" s="125">
        <v>0</v>
      </c>
    </row>
    <row r="83" spans="1:12" ht="13" x14ac:dyDescent="0.3">
      <c r="A83" s="127">
        <v>37602</v>
      </c>
      <c r="B83" s="1" t="s">
        <v>692</v>
      </c>
      <c r="C83" s="1" t="s">
        <v>692</v>
      </c>
      <c r="D83" t="s">
        <v>345</v>
      </c>
      <c r="E83" t="s">
        <v>89</v>
      </c>
      <c r="F83" s="1" t="s">
        <v>693</v>
      </c>
      <c r="G83" s="1" t="s">
        <v>694</v>
      </c>
      <c r="H83" s="9">
        <v>0</v>
      </c>
      <c r="I83" s="9">
        <v>0</v>
      </c>
      <c r="J83" s="9">
        <v>0</v>
      </c>
      <c r="K83" s="9">
        <v>0</v>
      </c>
      <c r="L83" s="125">
        <v>0</v>
      </c>
    </row>
    <row r="84" spans="1:12" ht="13" x14ac:dyDescent="0.3">
      <c r="A84" s="127">
        <v>37602</v>
      </c>
      <c r="B84" s="1" t="s">
        <v>692</v>
      </c>
      <c r="C84" s="1" t="s">
        <v>692</v>
      </c>
      <c r="D84" t="s">
        <v>378</v>
      </c>
      <c r="E84" t="s">
        <v>89</v>
      </c>
      <c r="F84" s="1" t="s">
        <v>693</v>
      </c>
      <c r="G84" s="1" t="s">
        <v>694</v>
      </c>
      <c r="H84" s="9">
        <v>0</v>
      </c>
      <c r="I84" s="9">
        <v>0</v>
      </c>
      <c r="J84" s="9">
        <v>0</v>
      </c>
      <c r="K84" s="9">
        <v>0</v>
      </c>
      <c r="L84" s="125">
        <v>0</v>
      </c>
    </row>
    <row r="85" spans="1:12" ht="13" x14ac:dyDescent="0.3">
      <c r="A85" s="127">
        <v>37602</v>
      </c>
      <c r="B85" s="1" t="s">
        <v>692</v>
      </c>
      <c r="C85" s="1" t="s">
        <v>692</v>
      </c>
      <c r="D85" t="s">
        <v>459</v>
      </c>
      <c r="E85" t="s">
        <v>89</v>
      </c>
      <c r="F85" s="1" t="s">
        <v>693</v>
      </c>
      <c r="G85" s="1" t="s">
        <v>694</v>
      </c>
      <c r="H85" s="9">
        <v>0</v>
      </c>
      <c r="I85" s="9">
        <v>0</v>
      </c>
      <c r="J85" s="9">
        <v>0</v>
      </c>
      <c r="K85" s="9">
        <v>0</v>
      </c>
      <c r="L85" s="125">
        <v>0</v>
      </c>
    </row>
    <row r="86" spans="1:12" ht="13" x14ac:dyDescent="0.3">
      <c r="A86" s="127">
        <v>37602</v>
      </c>
      <c r="B86" s="1" t="s">
        <v>692</v>
      </c>
      <c r="C86" s="1" t="s">
        <v>692</v>
      </c>
      <c r="D86" t="s">
        <v>589</v>
      </c>
      <c r="E86" t="s">
        <v>89</v>
      </c>
      <c r="F86" s="1" t="s">
        <v>693</v>
      </c>
      <c r="G86" s="1" t="s">
        <v>694</v>
      </c>
      <c r="H86" s="9">
        <v>0</v>
      </c>
      <c r="I86" s="9">
        <v>0</v>
      </c>
      <c r="J86" s="9">
        <v>0</v>
      </c>
      <c r="K86" s="9">
        <v>0</v>
      </c>
      <c r="L86" s="125">
        <v>0</v>
      </c>
    </row>
    <row r="87" spans="1:12" ht="13" x14ac:dyDescent="0.3">
      <c r="A87" s="127">
        <v>37602</v>
      </c>
      <c r="B87" s="1" t="s">
        <v>692</v>
      </c>
      <c r="C87" s="1" t="s">
        <v>692</v>
      </c>
      <c r="D87" t="s">
        <v>285</v>
      </c>
      <c r="E87" t="s">
        <v>89</v>
      </c>
      <c r="F87" s="1" t="s">
        <v>693</v>
      </c>
      <c r="G87" s="1" t="s">
        <v>694</v>
      </c>
      <c r="H87" s="9">
        <v>24.04</v>
      </c>
      <c r="I87" s="9">
        <v>0</v>
      </c>
      <c r="J87" s="9">
        <v>0</v>
      </c>
      <c r="K87" s="9">
        <v>0</v>
      </c>
      <c r="L87" s="125">
        <v>24.04</v>
      </c>
    </row>
    <row r="88" spans="1:12" ht="13" x14ac:dyDescent="0.3">
      <c r="A88" s="127">
        <v>37602</v>
      </c>
      <c r="B88" s="1" t="s">
        <v>692</v>
      </c>
      <c r="C88" s="1" t="s">
        <v>692</v>
      </c>
      <c r="D88" t="s">
        <v>555</v>
      </c>
      <c r="E88" t="s">
        <v>89</v>
      </c>
      <c r="F88" s="1" t="s">
        <v>693</v>
      </c>
      <c r="G88" s="1" t="s">
        <v>694</v>
      </c>
      <c r="H88" s="9">
        <v>34.200000000000003</v>
      </c>
      <c r="I88" s="9">
        <v>0</v>
      </c>
      <c r="J88" s="9">
        <v>0</v>
      </c>
      <c r="K88" s="9">
        <v>0</v>
      </c>
      <c r="L88" s="125">
        <v>34.200000000000003</v>
      </c>
    </row>
    <row r="89" spans="1:12" ht="13" x14ac:dyDescent="0.3">
      <c r="A89" s="127">
        <v>37602</v>
      </c>
      <c r="B89" s="1" t="s">
        <v>692</v>
      </c>
      <c r="C89" s="1" t="s">
        <v>692</v>
      </c>
      <c r="D89" t="s">
        <v>284</v>
      </c>
      <c r="E89" t="s">
        <v>89</v>
      </c>
      <c r="F89" s="1" t="s">
        <v>693</v>
      </c>
      <c r="G89" s="1" t="s">
        <v>694</v>
      </c>
      <c r="H89" s="9">
        <v>51.18</v>
      </c>
      <c r="I89" s="9">
        <v>0</v>
      </c>
      <c r="J89" s="9">
        <v>0</v>
      </c>
      <c r="K89" s="9">
        <v>0</v>
      </c>
      <c r="L89" s="125">
        <v>51.18</v>
      </c>
    </row>
    <row r="90" spans="1:12" ht="13" x14ac:dyDescent="0.3">
      <c r="A90" s="127">
        <v>37602</v>
      </c>
      <c r="B90" s="1" t="s">
        <v>692</v>
      </c>
      <c r="C90" s="1" t="s">
        <v>692</v>
      </c>
      <c r="D90" t="s">
        <v>519</v>
      </c>
      <c r="E90" t="s">
        <v>89</v>
      </c>
      <c r="F90" s="1" t="s">
        <v>693</v>
      </c>
      <c r="G90" s="1" t="s">
        <v>694</v>
      </c>
      <c r="H90" s="9">
        <v>89.05</v>
      </c>
      <c r="I90" s="9">
        <v>0</v>
      </c>
      <c r="J90" s="9">
        <v>0</v>
      </c>
      <c r="K90" s="9">
        <v>0</v>
      </c>
      <c r="L90" s="125">
        <v>89.05</v>
      </c>
    </row>
    <row r="91" spans="1:12" ht="13" x14ac:dyDescent="0.3">
      <c r="A91" s="127">
        <v>37602</v>
      </c>
      <c r="B91" s="1" t="s">
        <v>692</v>
      </c>
      <c r="C91" s="1" t="s">
        <v>692</v>
      </c>
      <c r="D91" t="s">
        <v>486</v>
      </c>
      <c r="E91" t="s">
        <v>89</v>
      </c>
      <c r="F91" s="1" t="s">
        <v>693</v>
      </c>
      <c r="G91" s="1" t="s">
        <v>694</v>
      </c>
      <c r="H91" s="9">
        <v>399.1</v>
      </c>
      <c r="I91" s="9">
        <v>0</v>
      </c>
      <c r="J91" s="9">
        <v>0</v>
      </c>
      <c r="K91" s="9">
        <v>0</v>
      </c>
      <c r="L91" s="125">
        <v>399.1</v>
      </c>
    </row>
    <row r="92" spans="1:12" ht="13" x14ac:dyDescent="0.3">
      <c r="A92" s="127">
        <v>37602</v>
      </c>
      <c r="B92" s="1" t="s">
        <v>692</v>
      </c>
      <c r="C92" s="1" t="s">
        <v>692</v>
      </c>
      <c r="D92" t="s">
        <v>518</v>
      </c>
      <c r="E92" t="s">
        <v>89</v>
      </c>
      <c r="F92" s="1" t="s">
        <v>693</v>
      </c>
      <c r="G92" s="1" t="s">
        <v>694</v>
      </c>
      <c r="H92" s="9">
        <v>500.11</v>
      </c>
      <c r="I92" s="9">
        <v>0</v>
      </c>
      <c r="J92" s="9">
        <v>0</v>
      </c>
      <c r="K92" s="9">
        <v>0</v>
      </c>
      <c r="L92" s="125">
        <v>500.11</v>
      </c>
    </row>
    <row r="93" spans="1:12" ht="13" x14ac:dyDescent="0.3">
      <c r="A93" s="127">
        <v>37602</v>
      </c>
      <c r="B93" s="1" t="s">
        <v>692</v>
      </c>
      <c r="C93" s="1" t="s">
        <v>692</v>
      </c>
      <c r="D93" t="s">
        <v>193</v>
      </c>
      <c r="E93" t="s">
        <v>89</v>
      </c>
      <c r="F93" s="1" t="s">
        <v>693</v>
      </c>
      <c r="G93" s="1" t="s">
        <v>694</v>
      </c>
      <c r="H93" s="9">
        <v>884.04</v>
      </c>
      <c r="I93" s="9">
        <v>0</v>
      </c>
      <c r="J93" s="9">
        <v>0</v>
      </c>
      <c r="K93" s="9">
        <v>0</v>
      </c>
      <c r="L93" s="125">
        <v>884.04</v>
      </c>
    </row>
    <row r="94" spans="1:12" ht="13" x14ac:dyDescent="0.3">
      <c r="A94" s="127">
        <v>37602</v>
      </c>
      <c r="B94" s="1" t="s">
        <v>692</v>
      </c>
      <c r="C94" s="1" t="s">
        <v>692</v>
      </c>
      <c r="D94" t="s">
        <v>485</v>
      </c>
      <c r="E94" t="s">
        <v>89</v>
      </c>
      <c r="F94" s="1" t="s">
        <v>693</v>
      </c>
      <c r="G94" s="1" t="s">
        <v>694</v>
      </c>
      <c r="H94" s="9">
        <v>1408.6</v>
      </c>
      <c r="I94" s="9">
        <v>0</v>
      </c>
      <c r="J94" s="9">
        <v>0</v>
      </c>
      <c r="K94" s="9">
        <v>0</v>
      </c>
      <c r="L94" s="125">
        <v>1408.6</v>
      </c>
    </row>
    <row r="95" spans="1:12" ht="13" x14ac:dyDescent="0.3">
      <c r="A95" s="127">
        <v>37602</v>
      </c>
      <c r="B95" s="1" t="s">
        <v>692</v>
      </c>
      <c r="C95" s="1" t="s">
        <v>692</v>
      </c>
      <c r="D95" t="s">
        <v>255</v>
      </c>
      <c r="E95" t="s">
        <v>89</v>
      </c>
      <c r="F95" s="1" t="s">
        <v>693</v>
      </c>
      <c r="G95" s="1" t="s">
        <v>694</v>
      </c>
      <c r="H95" s="9">
        <v>1432.83</v>
      </c>
      <c r="I95" s="9">
        <v>0</v>
      </c>
      <c r="J95" s="9">
        <v>0</v>
      </c>
      <c r="K95" s="9">
        <v>0</v>
      </c>
      <c r="L95" s="125">
        <v>1432.83</v>
      </c>
    </row>
    <row r="96" spans="1:12" ht="13" x14ac:dyDescent="0.3">
      <c r="A96" s="127">
        <v>37602</v>
      </c>
      <c r="B96" s="1" t="s">
        <v>692</v>
      </c>
      <c r="C96" s="1" t="s">
        <v>692</v>
      </c>
      <c r="D96" t="s">
        <v>588</v>
      </c>
      <c r="E96" t="s">
        <v>89</v>
      </c>
      <c r="F96" s="1" t="s">
        <v>693</v>
      </c>
      <c r="G96" s="1" t="s">
        <v>694</v>
      </c>
      <c r="H96" s="9">
        <v>2472.17</v>
      </c>
      <c r="I96" s="9">
        <v>0</v>
      </c>
      <c r="J96" s="9">
        <v>0</v>
      </c>
      <c r="K96" s="9">
        <v>0</v>
      </c>
      <c r="L96" s="125">
        <v>2472.17</v>
      </c>
    </row>
    <row r="97" spans="1:12" ht="13" x14ac:dyDescent="0.3">
      <c r="A97" s="127">
        <v>37602</v>
      </c>
      <c r="B97" s="1" t="s">
        <v>692</v>
      </c>
      <c r="C97" s="1" t="s">
        <v>692</v>
      </c>
      <c r="D97" t="s">
        <v>431</v>
      </c>
      <c r="E97" t="s">
        <v>89</v>
      </c>
      <c r="F97" s="1" t="s">
        <v>693</v>
      </c>
      <c r="G97" s="1" t="s">
        <v>694</v>
      </c>
      <c r="H97" s="9">
        <v>127820.3</v>
      </c>
      <c r="I97" s="9">
        <v>495.27</v>
      </c>
      <c r="J97" s="9">
        <v>0</v>
      </c>
      <c r="K97" s="9">
        <v>0</v>
      </c>
      <c r="L97" s="125">
        <v>128315.57</v>
      </c>
    </row>
    <row r="98" spans="1:12" ht="13" x14ac:dyDescent="0.3">
      <c r="A98" s="127">
        <v>37602</v>
      </c>
      <c r="B98" s="1" t="s">
        <v>692</v>
      </c>
      <c r="C98" s="1" t="s">
        <v>692</v>
      </c>
      <c r="D98" t="s">
        <v>314</v>
      </c>
      <c r="E98" t="s">
        <v>89</v>
      </c>
      <c r="F98" s="1" t="s">
        <v>693</v>
      </c>
      <c r="G98" s="1" t="s">
        <v>694</v>
      </c>
      <c r="H98" s="9">
        <v>387754.48</v>
      </c>
      <c r="I98" s="9">
        <v>2237.4299999999998</v>
      </c>
      <c r="J98" s="9">
        <v>0</v>
      </c>
      <c r="K98" s="9">
        <v>0</v>
      </c>
      <c r="L98" s="125">
        <v>389991.91</v>
      </c>
    </row>
    <row r="99" spans="1:12" ht="13" x14ac:dyDescent="0.3">
      <c r="A99" s="127">
        <v>37602</v>
      </c>
      <c r="B99" s="1" t="s">
        <v>692</v>
      </c>
      <c r="C99" s="1" t="s">
        <v>692</v>
      </c>
      <c r="D99" t="s">
        <v>377</v>
      </c>
      <c r="E99" t="s">
        <v>89</v>
      </c>
      <c r="F99" s="1" t="s">
        <v>693</v>
      </c>
      <c r="G99" s="1" t="s">
        <v>694</v>
      </c>
      <c r="H99" s="9">
        <v>603289.82999999996</v>
      </c>
      <c r="I99" s="9">
        <v>4349.1000000000004</v>
      </c>
      <c r="J99" s="9">
        <v>0</v>
      </c>
      <c r="K99" s="9">
        <v>0</v>
      </c>
      <c r="L99" s="125">
        <v>607638.93000000005</v>
      </c>
    </row>
    <row r="100" spans="1:12" ht="13" x14ac:dyDescent="0.3">
      <c r="A100" s="127">
        <v>37602</v>
      </c>
      <c r="B100" s="1" t="s">
        <v>692</v>
      </c>
      <c r="C100" s="1" t="s">
        <v>692</v>
      </c>
      <c r="D100" t="s">
        <v>405</v>
      </c>
      <c r="E100" t="s">
        <v>89</v>
      </c>
      <c r="F100" s="1" t="s">
        <v>693</v>
      </c>
      <c r="G100" s="1" t="s">
        <v>694</v>
      </c>
      <c r="H100" s="9">
        <v>750996.59</v>
      </c>
      <c r="I100" s="9">
        <v>3480.72</v>
      </c>
      <c r="J100" s="9">
        <v>0</v>
      </c>
      <c r="K100" s="9">
        <v>0</v>
      </c>
      <c r="L100" s="125">
        <v>754477.31</v>
      </c>
    </row>
    <row r="101" spans="1:12" ht="13" x14ac:dyDescent="0.3">
      <c r="A101" s="127">
        <v>37602</v>
      </c>
      <c r="B101" s="1" t="s">
        <v>692</v>
      </c>
      <c r="C101" s="1" t="s">
        <v>692</v>
      </c>
      <c r="D101" t="s">
        <v>484</v>
      </c>
      <c r="E101" t="s">
        <v>89</v>
      </c>
      <c r="F101" s="1" t="s">
        <v>693</v>
      </c>
      <c r="G101" s="1" t="s">
        <v>694</v>
      </c>
      <c r="H101" s="9">
        <v>937727.16</v>
      </c>
      <c r="I101" s="9">
        <v>5474.58</v>
      </c>
      <c r="J101" s="9">
        <v>0</v>
      </c>
      <c r="K101" s="9">
        <v>0</v>
      </c>
      <c r="L101" s="125">
        <v>943201.74</v>
      </c>
    </row>
    <row r="102" spans="1:12" ht="13" x14ac:dyDescent="0.3">
      <c r="A102" s="127">
        <v>37602</v>
      </c>
      <c r="B102" s="1" t="s">
        <v>692</v>
      </c>
      <c r="C102" s="1" t="s">
        <v>692</v>
      </c>
      <c r="D102" t="s">
        <v>517</v>
      </c>
      <c r="E102" t="s">
        <v>89</v>
      </c>
      <c r="F102" s="1" t="s">
        <v>693</v>
      </c>
      <c r="G102" s="1" t="s">
        <v>694</v>
      </c>
      <c r="H102" s="9">
        <v>1342346.49</v>
      </c>
      <c r="I102" s="9">
        <v>4542.21</v>
      </c>
      <c r="J102" s="9">
        <v>0</v>
      </c>
      <c r="K102" s="9">
        <v>0</v>
      </c>
      <c r="L102" s="125">
        <v>1346888.7</v>
      </c>
    </row>
    <row r="103" spans="1:12" ht="13" x14ac:dyDescent="0.3">
      <c r="A103" s="127">
        <v>37602</v>
      </c>
      <c r="B103" s="1" t="s">
        <v>692</v>
      </c>
      <c r="C103" s="1" t="s">
        <v>692</v>
      </c>
      <c r="D103" t="s">
        <v>254</v>
      </c>
      <c r="E103" t="s">
        <v>89</v>
      </c>
      <c r="F103" s="1" t="s">
        <v>693</v>
      </c>
      <c r="G103" s="1" t="s">
        <v>694</v>
      </c>
      <c r="H103" s="9">
        <v>2023378.92</v>
      </c>
      <c r="I103" s="9">
        <v>9571.35</v>
      </c>
      <c r="J103" s="9">
        <v>0</v>
      </c>
      <c r="K103" s="9">
        <v>0</v>
      </c>
      <c r="L103" s="125">
        <v>2032950.27</v>
      </c>
    </row>
    <row r="104" spans="1:12" ht="13" x14ac:dyDescent="0.3">
      <c r="A104" s="127">
        <v>37602</v>
      </c>
      <c r="B104" s="1" t="s">
        <v>692</v>
      </c>
      <c r="C104" s="1" t="s">
        <v>692</v>
      </c>
      <c r="D104" t="s">
        <v>283</v>
      </c>
      <c r="E104" t="s">
        <v>89</v>
      </c>
      <c r="F104" s="1" t="s">
        <v>693</v>
      </c>
      <c r="G104" s="1" t="s">
        <v>694</v>
      </c>
      <c r="H104" s="9">
        <v>2127669.86</v>
      </c>
      <c r="I104" s="9">
        <v>9541.98</v>
      </c>
      <c r="J104" s="9">
        <v>0</v>
      </c>
      <c r="K104" s="9">
        <v>0</v>
      </c>
      <c r="L104" s="125">
        <v>2137211.84</v>
      </c>
    </row>
    <row r="105" spans="1:12" ht="13" x14ac:dyDescent="0.3">
      <c r="A105" s="127">
        <v>37602</v>
      </c>
      <c r="B105" s="1" t="s">
        <v>692</v>
      </c>
      <c r="C105" s="1" t="s">
        <v>692</v>
      </c>
      <c r="D105" t="s">
        <v>554</v>
      </c>
      <c r="E105" t="s">
        <v>89</v>
      </c>
      <c r="F105" s="1" t="s">
        <v>693</v>
      </c>
      <c r="G105" s="1" t="s">
        <v>694</v>
      </c>
      <c r="H105" s="9">
        <v>2185603.4</v>
      </c>
      <c r="I105" s="9">
        <v>9694.5300000000007</v>
      </c>
      <c r="J105" s="9">
        <v>0</v>
      </c>
      <c r="K105" s="9">
        <v>0</v>
      </c>
      <c r="L105" s="125">
        <v>2195297.9300000002</v>
      </c>
    </row>
    <row r="106" spans="1:12" ht="13" x14ac:dyDescent="0.3">
      <c r="A106" s="127">
        <v>37602</v>
      </c>
      <c r="B106" s="1" t="s">
        <v>692</v>
      </c>
      <c r="C106" s="1" t="s">
        <v>692</v>
      </c>
      <c r="D106" t="s">
        <v>587</v>
      </c>
      <c r="E106" t="s">
        <v>89</v>
      </c>
      <c r="F106" s="1" t="s">
        <v>693</v>
      </c>
      <c r="G106" s="1" t="s">
        <v>694</v>
      </c>
      <c r="H106" s="9">
        <v>2492345.67</v>
      </c>
      <c r="I106" s="9">
        <v>17750.71</v>
      </c>
      <c r="J106" s="9">
        <v>0</v>
      </c>
      <c r="K106" s="9">
        <v>0</v>
      </c>
      <c r="L106" s="125">
        <v>2510096.38</v>
      </c>
    </row>
    <row r="107" spans="1:12" ht="13" x14ac:dyDescent="0.3">
      <c r="A107" s="127">
        <v>37602</v>
      </c>
      <c r="B107" s="1" t="s">
        <v>692</v>
      </c>
      <c r="C107" s="1" t="s">
        <v>692</v>
      </c>
      <c r="D107" t="s">
        <v>192</v>
      </c>
      <c r="E107" t="s">
        <v>89</v>
      </c>
      <c r="F107" s="1" t="s">
        <v>693</v>
      </c>
      <c r="G107" s="1" t="s">
        <v>694</v>
      </c>
      <c r="H107" s="9">
        <v>2906536.71</v>
      </c>
      <c r="I107" s="9">
        <v>19697.18</v>
      </c>
      <c r="J107" s="9">
        <v>-32286.62</v>
      </c>
      <c r="K107" s="9">
        <v>0</v>
      </c>
      <c r="L107" s="125">
        <v>2893947.27</v>
      </c>
    </row>
    <row r="108" spans="1:12" ht="13" x14ac:dyDescent="0.3">
      <c r="A108" s="127">
        <v>37602</v>
      </c>
      <c r="B108" s="1" t="s">
        <v>692</v>
      </c>
      <c r="C108" s="1" t="s">
        <v>692</v>
      </c>
      <c r="D108" t="s">
        <v>343</v>
      </c>
      <c r="E108" t="s">
        <v>89</v>
      </c>
      <c r="F108" s="1" t="s">
        <v>693</v>
      </c>
      <c r="G108" s="1" t="s">
        <v>694</v>
      </c>
      <c r="H108" s="9">
        <v>3108573.56</v>
      </c>
      <c r="I108" s="9">
        <v>15187.23</v>
      </c>
      <c r="J108" s="9">
        <v>0</v>
      </c>
      <c r="K108" s="9">
        <v>0</v>
      </c>
      <c r="L108" s="125">
        <v>3123760.79</v>
      </c>
    </row>
    <row r="109" spans="1:12" ht="13" x14ac:dyDescent="0.3">
      <c r="A109" s="127">
        <v>37602</v>
      </c>
      <c r="B109" s="1" t="s">
        <v>692</v>
      </c>
      <c r="C109" s="1" t="s">
        <v>692</v>
      </c>
      <c r="D109" t="s">
        <v>457</v>
      </c>
      <c r="E109" t="s">
        <v>89</v>
      </c>
      <c r="F109" s="1" t="s">
        <v>693</v>
      </c>
      <c r="G109" s="1" t="s">
        <v>694</v>
      </c>
      <c r="H109" s="9">
        <v>3503128.24</v>
      </c>
      <c r="I109" s="9">
        <v>17897.310000000001</v>
      </c>
      <c r="J109" s="9">
        <v>0</v>
      </c>
      <c r="K109" s="9">
        <v>0</v>
      </c>
      <c r="L109" s="125">
        <v>3521025.55</v>
      </c>
    </row>
    <row r="110" spans="1:12" ht="13" x14ac:dyDescent="0.3">
      <c r="A110" s="127">
        <v>37602</v>
      </c>
      <c r="B110" s="1" t="s">
        <v>692</v>
      </c>
      <c r="C110" s="1" t="s">
        <v>692</v>
      </c>
      <c r="D110" t="s">
        <v>222</v>
      </c>
      <c r="E110" t="s">
        <v>89</v>
      </c>
      <c r="F110" s="1" t="s">
        <v>693</v>
      </c>
      <c r="G110" s="1" t="s">
        <v>694</v>
      </c>
      <c r="H110" s="9">
        <v>3684941.66</v>
      </c>
      <c r="I110" s="9">
        <v>22407.33</v>
      </c>
      <c r="J110" s="9">
        <v>-2162.66</v>
      </c>
      <c r="K110" s="9">
        <v>0</v>
      </c>
      <c r="L110" s="125">
        <v>3705186.33</v>
      </c>
    </row>
    <row r="111" spans="1:12" ht="13" x14ac:dyDescent="0.3">
      <c r="A111" s="127">
        <v>37800</v>
      </c>
      <c r="B111" s="1" t="s">
        <v>692</v>
      </c>
      <c r="C111" s="1" t="s">
        <v>692</v>
      </c>
      <c r="D111" t="s">
        <v>194</v>
      </c>
      <c r="E111" t="s">
        <v>89</v>
      </c>
      <c r="F111" s="1" t="s">
        <v>693</v>
      </c>
      <c r="G111" s="1" t="s">
        <v>694</v>
      </c>
      <c r="H111" s="9">
        <v>-54554.86</v>
      </c>
      <c r="I111" s="9">
        <v>91.47</v>
      </c>
      <c r="J111" s="9">
        <v>0</v>
      </c>
      <c r="K111" s="9">
        <v>0</v>
      </c>
      <c r="L111" s="125">
        <v>-54463.39</v>
      </c>
    </row>
    <row r="112" spans="1:12" ht="13" x14ac:dyDescent="0.3">
      <c r="A112" s="127">
        <v>37800</v>
      </c>
      <c r="B112" s="1" t="s">
        <v>692</v>
      </c>
      <c r="C112" s="1" t="s">
        <v>692</v>
      </c>
      <c r="D112" t="s">
        <v>371</v>
      </c>
      <c r="E112" t="s">
        <v>89</v>
      </c>
      <c r="F112" s="1" t="s">
        <v>693</v>
      </c>
      <c r="G112" s="1" t="s">
        <v>694</v>
      </c>
      <c r="H112" s="9">
        <v>0</v>
      </c>
      <c r="I112" s="9">
        <v>0</v>
      </c>
      <c r="J112" s="9">
        <v>0</v>
      </c>
      <c r="K112" s="9">
        <v>0</v>
      </c>
      <c r="L112" s="125">
        <v>0</v>
      </c>
    </row>
    <row r="113" spans="1:12" ht="13" x14ac:dyDescent="0.3">
      <c r="A113" s="127">
        <v>37800</v>
      </c>
      <c r="B113" s="1" t="s">
        <v>692</v>
      </c>
      <c r="C113" s="1" t="s">
        <v>692</v>
      </c>
      <c r="D113" t="s">
        <v>487</v>
      </c>
      <c r="E113" t="s">
        <v>89</v>
      </c>
      <c r="F113" s="1" t="s">
        <v>693</v>
      </c>
      <c r="G113" s="1" t="s">
        <v>694</v>
      </c>
      <c r="H113" s="9">
        <v>52.58</v>
      </c>
      <c r="I113" s="9">
        <v>0.5</v>
      </c>
      <c r="J113" s="9">
        <v>0</v>
      </c>
      <c r="K113" s="9">
        <v>0</v>
      </c>
      <c r="L113" s="125">
        <v>53.08</v>
      </c>
    </row>
    <row r="114" spans="1:12" ht="13" x14ac:dyDescent="0.3">
      <c r="A114" s="127">
        <v>37800</v>
      </c>
      <c r="B114" s="1" t="s">
        <v>692</v>
      </c>
      <c r="C114" s="1" t="s">
        <v>692</v>
      </c>
      <c r="D114" t="s">
        <v>432</v>
      </c>
      <c r="E114" t="s">
        <v>89</v>
      </c>
      <c r="F114" s="1" t="s">
        <v>693</v>
      </c>
      <c r="G114" s="1" t="s">
        <v>694</v>
      </c>
      <c r="H114" s="9">
        <v>690.65</v>
      </c>
      <c r="I114" s="9">
        <v>5.82</v>
      </c>
      <c r="J114" s="9">
        <v>0</v>
      </c>
      <c r="K114" s="9">
        <v>0</v>
      </c>
      <c r="L114" s="125">
        <v>696.47</v>
      </c>
    </row>
    <row r="115" spans="1:12" ht="13" x14ac:dyDescent="0.3">
      <c r="A115" s="127">
        <v>37800</v>
      </c>
      <c r="B115" s="1" t="s">
        <v>692</v>
      </c>
      <c r="C115" s="1" t="s">
        <v>692</v>
      </c>
      <c r="D115" t="s">
        <v>316</v>
      </c>
      <c r="E115" t="s">
        <v>89</v>
      </c>
      <c r="F115" s="1" t="s">
        <v>693</v>
      </c>
      <c r="G115" s="1" t="s">
        <v>694</v>
      </c>
      <c r="H115" s="9">
        <v>2290.42</v>
      </c>
      <c r="I115" s="9">
        <v>12.68</v>
      </c>
      <c r="J115" s="9">
        <v>0</v>
      </c>
      <c r="K115" s="9">
        <v>0</v>
      </c>
      <c r="L115" s="125">
        <v>2303.1</v>
      </c>
    </row>
    <row r="116" spans="1:12" ht="13" x14ac:dyDescent="0.3">
      <c r="A116" s="127">
        <v>37800</v>
      </c>
      <c r="B116" s="1" t="s">
        <v>692</v>
      </c>
      <c r="C116" s="1" t="s">
        <v>692</v>
      </c>
      <c r="D116" t="s">
        <v>406</v>
      </c>
      <c r="E116" t="s">
        <v>89</v>
      </c>
      <c r="F116" s="1" t="s">
        <v>693</v>
      </c>
      <c r="G116" s="1" t="s">
        <v>694</v>
      </c>
      <c r="H116" s="9">
        <v>3041.85</v>
      </c>
      <c r="I116" s="9">
        <v>28.75</v>
      </c>
      <c r="J116" s="9">
        <v>0</v>
      </c>
      <c r="K116" s="9">
        <v>0</v>
      </c>
      <c r="L116" s="125">
        <v>3070.6</v>
      </c>
    </row>
    <row r="117" spans="1:12" ht="13" x14ac:dyDescent="0.3">
      <c r="A117" s="127">
        <v>37800</v>
      </c>
      <c r="B117" s="1" t="s">
        <v>692</v>
      </c>
      <c r="C117" s="1" t="s">
        <v>692</v>
      </c>
      <c r="D117" t="s">
        <v>520</v>
      </c>
      <c r="E117" t="s">
        <v>89</v>
      </c>
      <c r="F117" s="1" t="s">
        <v>693</v>
      </c>
      <c r="G117" s="1" t="s">
        <v>694</v>
      </c>
      <c r="H117" s="9">
        <v>3625.77</v>
      </c>
      <c r="I117" s="9">
        <v>31.41</v>
      </c>
      <c r="J117" s="9">
        <v>0</v>
      </c>
      <c r="K117" s="9">
        <v>0</v>
      </c>
      <c r="L117" s="125">
        <v>3657.18</v>
      </c>
    </row>
    <row r="118" spans="1:12" ht="13" x14ac:dyDescent="0.3">
      <c r="A118" s="127">
        <v>37800</v>
      </c>
      <c r="B118" s="1" t="s">
        <v>692</v>
      </c>
      <c r="C118" s="1" t="s">
        <v>692</v>
      </c>
      <c r="D118" t="s">
        <v>379</v>
      </c>
      <c r="E118" t="s">
        <v>89</v>
      </c>
      <c r="F118" s="1" t="s">
        <v>693</v>
      </c>
      <c r="G118" s="1" t="s">
        <v>694</v>
      </c>
      <c r="H118" s="9">
        <v>3703.95</v>
      </c>
      <c r="I118" s="9">
        <v>31.85</v>
      </c>
      <c r="J118" s="9">
        <v>0</v>
      </c>
      <c r="K118" s="9">
        <v>0</v>
      </c>
      <c r="L118" s="125">
        <v>3735.8</v>
      </c>
    </row>
    <row r="119" spans="1:12" ht="13" x14ac:dyDescent="0.3">
      <c r="A119" s="127">
        <v>37800</v>
      </c>
      <c r="B119" s="1" t="s">
        <v>692</v>
      </c>
      <c r="C119" s="1" t="s">
        <v>692</v>
      </c>
      <c r="D119" t="s">
        <v>672</v>
      </c>
      <c r="E119" t="s">
        <v>89</v>
      </c>
      <c r="F119" s="1" t="s">
        <v>693</v>
      </c>
      <c r="G119" s="1" t="s">
        <v>694</v>
      </c>
      <c r="H119" s="9">
        <v>3683.16</v>
      </c>
      <c r="I119" s="9">
        <v>133.41999999999999</v>
      </c>
      <c r="J119" s="9">
        <v>0</v>
      </c>
      <c r="K119" s="9">
        <v>0</v>
      </c>
      <c r="L119" s="125">
        <v>3816.58</v>
      </c>
    </row>
    <row r="120" spans="1:12" ht="13" x14ac:dyDescent="0.3">
      <c r="A120" s="127">
        <v>37800</v>
      </c>
      <c r="B120" s="1" t="s">
        <v>692</v>
      </c>
      <c r="C120" s="1" t="s">
        <v>692</v>
      </c>
      <c r="D120" t="s">
        <v>257</v>
      </c>
      <c r="E120" t="s">
        <v>89</v>
      </c>
      <c r="F120" s="1" t="s">
        <v>693</v>
      </c>
      <c r="G120" s="1" t="s">
        <v>694</v>
      </c>
      <c r="H120" s="9">
        <v>4481.38</v>
      </c>
      <c r="I120" s="9">
        <v>34.380000000000003</v>
      </c>
      <c r="J120" s="9">
        <v>0</v>
      </c>
      <c r="K120" s="9">
        <v>0</v>
      </c>
      <c r="L120" s="125">
        <v>4515.76</v>
      </c>
    </row>
    <row r="121" spans="1:12" ht="13" x14ac:dyDescent="0.3">
      <c r="A121" s="127">
        <v>37800</v>
      </c>
      <c r="B121" s="1" t="s">
        <v>692</v>
      </c>
      <c r="C121" s="1" t="s">
        <v>692</v>
      </c>
      <c r="D121" t="s">
        <v>556</v>
      </c>
      <c r="E121" t="s">
        <v>89</v>
      </c>
      <c r="F121" s="1" t="s">
        <v>693</v>
      </c>
      <c r="G121" s="1" t="s">
        <v>694</v>
      </c>
      <c r="H121" s="9">
        <v>4915.41</v>
      </c>
      <c r="I121" s="9">
        <v>43.64</v>
      </c>
      <c r="J121" s="9">
        <v>0</v>
      </c>
      <c r="K121" s="9">
        <v>0</v>
      </c>
      <c r="L121" s="125">
        <v>4959.05</v>
      </c>
    </row>
    <row r="122" spans="1:12" ht="13" x14ac:dyDescent="0.3">
      <c r="A122" s="127">
        <v>37800</v>
      </c>
      <c r="B122" s="1" t="s">
        <v>692</v>
      </c>
      <c r="C122" s="1" t="s">
        <v>692</v>
      </c>
      <c r="D122" t="s">
        <v>460</v>
      </c>
      <c r="E122" t="s">
        <v>89</v>
      </c>
      <c r="F122" s="1" t="s">
        <v>693</v>
      </c>
      <c r="G122" s="1" t="s">
        <v>694</v>
      </c>
      <c r="H122" s="9">
        <v>6654.21</v>
      </c>
      <c r="I122" s="9">
        <v>112.95</v>
      </c>
      <c r="J122" s="9">
        <v>0</v>
      </c>
      <c r="K122" s="9">
        <v>0</v>
      </c>
      <c r="L122" s="125">
        <v>6767.16</v>
      </c>
    </row>
    <row r="123" spans="1:12" ht="13" x14ac:dyDescent="0.3">
      <c r="A123" s="127">
        <v>37800</v>
      </c>
      <c r="B123" s="1" t="s">
        <v>692</v>
      </c>
      <c r="C123" s="1" t="s">
        <v>692</v>
      </c>
      <c r="D123" t="s">
        <v>590</v>
      </c>
      <c r="E123" t="s">
        <v>89</v>
      </c>
      <c r="F123" s="1" t="s">
        <v>693</v>
      </c>
      <c r="G123" s="1" t="s">
        <v>694</v>
      </c>
      <c r="H123" s="9">
        <v>10281.459999999999</v>
      </c>
      <c r="I123" s="9">
        <v>74.38</v>
      </c>
      <c r="J123" s="9">
        <v>0</v>
      </c>
      <c r="K123" s="9">
        <v>0</v>
      </c>
      <c r="L123" s="125">
        <v>10355.84</v>
      </c>
    </row>
    <row r="124" spans="1:12" ht="13" x14ac:dyDescent="0.3">
      <c r="A124" s="127">
        <v>37800</v>
      </c>
      <c r="B124" s="1" t="s">
        <v>692</v>
      </c>
      <c r="C124" s="1" t="s">
        <v>692</v>
      </c>
      <c r="D124" t="s">
        <v>225</v>
      </c>
      <c r="E124" t="s">
        <v>89</v>
      </c>
      <c r="F124" s="1" t="s">
        <v>693</v>
      </c>
      <c r="G124" s="1" t="s">
        <v>694</v>
      </c>
      <c r="H124" s="9">
        <v>10492.67</v>
      </c>
      <c r="I124" s="9">
        <v>248.13</v>
      </c>
      <c r="J124" s="9">
        <v>0</v>
      </c>
      <c r="K124" s="9">
        <v>0</v>
      </c>
      <c r="L124" s="125">
        <v>10740.8</v>
      </c>
    </row>
    <row r="125" spans="1:12" ht="13" x14ac:dyDescent="0.3">
      <c r="A125" s="127">
        <v>37800</v>
      </c>
      <c r="B125" s="1" t="s">
        <v>692</v>
      </c>
      <c r="C125" s="1" t="s">
        <v>692</v>
      </c>
      <c r="D125" t="s">
        <v>286</v>
      </c>
      <c r="E125" t="s">
        <v>89</v>
      </c>
      <c r="F125" s="1" t="s">
        <v>693</v>
      </c>
      <c r="G125" s="1" t="s">
        <v>694</v>
      </c>
      <c r="H125" s="9">
        <v>11672.24</v>
      </c>
      <c r="I125" s="9">
        <v>139.13999999999999</v>
      </c>
      <c r="J125" s="9">
        <v>0</v>
      </c>
      <c r="K125" s="9">
        <v>0</v>
      </c>
      <c r="L125" s="125">
        <v>11811.38</v>
      </c>
    </row>
    <row r="126" spans="1:12" ht="13" x14ac:dyDescent="0.3">
      <c r="A126" s="127">
        <v>37800</v>
      </c>
      <c r="B126" s="1" t="s">
        <v>692</v>
      </c>
      <c r="C126" s="1" t="s">
        <v>692</v>
      </c>
      <c r="D126" t="s">
        <v>346</v>
      </c>
      <c r="E126" t="s">
        <v>89</v>
      </c>
      <c r="F126" s="1" t="s">
        <v>693</v>
      </c>
      <c r="G126" s="1" t="s">
        <v>694</v>
      </c>
      <c r="H126" s="9">
        <v>37630.33</v>
      </c>
      <c r="I126" s="9">
        <v>366.52</v>
      </c>
      <c r="J126" s="9">
        <v>0</v>
      </c>
      <c r="K126" s="9">
        <v>0</v>
      </c>
      <c r="L126" s="125">
        <v>37996.85</v>
      </c>
    </row>
    <row r="127" spans="1:12" ht="13" x14ac:dyDescent="0.3">
      <c r="A127" s="127">
        <v>37900</v>
      </c>
      <c r="B127" s="1" t="s">
        <v>692</v>
      </c>
      <c r="C127" s="1" t="s">
        <v>692</v>
      </c>
      <c r="D127" t="s">
        <v>380</v>
      </c>
      <c r="E127" t="s">
        <v>89</v>
      </c>
      <c r="F127" s="1" t="s">
        <v>693</v>
      </c>
      <c r="G127" s="1" t="s">
        <v>694</v>
      </c>
      <c r="H127" s="9">
        <v>-27721.91</v>
      </c>
      <c r="I127" s="9">
        <v>200.17</v>
      </c>
      <c r="J127" s="9">
        <v>0</v>
      </c>
      <c r="K127" s="9">
        <v>0</v>
      </c>
      <c r="L127" s="125">
        <v>-27521.74</v>
      </c>
    </row>
    <row r="128" spans="1:12" ht="13" x14ac:dyDescent="0.3">
      <c r="A128" s="127">
        <v>37900</v>
      </c>
      <c r="B128" s="1" t="s">
        <v>692</v>
      </c>
      <c r="C128" s="1" t="s">
        <v>692</v>
      </c>
      <c r="D128" t="s">
        <v>407</v>
      </c>
      <c r="E128" t="s">
        <v>89</v>
      </c>
      <c r="F128" s="1" t="s">
        <v>693</v>
      </c>
      <c r="G128" s="1" t="s">
        <v>694</v>
      </c>
      <c r="H128" s="9">
        <v>1230.6500000000001</v>
      </c>
      <c r="I128" s="9">
        <v>19.05</v>
      </c>
      <c r="J128" s="9">
        <v>0</v>
      </c>
      <c r="K128" s="9">
        <v>0</v>
      </c>
      <c r="L128" s="125">
        <v>1249.7</v>
      </c>
    </row>
    <row r="129" spans="1:12" ht="13" x14ac:dyDescent="0.3">
      <c r="A129" s="127">
        <v>37900</v>
      </c>
      <c r="B129" s="1" t="s">
        <v>692</v>
      </c>
      <c r="C129" s="1" t="s">
        <v>692</v>
      </c>
      <c r="D129" t="s">
        <v>433</v>
      </c>
      <c r="E129" t="s">
        <v>89</v>
      </c>
      <c r="F129" s="1" t="s">
        <v>693</v>
      </c>
      <c r="G129" s="1" t="s">
        <v>694</v>
      </c>
      <c r="H129" s="9">
        <v>1450.8</v>
      </c>
      <c r="I129" s="9">
        <v>9.77</v>
      </c>
      <c r="J129" s="9">
        <v>0</v>
      </c>
      <c r="K129" s="9">
        <v>0</v>
      </c>
      <c r="L129" s="125">
        <v>1460.57</v>
      </c>
    </row>
    <row r="130" spans="1:12" ht="13" x14ac:dyDescent="0.3">
      <c r="A130" s="127">
        <v>37900</v>
      </c>
      <c r="B130" s="1" t="s">
        <v>692</v>
      </c>
      <c r="C130" s="1" t="s">
        <v>692</v>
      </c>
      <c r="D130" t="s">
        <v>591</v>
      </c>
      <c r="E130" t="s">
        <v>89</v>
      </c>
      <c r="F130" s="1" t="s">
        <v>693</v>
      </c>
      <c r="G130" s="1" t="s">
        <v>694</v>
      </c>
      <c r="H130" s="9">
        <v>5182.84</v>
      </c>
      <c r="I130" s="9">
        <v>45</v>
      </c>
      <c r="J130" s="9">
        <v>0</v>
      </c>
      <c r="K130" s="9">
        <v>0</v>
      </c>
      <c r="L130" s="125">
        <v>5227.84</v>
      </c>
    </row>
    <row r="131" spans="1:12" ht="13" x14ac:dyDescent="0.3">
      <c r="A131" s="127">
        <v>37900</v>
      </c>
      <c r="B131" s="1" t="s">
        <v>692</v>
      </c>
      <c r="C131" s="1" t="s">
        <v>692</v>
      </c>
      <c r="D131" t="s">
        <v>558</v>
      </c>
      <c r="E131" t="s">
        <v>89</v>
      </c>
      <c r="F131" s="1" t="s">
        <v>693</v>
      </c>
      <c r="G131" s="1" t="s">
        <v>694</v>
      </c>
      <c r="H131" s="9">
        <v>11966.63</v>
      </c>
      <c r="I131" s="9">
        <v>93.66</v>
      </c>
      <c r="J131" s="9">
        <v>0</v>
      </c>
      <c r="K131" s="9">
        <v>0</v>
      </c>
      <c r="L131" s="125">
        <v>12060.29</v>
      </c>
    </row>
    <row r="132" spans="1:12" ht="13" x14ac:dyDescent="0.3">
      <c r="A132" s="127">
        <v>37900</v>
      </c>
      <c r="B132" s="1" t="s">
        <v>692</v>
      </c>
      <c r="C132" s="1" t="s">
        <v>692</v>
      </c>
      <c r="D132" t="s">
        <v>522</v>
      </c>
      <c r="E132" t="s">
        <v>89</v>
      </c>
      <c r="F132" s="1" t="s">
        <v>693</v>
      </c>
      <c r="G132" s="1" t="s">
        <v>694</v>
      </c>
      <c r="H132" s="9">
        <v>12927.11</v>
      </c>
      <c r="I132" s="9">
        <v>209.08</v>
      </c>
      <c r="J132" s="9">
        <v>0</v>
      </c>
      <c r="K132" s="9">
        <v>0</v>
      </c>
      <c r="L132" s="125">
        <v>13136.19</v>
      </c>
    </row>
    <row r="133" spans="1:12" ht="13" x14ac:dyDescent="0.3">
      <c r="A133" s="127">
        <v>37900</v>
      </c>
      <c r="B133" s="1" t="s">
        <v>692</v>
      </c>
      <c r="C133" s="1" t="s">
        <v>692</v>
      </c>
      <c r="D133" t="s">
        <v>317</v>
      </c>
      <c r="E133" t="s">
        <v>89</v>
      </c>
      <c r="F133" s="1" t="s">
        <v>693</v>
      </c>
      <c r="G133" s="1" t="s">
        <v>694</v>
      </c>
      <c r="H133" s="9">
        <v>15867.86</v>
      </c>
      <c r="I133" s="9">
        <v>92.23</v>
      </c>
      <c r="J133" s="9">
        <v>0</v>
      </c>
      <c r="K133" s="9">
        <v>0</v>
      </c>
      <c r="L133" s="125">
        <v>15960.09</v>
      </c>
    </row>
    <row r="134" spans="1:12" ht="13" x14ac:dyDescent="0.3">
      <c r="A134" s="127">
        <v>37900</v>
      </c>
      <c r="B134" s="1" t="s">
        <v>692</v>
      </c>
      <c r="C134" s="1" t="s">
        <v>692</v>
      </c>
      <c r="D134" t="s">
        <v>258</v>
      </c>
      <c r="E134" t="s">
        <v>89</v>
      </c>
      <c r="F134" s="1" t="s">
        <v>693</v>
      </c>
      <c r="G134" s="1" t="s">
        <v>694</v>
      </c>
      <c r="H134" s="9">
        <v>24387.35</v>
      </c>
      <c r="I134" s="9">
        <v>363.45</v>
      </c>
      <c r="J134" s="9">
        <v>-5882.36</v>
      </c>
      <c r="K134" s="9">
        <v>0</v>
      </c>
      <c r="L134" s="125">
        <v>18868.439999999999</v>
      </c>
    </row>
    <row r="135" spans="1:12" ht="13" x14ac:dyDescent="0.3">
      <c r="A135" s="127">
        <v>37900</v>
      </c>
      <c r="B135" s="1" t="s">
        <v>692</v>
      </c>
      <c r="C135" s="1" t="s">
        <v>692</v>
      </c>
      <c r="D135" t="s">
        <v>461</v>
      </c>
      <c r="E135" t="s">
        <v>89</v>
      </c>
      <c r="F135" s="1" t="s">
        <v>693</v>
      </c>
      <c r="G135" s="1" t="s">
        <v>694</v>
      </c>
      <c r="H135" s="9">
        <v>25669.82</v>
      </c>
      <c r="I135" s="9">
        <v>284.43</v>
      </c>
      <c r="J135" s="9">
        <v>0</v>
      </c>
      <c r="K135" s="9">
        <v>0</v>
      </c>
      <c r="L135" s="125">
        <v>25954.25</v>
      </c>
    </row>
    <row r="136" spans="1:12" ht="13" x14ac:dyDescent="0.3">
      <c r="A136" s="127">
        <v>37900</v>
      </c>
      <c r="B136" s="1" t="s">
        <v>692</v>
      </c>
      <c r="C136" s="1" t="s">
        <v>692</v>
      </c>
      <c r="D136" t="s">
        <v>195</v>
      </c>
      <c r="E136" t="s">
        <v>89</v>
      </c>
      <c r="F136" s="1" t="s">
        <v>693</v>
      </c>
      <c r="G136" s="1" t="s">
        <v>694</v>
      </c>
      <c r="H136" s="9">
        <v>28716.92</v>
      </c>
      <c r="I136" s="9">
        <v>143.22</v>
      </c>
      <c r="J136" s="9">
        <v>0</v>
      </c>
      <c r="K136" s="9">
        <v>0</v>
      </c>
      <c r="L136" s="125">
        <v>28860.14</v>
      </c>
    </row>
    <row r="137" spans="1:12" ht="13" x14ac:dyDescent="0.3">
      <c r="A137" s="127">
        <v>37900</v>
      </c>
      <c r="B137" s="1" t="s">
        <v>692</v>
      </c>
      <c r="C137" s="1" t="s">
        <v>692</v>
      </c>
      <c r="D137" t="s">
        <v>488</v>
      </c>
      <c r="E137" t="s">
        <v>89</v>
      </c>
      <c r="F137" s="1" t="s">
        <v>693</v>
      </c>
      <c r="G137" s="1" t="s">
        <v>694</v>
      </c>
      <c r="H137" s="9">
        <v>29312.79</v>
      </c>
      <c r="I137" s="9">
        <v>260.66000000000003</v>
      </c>
      <c r="J137" s="9">
        <v>0</v>
      </c>
      <c r="K137" s="9">
        <v>0</v>
      </c>
      <c r="L137" s="125">
        <v>29573.45</v>
      </c>
    </row>
    <row r="138" spans="1:12" ht="13" x14ac:dyDescent="0.3">
      <c r="A138" s="127">
        <v>37900</v>
      </c>
      <c r="B138" s="1" t="s">
        <v>692</v>
      </c>
      <c r="C138" s="1" t="s">
        <v>692</v>
      </c>
      <c r="D138" t="s">
        <v>226</v>
      </c>
      <c r="E138" t="s">
        <v>89</v>
      </c>
      <c r="F138" s="1" t="s">
        <v>693</v>
      </c>
      <c r="G138" s="1" t="s">
        <v>694</v>
      </c>
      <c r="H138" s="9">
        <v>31778.28</v>
      </c>
      <c r="I138" s="9">
        <v>198.91</v>
      </c>
      <c r="J138" s="9">
        <v>0</v>
      </c>
      <c r="K138" s="9">
        <v>0</v>
      </c>
      <c r="L138" s="125">
        <v>31977.19</v>
      </c>
    </row>
    <row r="139" spans="1:12" ht="13" x14ac:dyDescent="0.3">
      <c r="A139" s="127">
        <v>37900</v>
      </c>
      <c r="B139" s="1" t="s">
        <v>692</v>
      </c>
      <c r="C139" s="1" t="s">
        <v>692</v>
      </c>
      <c r="D139" t="s">
        <v>347</v>
      </c>
      <c r="E139" t="s">
        <v>89</v>
      </c>
      <c r="F139" s="1" t="s">
        <v>693</v>
      </c>
      <c r="G139" s="1" t="s">
        <v>694</v>
      </c>
      <c r="H139" s="9">
        <v>36171.730000000003</v>
      </c>
      <c r="I139" s="9">
        <v>352.16</v>
      </c>
      <c r="J139" s="9">
        <v>0</v>
      </c>
      <c r="K139" s="9">
        <v>0</v>
      </c>
      <c r="L139" s="125">
        <v>36523.89</v>
      </c>
    </row>
    <row r="140" spans="1:12" ht="13" x14ac:dyDescent="0.3">
      <c r="A140" s="127">
        <v>37900</v>
      </c>
      <c r="B140" s="1" t="s">
        <v>692</v>
      </c>
      <c r="C140" s="1" t="s">
        <v>692</v>
      </c>
      <c r="D140" t="s">
        <v>287</v>
      </c>
      <c r="E140" t="s">
        <v>89</v>
      </c>
      <c r="F140" s="1" t="s">
        <v>693</v>
      </c>
      <c r="G140" s="1" t="s">
        <v>694</v>
      </c>
      <c r="H140" s="9">
        <v>37594.03</v>
      </c>
      <c r="I140" s="9">
        <v>184.73</v>
      </c>
      <c r="J140" s="9">
        <v>0</v>
      </c>
      <c r="K140" s="9">
        <v>0</v>
      </c>
      <c r="L140" s="125">
        <v>37778.76</v>
      </c>
    </row>
    <row r="141" spans="1:12" ht="13" x14ac:dyDescent="0.3">
      <c r="A141" s="127">
        <v>37900</v>
      </c>
      <c r="B141" s="1" t="s">
        <v>692</v>
      </c>
      <c r="C141" s="1" t="s">
        <v>692</v>
      </c>
      <c r="D141" t="s">
        <v>624</v>
      </c>
      <c r="E141" t="s">
        <v>89</v>
      </c>
      <c r="F141" s="1" t="s">
        <v>693</v>
      </c>
      <c r="G141" s="1" t="s">
        <v>694</v>
      </c>
      <c r="H141" s="9">
        <v>56494.05</v>
      </c>
      <c r="I141" s="9">
        <v>1233.53</v>
      </c>
      <c r="J141" s="9">
        <v>0</v>
      </c>
      <c r="K141" s="9">
        <v>0</v>
      </c>
      <c r="L141" s="125">
        <v>57727.58</v>
      </c>
    </row>
    <row r="142" spans="1:12" ht="13" x14ac:dyDescent="0.3">
      <c r="A142" s="127">
        <v>38000</v>
      </c>
      <c r="B142" s="1" t="s">
        <v>692</v>
      </c>
      <c r="C142" s="1" t="s">
        <v>692</v>
      </c>
      <c r="D142" t="s">
        <v>489</v>
      </c>
      <c r="E142" t="s">
        <v>89</v>
      </c>
      <c r="F142" s="1" t="s">
        <v>693</v>
      </c>
      <c r="G142" s="1" t="s">
        <v>694</v>
      </c>
      <c r="H142" s="9">
        <v>19051.240000000002</v>
      </c>
      <c r="I142" s="9">
        <v>-16.87</v>
      </c>
      <c r="J142" s="9">
        <v>0</v>
      </c>
      <c r="K142" s="9">
        <v>0</v>
      </c>
      <c r="L142" s="125">
        <v>19034.37</v>
      </c>
    </row>
    <row r="143" spans="1:12" ht="13" x14ac:dyDescent="0.3">
      <c r="A143" s="127">
        <v>38000</v>
      </c>
      <c r="B143" s="1" t="s">
        <v>692</v>
      </c>
      <c r="C143" s="1" t="s">
        <v>692</v>
      </c>
      <c r="D143" t="s">
        <v>524</v>
      </c>
      <c r="E143" t="s">
        <v>89</v>
      </c>
      <c r="F143" s="1" t="s">
        <v>693</v>
      </c>
      <c r="G143" s="1" t="s">
        <v>694</v>
      </c>
      <c r="H143" s="9">
        <v>86332.18</v>
      </c>
      <c r="I143" s="9">
        <v>-167.32</v>
      </c>
      <c r="J143" s="9">
        <v>-59455.55</v>
      </c>
      <c r="K143" s="9">
        <v>0</v>
      </c>
      <c r="L143" s="125">
        <v>26709.31</v>
      </c>
    </row>
    <row r="144" spans="1:12" ht="13" x14ac:dyDescent="0.3">
      <c r="A144" s="127">
        <v>38000</v>
      </c>
      <c r="B144" s="1" t="s">
        <v>692</v>
      </c>
      <c r="C144" s="1" t="s">
        <v>692</v>
      </c>
      <c r="D144" t="s">
        <v>560</v>
      </c>
      <c r="E144" t="s">
        <v>89</v>
      </c>
      <c r="F144" s="1" t="s">
        <v>693</v>
      </c>
      <c r="G144" s="1" t="s">
        <v>694</v>
      </c>
      <c r="H144" s="9">
        <v>86102.75</v>
      </c>
      <c r="I144" s="9">
        <v>-74.17</v>
      </c>
      <c r="J144" s="9">
        <v>0</v>
      </c>
      <c r="K144" s="9">
        <v>0</v>
      </c>
      <c r="L144" s="125">
        <v>86028.58</v>
      </c>
    </row>
    <row r="145" spans="1:12" ht="13" x14ac:dyDescent="0.3">
      <c r="A145" s="127">
        <v>38000</v>
      </c>
      <c r="B145" s="1" t="s">
        <v>692</v>
      </c>
      <c r="C145" s="1" t="s">
        <v>692</v>
      </c>
      <c r="D145" t="s">
        <v>434</v>
      </c>
      <c r="E145" t="s">
        <v>89</v>
      </c>
      <c r="F145" s="1" t="s">
        <v>693</v>
      </c>
      <c r="G145" s="1" t="s">
        <v>694</v>
      </c>
      <c r="H145" s="9">
        <v>97876.19</v>
      </c>
      <c r="I145" s="9">
        <v>-42.62</v>
      </c>
      <c r="J145" s="9">
        <v>0</v>
      </c>
      <c r="K145" s="9">
        <v>0</v>
      </c>
      <c r="L145" s="125">
        <v>97833.57</v>
      </c>
    </row>
    <row r="146" spans="1:12" ht="13" x14ac:dyDescent="0.3">
      <c r="A146" s="127">
        <v>38000</v>
      </c>
      <c r="B146" s="1" t="s">
        <v>692</v>
      </c>
      <c r="C146" s="1" t="s">
        <v>692</v>
      </c>
      <c r="D146" t="s">
        <v>592</v>
      </c>
      <c r="E146" t="s">
        <v>89</v>
      </c>
      <c r="F146" s="1" t="s">
        <v>693</v>
      </c>
      <c r="G146" s="1" t="s">
        <v>694</v>
      </c>
      <c r="H146" s="9">
        <v>118775.74</v>
      </c>
      <c r="I146" s="9">
        <v>-153</v>
      </c>
      <c r="J146" s="9">
        <v>0</v>
      </c>
      <c r="K146" s="9">
        <v>0</v>
      </c>
      <c r="L146" s="125">
        <v>118622.74</v>
      </c>
    </row>
    <row r="147" spans="1:12" ht="13" x14ac:dyDescent="0.3">
      <c r="A147" s="127">
        <v>38000</v>
      </c>
      <c r="B147" s="1" t="s">
        <v>692</v>
      </c>
      <c r="C147" s="1" t="s">
        <v>692</v>
      </c>
      <c r="D147" t="s">
        <v>462</v>
      </c>
      <c r="E147" t="s">
        <v>89</v>
      </c>
      <c r="F147" s="1" t="s">
        <v>693</v>
      </c>
      <c r="G147" s="1" t="s">
        <v>694</v>
      </c>
      <c r="H147" s="9">
        <v>292463.49</v>
      </c>
      <c r="I147" s="9">
        <v>-166.92</v>
      </c>
      <c r="J147" s="9">
        <v>-9589.75</v>
      </c>
      <c r="K147" s="9">
        <v>0</v>
      </c>
      <c r="L147" s="125">
        <v>282706.82</v>
      </c>
    </row>
    <row r="148" spans="1:12" ht="13" x14ac:dyDescent="0.3">
      <c r="A148" s="127">
        <v>38000</v>
      </c>
      <c r="B148" s="1" t="s">
        <v>692</v>
      </c>
      <c r="C148" s="1" t="s">
        <v>692</v>
      </c>
      <c r="D148" t="s">
        <v>318</v>
      </c>
      <c r="E148" t="s">
        <v>89</v>
      </c>
      <c r="F148" s="1" t="s">
        <v>693</v>
      </c>
      <c r="G148" s="1" t="s">
        <v>694</v>
      </c>
      <c r="H148" s="9">
        <v>309738.8</v>
      </c>
      <c r="I148" s="9">
        <v>-151.09</v>
      </c>
      <c r="J148" s="9">
        <v>0</v>
      </c>
      <c r="K148" s="9">
        <v>0</v>
      </c>
      <c r="L148" s="125">
        <v>309587.71000000002</v>
      </c>
    </row>
    <row r="149" spans="1:12" ht="13" x14ac:dyDescent="0.3">
      <c r="A149" s="127">
        <v>38000</v>
      </c>
      <c r="B149" s="1" t="s">
        <v>692</v>
      </c>
      <c r="C149" s="1" t="s">
        <v>692</v>
      </c>
      <c r="D149" t="s">
        <v>381</v>
      </c>
      <c r="E149" t="s">
        <v>89</v>
      </c>
      <c r="F149" s="1" t="s">
        <v>693</v>
      </c>
      <c r="G149" s="1" t="s">
        <v>694</v>
      </c>
      <c r="H149" s="9">
        <v>555528.13</v>
      </c>
      <c r="I149" s="9">
        <v>-319.61</v>
      </c>
      <c r="J149" s="9">
        <v>0</v>
      </c>
      <c r="K149" s="9">
        <v>0</v>
      </c>
      <c r="L149" s="125">
        <v>555208.52</v>
      </c>
    </row>
    <row r="150" spans="1:12" ht="13" x14ac:dyDescent="0.3">
      <c r="A150" s="127">
        <v>38000</v>
      </c>
      <c r="B150" s="1" t="s">
        <v>692</v>
      </c>
      <c r="C150" s="1" t="s">
        <v>692</v>
      </c>
      <c r="D150" t="s">
        <v>408</v>
      </c>
      <c r="E150" t="s">
        <v>89</v>
      </c>
      <c r="F150" s="1" t="s">
        <v>693</v>
      </c>
      <c r="G150" s="1" t="s">
        <v>694</v>
      </c>
      <c r="H150" s="9">
        <v>960325.42</v>
      </c>
      <c r="I150" s="9">
        <v>-576.78</v>
      </c>
      <c r="J150" s="9">
        <v>0</v>
      </c>
      <c r="K150" s="9">
        <v>0</v>
      </c>
      <c r="L150" s="125">
        <v>959748.64</v>
      </c>
    </row>
    <row r="151" spans="1:12" ht="13" x14ac:dyDescent="0.3">
      <c r="A151" s="127">
        <v>38000</v>
      </c>
      <c r="B151" s="1" t="s">
        <v>692</v>
      </c>
      <c r="C151" s="1" t="s">
        <v>692</v>
      </c>
      <c r="D151" t="s">
        <v>259</v>
      </c>
      <c r="E151" t="s">
        <v>89</v>
      </c>
      <c r="F151" s="1" t="s">
        <v>693</v>
      </c>
      <c r="G151" s="1" t="s">
        <v>694</v>
      </c>
      <c r="H151" s="9">
        <v>1258860.3899999999</v>
      </c>
      <c r="I151" s="9">
        <v>-744.7</v>
      </c>
      <c r="J151" s="9">
        <v>-75350.539999999994</v>
      </c>
      <c r="K151" s="9">
        <v>0</v>
      </c>
      <c r="L151" s="125">
        <v>1182765.1499999999</v>
      </c>
    </row>
    <row r="152" spans="1:12" ht="13" x14ac:dyDescent="0.3">
      <c r="A152" s="127">
        <v>38000</v>
      </c>
      <c r="B152" s="1" t="s">
        <v>692</v>
      </c>
      <c r="C152" s="1" t="s">
        <v>692</v>
      </c>
      <c r="D152" t="s">
        <v>348</v>
      </c>
      <c r="E152" t="s">
        <v>89</v>
      </c>
      <c r="F152" s="1" t="s">
        <v>693</v>
      </c>
      <c r="G152" s="1" t="s">
        <v>694</v>
      </c>
      <c r="H152" s="9">
        <v>2410022.94</v>
      </c>
      <c r="I152" s="9">
        <v>-1220.56</v>
      </c>
      <c r="J152" s="9">
        <v>-23462.54</v>
      </c>
      <c r="K152" s="9">
        <v>0</v>
      </c>
      <c r="L152" s="125">
        <v>2385339.84</v>
      </c>
    </row>
    <row r="153" spans="1:12" ht="13" x14ac:dyDescent="0.3">
      <c r="A153" s="127">
        <v>38000</v>
      </c>
      <c r="B153" s="1" t="s">
        <v>692</v>
      </c>
      <c r="C153" s="1" t="s">
        <v>692</v>
      </c>
      <c r="D153" t="s">
        <v>288</v>
      </c>
      <c r="E153" t="s">
        <v>89</v>
      </c>
      <c r="F153" s="1" t="s">
        <v>693</v>
      </c>
      <c r="G153" s="1" t="s">
        <v>694</v>
      </c>
      <c r="H153" s="9">
        <v>4423228.6399999997</v>
      </c>
      <c r="I153" s="9">
        <v>-4270.42</v>
      </c>
      <c r="J153" s="9">
        <v>-46044.74</v>
      </c>
      <c r="K153" s="9">
        <v>0</v>
      </c>
      <c r="L153" s="125">
        <v>4372913.4800000004</v>
      </c>
    </row>
    <row r="154" spans="1:12" ht="13" x14ac:dyDescent="0.3">
      <c r="A154" s="127">
        <v>38000</v>
      </c>
      <c r="B154" s="1" t="s">
        <v>692</v>
      </c>
      <c r="C154" s="1" t="s">
        <v>692</v>
      </c>
      <c r="D154" t="s">
        <v>227</v>
      </c>
      <c r="E154" t="s">
        <v>89</v>
      </c>
      <c r="F154" s="1" t="s">
        <v>693</v>
      </c>
      <c r="G154" s="1" t="s">
        <v>694</v>
      </c>
      <c r="H154" s="9">
        <v>4664182.18</v>
      </c>
      <c r="I154" s="9">
        <v>-3234.7</v>
      </c>
      <c r="J154" s="9">
        <v>-74686.880000000005</v>
      </c>
      <c r="K154" s="9">
        <v>0</v>
      </c>
      <c r="L154" s="125">
        <v>4586260.5999999996</v>
      </c>
    </row>
    <row r="155" spans="1:12" ht="13" x14ac:dyDescent="0.3">
      <c r="A155" s="127">
        <v>38000</v>
      </c>
      <c r="B155" s="1" t="s">
        <v>692</v>
      </c>
      <c r="C155" s="1" t="s">
        <v>692</v>
      </c>
      <c r="D155" t="s">
        <v>196</v>
      </c>
      <c r="E155" t="s">
        <v>89</v>
      </c>
      <c r="F155" s="1" t="s">
        <v>693</v>
      </c>
      <c r="G155" s="1" t="s">
        <v>694</v>
      </c>
      <c r="H155" s="9">
        <v>6273542.0099999998</v>
      </c>
      <c r="I155" s="9">
        <v>-2779.22</v>
      </c>
      <c r="J155" s="9">
        <v>-469760.05</v>
      </c>
      <c r="K155" s="9">
        <v>0</v>
      </c>
      <c r="L155" s="125">
        <v>5801002.7400000002</v>
      </c>
    </row>
    <row r="156" spans="1:12" ht="13" x14ac:dyDescent="0.3">
      <c r="A156" s="127">
        <v>38002</v>
      </c>
      <c r="B156" s="1" t="s">
        <v>692</v>
      </c>
      <c r="C156" s="1" t="s">
        <v>692</v>
      </c>
      <c r="D156" t="s">
        <v>435</v>
      </c>
      <c r="E156" t="s">
        <v>89</v>
      </c>
      <c r="F156" s="1" t="s">
        <v>693</v>
      </c>
      <c r="G156" s="1" t="s">
        <v>694</v>
      </c>
      <c r="H156" s="9">
        <v>108761.58</v>
      </c>
      <c r="I156" s="9">
        <v>309.3</v>
      </c>
      <c r="J156" s="9">
        <v>0</v>
      </c>
      <c r="K156" s="9">
        <v>0</v>
      </c>
      <c r="L156" s="125">
        <v>109070.88</v>
      </c>
    </row>
    <row r="157" spans="1:12" ht="13" x14ac:dyDescent="0.3">
      <c r="A157" s="127">
        <v>38002</v>
      </c>
      <c r="B157" s="1" t="s">
        <v>692</v>
      </c>
      <c r="C157" s="1" t="s">
        <v>692</v>
      </c>
      <c r="D157" t="s">
        <v>319</v>
      </c>
      <c r="E157" t="s">
        <v>89</v>
      </c>
      <c r="F157" s="1" t="s">
        <v>693</v>
      </c>
      <c r="G157" s="1" t="s">
        <v>694</v>
      </c>
      <c r="H157" s="9">
        <v>802500.34</v>
      </c>
      <c r="I157" s="9">
        <v>2867.69</v>
      </c>
      <c r="J157" s="9">
        <v>0</v>
      </c>
      <c r="K157" s="9">
        <v>0</v>
      </c>
      <c r="L157" s="125">
        <v>805368.03</v>
      </c>
    </row>
    <row r="158" spans="1:12" ht="13" x14ac:dyDescent="0.3">
      <c r="A158" s="127">
        <v>38002</v>
      </c>
      <c r="B158" s="1" t="s">
        <v>692</v>
      </c>
      <c r="C158" s="1" t="s">
        <v>692</v>
      </c>
      <c r="D158" t="s">
        <v>382</v>
      </c>
      <c r="E158" t="s">
        <v>89</v>
      </c>
      <c r="F158" s="1" t="s">
        <v>693</v>
      </c>
      <c r="G158" s="1" t="s">
        <v>694</v>
      </c>
      <c r="H158" s="9">
        <v>900744.19</v>
      </c>
      <c r="I158" s="9">
        <v>3587.14</v>
      </c>
      <c r="J158" s="9">
        <v>0</v>
      </c>
      <c r="K158" s="9">
        <v>0</v>
      </c>
      <c r="L158" s="125">
        <v>904331.33</v>
      </c>
    </row>
    <row r="159" spans="1:12" ht="13" x14ac:dyDescent="0.3">
      <c r="A159" s="127">
        <v>38002</v>
      </c>
      <c r="B159" s="1" t="s">
        <v>692</v>
      </c>
      <c r="C159" s="1" t="s">
        <v>692</v>
      </c>
      <c r="D159" t="s">
        <v>409</v>
      </c>
      <c r="E159" t="s">
        <v>89</v>
      </c>
      <c r="F159" s="1" t="s">
        <v>693</v>
      </c>
      <c r="G159" s="1" t="s">
        <v>694</v>
      </c>
      <c r="H159" s="9">
        <v>1231732.2</v>
      </c>
      <c r="I159" s="9">
        <v>4453.8</v>
      </c>
      <c r="J159" s="9">
        <v>0</v>
      </c>
      <c r="K159" s="9">
        <v>0</v>
      </c>
      <c r="L159" s="125">
        <v>1236186</v>
      </c>
    </row>
    <row r="160" spans="1:12" ht="13" x14ac:dyDescent="0.3">
      <c r="A160" s="127">
        <v>38002</v>
      </c>
      <c r="B160" s="1" t="s">
        <v>692</v>
      </c>
      <c r="C160" s="1" t="s">
        <v>692</v>
      </c>
      <c r="D160" t="s">
        <v>490</v>
      </c>
      <c r="E160" t="s">
        <v>89</v>
      </c>
      <c r="F160" s="1" t="s">
        <v>693</v>
      </c>
      <c r="G160" s="1" t="s">
        <v>694</v>
      </c>
      <c r="H160" s="9">
        <v>1236683.6000000001</v>
      </c>
      <c r="I160" s="9">
        <v>5146.7299999999996</v>
      </c>
      <c r="J160" s="9">
        <v>0</v>
      </c>
      <c r="K160" s="9">
        <v>0</v>
      </c>
      <c r="L160" s="125">
        <v>1241830.33</v>
      </c>
    </row>
    <row r="161" spans="1:12" ht="13" x14ac:dyDescent="0.3">
      <c r="A161" s="127">
        <v>38002</v>
      </c>
      <c r="B161" s="1" t="s">
        <v>692</v>
      </c>
      <c r="C161" s="1" t="s">
        <v>692</v>
      </c>
      <c r="D161" t="s">
        <v>525</v>
      </c>
      <c r="E161" t="s">
        <v>89</v>
      </c>
      <c r="F161" s="1" t="s">
        <v>693</v>
      </c>
      <c r="G161" s="1" t="s">
        <v>694</v>
      </c>
      <c r="H161" s="9">
        <v>1598593.24</v>
      </c>
      <c r="I161" s="9">
        <v>7053.71</v>
      </c>
      <c r="J161" s="9">
        <v>-78122.8</v>
      </c>
      <c r="K161" s="9">
        <v>0</v>
      </c>
      <c r="L161" s="125">
        <v>1527524.15</v>
      </c>
    </row>
    <row r="162" spans="1:12" ht="13" x14ac:dyDescent="0.3">
      <c r="A162" s="127">
        <v>38002</v>
      </c>
      <c r="B162" s="1" t="s">
        <v>692</v>
      </c>
      <c r="C162" s="1" t="s">
        <v>692</v>
      </c>
      <c r="D162" t="s">
        <v>593</v>
      </c>
      <c r="E162" t="s">
        <v>89</v>
      </c>
      <c r="F162" s="1" t="s">
        <v>693</v>
      </c>
      <c r="G162" s="1" t="s">
        <v>694</v>
      </c>
      <c r="H162" s="9">
        <v>1901980.94</v>
      </c>
      <c r="I162" s="9">
        <v>11488.14</v>
      </c>
      <c r="J162" s="9">
        <v>0</v>
      </c>
      <c r="K162" s="9">
        <v>0</v>
      </c>
      <c r="L162" s="125">
        <v>1913469.08</v>
      </c>
    </row>
    <row r="163" spans="1:12" ht="13" x14ac:dyDescent="0.3">
      <c r="A163" s="127">
        <v>38002</v>
      </c>
      <c r="B163" s="1" t="s">
        <v>692</v>
      </c>
      <c r="C163" s="1" t="s">
        <v>692</v>
      </c>
      <c r="D163" t="s">
        <v>561</v>
      </c>
      <c r="E163" t="s">
        <v>89</v>
      </c>
      <c r="F163" s="1" t="s">
        <v>693</v>
      </c>
      <c r="G163" s="1" t="s">
        <v>694</v>
      </c>
      <c r="H163" s="9">
        <v>3390046.37</v>
      </c>
      <c r="I163" s="9">
        <v>13793.33</v>
      </c>
      <c r="J163" s="9">
        <v>-57061.48</v>
      </c>
      <c r="K163" s="9">
        <v>0</v>
      </c>
      <c r="L163" s="125">
        <v>3346778.22</v>
      </c>
    </row>
    <row r="164" spans="1:12" ht="13" x14ac:dyDescent="0.3">
      <c r="A164" s="127">
        <v>38002</v>
      </c>
      <c r="B164" s="1" t="s">
        <v>692</v>
      </c>
      <c r="C164" s="1" t="s">
        <v>692</v>
      </c>
      <c r="D164" t="s">
        <v>260</v>
      </c>
      <c r="E164" t="s">
        <v>89</v>
      </c>
      <c r="F164" s="1" t="s">
        <v>693</v>
      </c>
      <c r="G164" s="1" t="s">
        <v>694</v>
      </c>
      <c r="H164" s="9">
        <v>3896781.38</v>
      </c>
      <c r="I164" s="9">
        <v>13251.3</v>
      </c>
      <c r="J164" s="9">
        <v>-102406.13</v>
      </c>
      <c r="K164" s="9">
        <v>0</v>
      </c>
      <c r="L164" s="125">
        <v>3807626.55</v>
      </c>
    </row>
    <row r="165" spans="1:12" ht="13" x14ac:dyDescent="0.3">
      <c r="A165" s="127">
        <v>38002</v>
      </c>
      <c r="B165" s="1" t="s">
        <v>692</v>
      </c>
      <c r="C165" s="1" t="s">
        <v>692</v>
      </c>
      <c r="D165" t="s">
        <v>349</v>
      </c>
      <c r="E165" t="s">
        <v>89</v>
      </c>
      <c r="F165" s="1" t="s">
        <v>693</v>
      </c>
      <c r="G165" s="1" t="s">
        <v>694</v>
      </c>
      <c r="H165" s="9">
        <v>4677300.5599999996</v>
      </c>
      <c r="I165" s="9">
        <v>19489.75</v>
      </c>
      <c r="J165" s="9">
        <v>-75569.13</v>
      </c>
      <c r="K165" s="9">
        <v>0</v>
      </c>
      <c r="L165" s="125">
        <v>4621221.18</v>
      </c>
    </row>
    <row r="166" spans="1:12" ht="13" x14ac:dyDescent="0.3">
      <c r="A166" s="127">
        <v>38002</v>
      </c>
      <c r="B166" s="1" t="s">
        <v>692</v>
      </c>
      <c r="C166" s="1" t="s">
        <v>692</v>
      </c>
      <c r="D166" t="s">
        <v>463</v>
      </c>
      <c r="E166" t="s">
        <v>89</v>
      </c>
      <c r="F166" s="1" t="s">
        <v>693</v>
      </c>
      <c r="G166" s="1" t="s">
        <v>694</v>
      </c>
      <c r="H166" s="9">
        <v>4747169.84</v>
      </c>
      <c r="I166" s="9">
        <v>19154.46</v>
      </c>
      <c r="J166" s="9">
        <v>-20464.04</v>
      </c>
      <c r="K166" s="9">
        <v>0</v>
      </c>
      <c r="L166" s="125">
        <v>4745860.26</v>
      </c>
    </row>
    <row r="167" spans="1:12" ht="13" x14ac:dyDescent="0.3">
      <c r="A167" s="127">
        <v>38002</v>
      </c>
      <c r="B167" s="1" t="s">
        <v>692</v>
      </c>
      <c r="C167" s="1" t="s">
        <v>692</v>
      </c>
      <c r="D167" t="s">
        <v>289</v>
      </c>
      <c r="E167" t="s">
        <v>89</v>
      </c>
      <c r="F167" s="1" t="s">
        <v>693</v>
      </c>
      <c r="G167" s="1" t="s">
        <v>694</v>
      </c>
      <c r="H167" s="9">
        <v>5105012.75</v>
      </c>
      <c r="I167" s="9">
        <v>17274.37</v>
      </c>
      <c r="J167" s="9">
        <v>-91883.49</v>
      </c>
      <c r="K167" s="9">
        <v>0</v>
      </c>
      <c r="L167" s="125">
        <v>5030403.63</v>
      </c>
    </row>
    <row r="168" spans="1:12" ht="13" x14ac:dyDescent="0.3">
      <c r="A168" s="127">
        <v>38002</v>
      </c>
      <c r="B168" s="1" t="s">
        <v>692</v>
      </c>
      <c r="C168" s="1" t="s">
        <v>692</v>
      </c>
      <c r="D168" t="s">
        <v>228</v>
      </c>
      <c r="E168" t="s">
        <v>89</v>
      </c>
      <c r="F168" s="1" t="s">
        <v>693</v>
      </c>
      <c r="G168" s="1" t="s">
        <v>694</v>
      </c>
      <c r="H168" s="9">
        <v>6460677.2400000002</v>
      </c>
      <c r="I168" s="9">
        <v>27634.1</v>
      </c>
      <c r="J168" s="9">
        <v>-38001.53</v>
      </c>
      <c r="K168" s="9">
        <v>0</v>
      </c>
      <c r="L168" s="125">
        <v>6450309.8099999996</v>
      </c>
    </row>
    <row r="169" spans="1:12" ht="13" x14ac:dyDescent="0.3">
      <c r="A169" s="127">
        <v>38002</v>
      </c>
      <c r="B169" s="1" t="s">
        <v>692</v>
      </c>
      <c r="C169" s="1" t="s">
        <v>692</v>
      </c>
      <c r="D169" t="s">
        <v>197</v>
      </c>
      <c r="E169" t="s">
        <v>89</v>
      </c>
      <c r="F169" s="1" t="s">
        <v>693</v>
      </c>
      <c r="G169" s="1" t="s">
        <v>694</v>
      </c>
      <c r="H169" s="9">
        <v>6783220.4199999999</v>
      </c>
      <c r="I169" s="9">
        <v>29688.34</v>
      </c>
      <c r="J169" s="9">
        <v>-118351.52</v>
      </c>
      <c r="K169" s="9">
        <v>0</v>
      </c>
      <c r="L169" s="125">
        <v>6694557.2400000002</v>
      </c>
    </row>
    <row r="170" spans="1:12" ht="13" x14ac:dyDescent="0.3">
      <c r="A170" s="127">
        <v>38100</v>
      </c>
      <c r="B170" s="1" t="s">
        <v>692</v>
      </c>
      <c r="C170" s="1" t="s">
        <v>692</v>
      </c>
      <c r="D170" t="s">
        <v>526</v>
      </c>
      <c r="E170" t="s">
        <v>89</v>
      </c>
      <c r="F170" s="1" t="s">
        <v>693</v>
      </c>
      <c r="G170" s="1" t="s">
        <v>694</v>
      </c>
      <c r="H170" s="9">
        <v>-21490.080000000002</v>
      </c>
      <c r="I170" s="9">
        <v>88.65</v>
      </c>
      <c r="J170" s="9">
        <v>0</v>
      </c>
      <c r="K170" s="9">
        <v>0</v>
      </c>
      <c r="L170" s="125">
        <v>-21401.43</v>
      </c>
    </row>
    <row r="171" spans="1:12" ht="13" x14ac:dyDescent="0.3">
      <c r="A171" s="127">
        <v>38100</v>
      </c>
      <c r="B171" s="1" t="s">
        <v>692</v>
      </c>
      <c r="C171" s="1" t="s">
        <v>692</v>
      </c>
      <c r="D171" t="s">
        <v>562</v>
      </c>
      <c r="E171" t="s">
        <v>89</v>
      </c>
      <c r="F171" s="1" t="s">
        <v>693</v>
      </c>
      <c r="G171" s="1" t="s">
        <v>694</v>
      </c>
      <c r="H171" s="9">
        <v>1106.1199999999999</v>
      </c>
      <c r="I171" s="9">
        <v>45.93</v>
      </c>
      <c r="J171" s="9">
        <v>0</v>
      </c>
      <c r="K171" s="9">
        <v>0</v>
      </c>
      <c r="L171" s="125">
        <v>1152.05</v>
      </c>
    </row>
    <row r="172" spans="1:12" ht="13" x14ac:dyDescent="0.3">
      <c r="A172" s="127">
        <v>38100</v>
      </c>
      <c r="B172" s="1" t="s">
        <v>692</v>
      </c>
      <c r="C172" s="1" t="s">
        <v>692</v>
      </c>
      <c r="D172" t="s">
        <v>625</v>
      </c>
      <c r="E172" t="s">
        <v>89</v>
      </c>
      <c r="F172" s="1" t="s">
        <v>693</v>
      </c>
      <c r="G172" s="1" t="s">
        <v>694</v>
      </c>
      <c r="H172" s="9">
        <v>274124.75</v>
      </c>
      <c r="I172" s="9">
        <v>11328.58</v>
      </c>
      <c r="J172" s="9">
        <v>0</v>
      </c>
      <c r="K172" s="9">
        <v>0</v>
      </c>
      <c r="L172" s="125">
        <v>285453.33</v>
      </c>
    </row>
    <row r="173" spans="1:12" ht="13" x14ac:dyDescent="0.3">
      <c r="A173" s="127">
        <v>38200</v>
      </c>
      <c r="B173" s="1" t="s">
        <v>692</v>
      </c>
      <c r="C173" s="1" t="s">
        <v>692</v>
      </c>
      <c r="D173" t="s">
        <v>436</v>
      </c>
      <c r="E173" t="s">
        <v>89</v>
      </c>
      <c r="F173" s="1" t="s">
        <v>693</v>
      </c>
      <c r="G173" s="1" t="s">
        <v>694</v>
      </c>
      <c r="H173" s="9">
        <v>7636.23</v>
      </c>
      <c r="I173" s="9">
        <v>19.61</v>
      </c>
      <c r="J173" s="9">
        <v>0</v>
      </c>
      <c r="K173" s="9">
        <v>0</v>
      </c>
      <c r="L173" s="125">
        <v>7655.84</v>
      </c>
    </row>
    <row r="174" spans="1:12" ht="13" x14ac:dyDescent="0.3">
      <c r="A174" s="127">
        <v>38200</v>
      </c>
      <c r="B174" s="1" t="s">
        <v>692</v>
      </c>
      <c r="C174" s="1" t="s">
        <v>692</v>
      </c>
      <c r="D174" t="s">
        <v>320</v>
      </c>
      <c r="E174" t="s">
        <v>89</v>
      </c>
      <c r="F174" s="1" t="s">
        <v>693</v>
      </c>
      <c r="G174" s="1" t="s">
        <v>694</v>
      </c>
      <c r="H174" s="9">
        <v>54603.75</v>
      </c>
      <c r="I174" s="9">
        <v>216.2</v>
      </c>
      <c r="J174" s="9">
        <v>0</v>
      </c>
      <c r="K174" s="9">
        <v>0</v>
      </c>
      <c r="L174" s="125">
        <v>54819.95</v>
      </c>
    </row>
    <row r="175" spans="1:12" ht="13" x14ac:dyDescent="0.3">
      <c r="A175" s="127">
        <v>38200</v>
      </c>
      <c r="B175" s="1" t="s">
        <v>692</v>
      </c>
      <c r="C175" s="1" t="s">
        <v>692</v>
      </c>
      <c r="D175" t="s">
        <v>383</v>
      </c>
      <c r="E175" t="s">
        <v>89</v>
      </c>
      <c r="F175" s="1" t="s">
        <v>693</v>
      </c>
      <c r="G175" s="1" t="s">
        <v>694</v>
      </c>
      <c r="H175" s="9">
        <v>57867.74</v>
      </c>
      <c r="I175" s="9">
        <v>197.2</v>
      </c>
      <c r="J175" s="9">
        <v>0</v>
      </c>
      <c r="K175" s="9">
        <v>0</v>
      </c>
      <c r="L175" s="125">
        <v>58064.94</v>
      </c>
    </row>
    <row r="176" spans="1:12" ht="13" x14ac:dyDescent="0.3">
      <c r="A176" s="127">
        <v>38200</v>
      </c>
      <c r="B176" s="1" t="s">
        <v>692</v>
      </c>
      <c r="C176" s="1" t="s">
        <v>692</v>
      </c>
      <c r="D176" t="s">
        <v>410</v>
      </c>
      <c r="E176" t="s">
        <v>89</v>
      </c>
      <c r="F176" s="1" t="s">
        <v>693</v>
      </c>
      <c r="G176" s="1" t="s">
        <v>694</v>
      </c>
      <c r="H176" s="9">
        <v>84365.24</v>
      </c>
      <c r="I176" s="9">
        <v>306.48</v>
      </c>
      <c r="J176" s="9">
        <v>0</v>
      </c>
      <c r="K176" s="9">
        <v>0</v>
      </c>
      <c r="L176" s="125">
        <v>84671.72</v>
      </c>
    </row>
    <row r="177" spans="1:12" ht="13" x14ac:dyDescent="0.3">
      <c r="A177" s="127">
        <v>38200</v>
      </c>
      <c r="B177" s="1" t="s">
        <v>692</v>
      </c>
      <c r="C177" s="1" t="s">
        <v>692</v>
      </c>
      <c r="D177" t="s">
        <v>491</v>
      </c>
      <c r="E177" t="s">
        <v>89</v>
      </c>
      <c r="F177" s="1" t="s">
        <v>693</v>
      </c>
      <c r="G177" s="1" t="s">
        <v>694</v>
      </c>
      <c r="H177" s="9">
        <v>116178.05</v>
      </c>
      <c r="I177" s="9">
        <v>467.61</v>
      </c>
      <c r="J177" s="9">
        <v>0</v>
      </c>
      <c r="K177" s="9">
        <v>0</v>
      </c>
      <c r="L177" s="125">
        <v>116645.66</v>
      </c>
    </row>
    <row r="178" spans="1:12" ht="13" x14ac:dyDescent="0.3">
      <c r="A178" s="127">
        <v>38200</v>
      </c>
      <c r="B178" s="1" t="s">
        <v>692</v>
      </c>
      <c r="C178" s="1" t="s">
        <v>692</v>
      </c>
      <c r="D178" t="s">
        <v>594</v>
      </c>
      <c r="E178" t="s">
        <v>89</v>
      </c>
      <c r="F178" s="1" t="s">
        <v>693</v>
      </c>
      <c r="G178" s="1" t="s">
        <v>694</v>
      </c>
      <c r="H178" s="9">
        <v>123272</v>
      </c>
      <c r="I178" s="9">
        <v>900.63</v>
      </c>
      <c r="J178" s="9">
        <v>-3574.14</v>
      </c>
      <c r="K178" s="9">
        <v>0</v>
      </c>
      <c r="L178" s="125">
        <v>120598.49</v>
      </c>
    </row>
    <row r="179" spans="1:12" ht="13" x14ac:dyDescent="0.3">
      <c r="A179" s="127">
        <v>38200</v>
      </c>
      <c r="B179" s="1" t="s">
        <v>692</v>
      </c>
      <c r="C179" s="1" t="s">
        <v>692</v>
      </c>
      <c r="D179" t="s">
        <v>527</v>
      </c>
      <c r="E179" t="s">
        <v>89</v>
      </c>
      <c r="F179" s="1" t="s">
        <v>693</v>
      </c>
      <c r="G179" s="1" t="s">
        <v>694</v>
      </c>
      <c r="H179" s="9">
        <v>160505.32999999999</v>
      </c>
      <c r="I179" s="9">
        <v>743.62</v>
      </c>
      <c r="J179" s="9">
        <v>-8627.83</v>
      </c>
      <c r="K179" s="9">
        <v>0</v>
      </c>
      <c r="L179" s="125">
        <v>152621.12</v>
      </c>
    </row>
    <row r="180" spans="1:12" ht="13" x14ac:dyDescent="0.3">
      <c r="A180" s="127">
        <v>38200</v>
      </c>
      <c r="B180" s="1" t="s">
        <v>692</v>
      </c>
      <c r="C180" s="1" t="s">
        <v>692</v>
      </c>
      <c r="D180" t="s">
        <v>350</v>
      </c>
      <c r="E180" t="s">
        <v>89</v>
      </c>
      <c r="F180" s="1" t="s">
        <v>693</v>
      </c>
      <c r="G180" s="1" t="s">
        <v>694</v>
      </c>
      <c r="H180" s="9">
        <v>283697.42</v>
      </c>
      <c r="I180" s="9">
        <v>1327.22</v>
      </c>
      <c r="J180" s="9">
        <v>-2115.6</v>
      </c>
      <c r="K180" s="9">
        <v>0</v>
      </c>
      <c r="L180" s="125">
        <v>282909.03999999998</v>
      </c>
    </row>
    <row r="181" spans="1:12" ht="13" x14ac:dyDescent="0.3">
      <c r="A181" s="127">
        <v>38200</v>
      </c>
      <c r="B181" s="1" t="s">
        <v>692</v>
      </c>
      <c r="C181" s="1" t="s">
        <v>692</v>
      </c>
      <c r="D181" t="s">
        <v>464</v>
      </c>
      <c r="E181" t="s">
        <v>89</v>
      </c>
      <c r="F181" s="1" t="s">
        <v>693</v>
      </c>
      <c r="G181" s="1" t="s">
        <v>694</v>
      </c>
      <c r="H181" s="9">
        <v>298386.03000000003</v>
      </c>
      <c r="I181" s="9">
        <v>1481.24</v>
      </c>
      <c r="J181" s="9">
        <v>-3929.24</v>
      </c>
      <c r="K181" s="9">
        <v>0</v>
      </c>
      <c r="L181" s="125">
        <v>295938.03000000003</v>
      </c>
    </row>
    <row r="182" spans="1:12" ht="13" x14ac:dyDescent="0.3">
      <c r="A182" s="127">
        <v>38200</v>
      </c>
      <c r="B182" s="1" t="s">
        <v>692</v>
      </c>
      <c r="C182" s="1" t="s">
        <v>692</v>
      </c>
      <c r="D182" t="s">
        <v>261</v>
      </c>
      <c r="E182" t="s">
        <v>89</v>
      </c>
      <c r="F182" s="1" t="s">
        <v>693</v>
      </c>
      <c r="G182" s="1" t="s">
        <v>694</v>
      </c>
      <c r="H182" s="9">
        <v>343453.7</v>
      </c>
      <c r="I182" s="9">
        <v>980.64</v>
      </c>
      <c r="J182" s="9">
        <v>-8803.7099999999991</v>
      </c>
      <c r="K182" s="9">
        <v>0</v>
      </c>
      <c r="L182" s="125">
        <v>335630.63</v>
      </c>
    </row>
    <row r="183" spans="1:12" ht="13" x14ac:dyDescent="0.3">
      <c r="A183" s="127">
        <v>38200</v>
      </c>
      <c r="B183" s="1" t="s">
        <v>692</v>
      </c>
      <c r="C183" s="1" t="s">
        <v>692</v>
      </c>
      <c r="D183" t="s">
        <v>564</v>
      </c>
      <c r="E183" t="s">
        <v>89</v>
      </c>
      <c r="F183" s="1" t="s">
        <v>693</v>
      </c>
      <c r="G183" s="1" t="s">
        <v>694</v>
      </c>
      <c r="H183" s="9">
        <v>359470.79</v>
      </c>
      <c r="I183" s="9">
        <v>1930.29</v>
      </c>
      <c r="J183" s="9">
        <v>-6099.72</v>
      </c>
      <c r="K183" s="9">
        <v>0</v>
      </c>
      <c r="L183" s="125">
        <v>355301.36</v>
      </c>
    </row>
    <row r="184" spans="1:12" ht="13" x14ac:dyDescent="0.3">
      <c r="A184" s="127">
        <v>38200</v>
      </c>
      <c r="B184" s="1" t="s">
        <v>692</v>
      </c>
      <c r="C184" s="1" t="s">
        <v>692</v>
      </c>
      <c r="D184" t="s">
        <v>198</v>
      </c>
      <c r="E184" t="s">
        <v>89</v>
      </c>
      <c r="F184" s="1" t="s">
        <v>693</v>
      </c>
      <c r="G184" s="1" t="s">
        <v>694</v>
      </c>
      <c r="H184" s="9">
        <v>462204.98</v>
      </c>
      <c r="I184" s="9">
        <v>2111.23</v>
      </c>
      <c r="J184" s="9">
        <v>-67064.63</v>
      </c>
      <c r="K184" s="9">
        <v>0</v>
      </c>
      <c r="L184" s="125">
        <v>397251.58</v>
      </c>
    </row>
    <row r="185" spans="1:12" ht="13" x14ac:dyDescent="0.3">
      <c r="A185" s="127">
        <v>38200</v>
      </c>
      <c r="B185" s="1" t="s">
        <v>692</v>
      </c>
      <c r="C185" s="1" t="s">
        <v>692</v>
      </c>
      <c r="D185" t="s">
        <v>229</v>
      </c>
      <c r="E185" t="s">
        <v>89</v>
      </c>
      <c r="F185" s="1" t="s">
        <v>693</v>
      </c>
      <c r="G185" s="1" t="s">
        <v>694</v>
      </c>
      <c r="H185" s="9">
        <v>726040.13</v>
      </c>
      <c r="I185" s="9">
        <v>3155.57</v>
      </c>
      <c r="J185" s="9">
        <v>-3534.25</v>
      </c>
      <c r="K185" s="9">
        <v>0</v>
      </c>
      <c r="L185" s="125">
        <v>725661.45</v>
      </c>
    </row>
    <row r="186" spans="1:12" ht="13" x14ac:dyDescent="0.3">
      <c r="A186" s="127">
        <v>38200</v>
      </c>
      <c r="B186" s="1" t="s">
        <v>692</v>
      </c>
      <c r="C186" s="1" t="s">
        <v>692</v>
      </c>
      <c r="D186" t="s">
        <v>290</v>
      </c>
      <c r="E186" t="s">
        <v>89</v>
      </c>
      <c r="F186" s="1" t="s">
        <v>693</v>
      </c>
      <c r="G186" s="1" t="s">
        <v>694</v>
      </c>
      <c r="H186" s="9">
        <v>784707.19</v>
      </c>
      <c r="I186" s="9">
        <v>2447.85</v>
      </c>
      <c r="J186" s="9">
        <v>-18271.47</v>
      </c>
      <c r="K186" s="9">
        <v>0</v>
      </c>
      <c r="L186" s="125">
        <v>768883.57</v>
      </c>
    </row>
    <row r="187" spans="1:12" ht="13" x14ac:dyDescent="0.3">
      <c r="A187" s="127">
        <v>38300</v>
      </c>
      <c r="B187" s="1" t="s">
        <v>692</v>
      </c>
      <c r="C187" s="1" t="s">
        <v>692</v>
      </c>
      <c r="D187" t="s">
        <v>321</v>
      </c>
      <c r="E187" t="s">
        <v>89</v>
      </c>
      <c r="F187" s="1" t="s">
        <v>693</v>
      </c>
      <c r="G187" s="1" t="s">
        <v>694</v>
      </c>
      <c r="H187" s="9">
        <v>-926.43</v>
      </c>
      <c r="I187" s="9">
        <v>0</v>
      </c>
      <c r="J187" s="9">
        <v>0</v>
      </c>
      <c r="K187" s="9">
        <v>0</v>
      </c>
      <c r="L187" s="125">
        <v>-926.43</v>
      </c>
    </row>
    <row r="188" spans="1:12" ht="13" x14ac:dyDescent="0.3">
      <c r="A188" s="127">
        <v>38300</v>
      </c>
      <c r="B188" s="1" t="s">
        <v>692</v>
      </c>
      <c r="C188" s="1" t="s">
        <v>692</v>
      </c>
      <c r="D188" t="s">
        <v>230</v>
      </c>
      <c r="E188" t="s">
        <v>89</v>
      </c>
      <c r="F188" s="1" t="s">
        <v>693</v>
      </c>
      <c r="G188" s="1" t="s">
        <v>694</v>
      </c>
      <c r="H188" s="9">
        <v>-577.75</v>
      </c>
      <c r="I188" s="9">
        <v>0</v>
      </c>
      <c r="J188" s="9">
        <v>0</v>
      </c>
      <c r="K188" s="9">
        <v>0</v>
      </c>
      <c r="L188" s="125">
        <v>-577.75</v>
      </c>
    </row>
    <row r="189" spans="1:12" ht="13" x14ac:dyDescent="0.3">
      <c r="A189" s="127">
        <v>38300</v>
      </c>
      <c r="B189" s="1" t="s">
        <v>692</v>
      </c>
      <c r="C189" s="1" t="s">
        <v>692</v>
      </c>
      <c r="D189" t="s">
        <v>262</v>
      </c>
      <c r="E189" t="s">
        <v>89</v>
      </c>
      <c r="F189" s="1" t="s">
        <v>693</v>
      </c>
      <c r="G189" s="1" t="s">
        <v>694</v>
      </c>
      <c r="H189" s="9">
        <v>-534.92999999999995</v>
      </c>
      <c r="I189" s="9">
        <v>0</v>
      </c>
      <c r="J189" s="9">
        <v>0</v>
      </c>
      <c r="K189" s="9">
        <v>0</v>
      </c>
      <c r="L189" s="125">
        <v>-534.92999999999995</v>
      </c>
    </row>
    <row r="190" spans="1:12" ht="13" x14ac:dyDescent="0.3">
      <c r="A190" s="127">
        <v>38300</v>
      </c>
      <c r="B190" s="1" t="s">
        <v>692</v>
      </c>
      <c r="C190" s="1" t="s">
        <v>692</v>
      </c>
      <c r="D190" t="s">
        <v>465</v>
      </c>
      <c r="E190" t="s">
        <v>89</v>
      </c>
      <c r="F190" s="1" t="s">
        <v>693</v>
      </c>
      <c r="G190" s="1" t="s">
        <v>694</v>
      </c>
      <c r="H190" s="9">
        <v>-84.58</v>
      </c>
      <c r="I190" s="9">
        <v>0</v>
      </c>
      <c r="J190" s="9">
        <v>0</v>
      </c>
      <c r="K190" s="9">
        <v>0</v>
      </c>
      <c r="L190" s="125">
        <v>-84.58</v>
      </c>
    </row>
    <row r="191" spans="1:12" ht="13" x14ac:dyDescent="0.3">
      <c r="A191" s="127">
        <v>38300</v>
      </c>
      <c r="B191" s="1" t="s">
        <v>692</v>
      </c>
      <c r="C191" s="1" t="s">
        <v>692</v>
      </c>
      <c r="D191" t="s">
        <v>565</v>
      </c>
      <c r="E191" t="s">
        <v>89</v>
      </c>
      <c r="F191" s="1" t="s">
        <v>693</v>
      </c>
      <c r="G191" s="1" t="s">
        <v>694</v>
      </c>
      <c r="H191" s="9">
        <v>-49.87</v>
      </c>
      <c r="I191" s="9">
        <v>0</v>
      </c>
      <c r="J191" s="9">
        <v>0</v>
      </c>
      <c r="K191" s="9">
        <v>0</v>
      </c>
      <c r="L191" s="125">
        <v>-49.87</v>
      </c>
    </row>
    <row r="192" spans="1:12" ht="13" x14ac:dyDescent="0.3">
      <c r="A192" s="127">
        <v>38300</v>
      </c>
      <c r="B192" s="1" t="s">
        <v>692</v>
      </c>
      <c r="C192" s="1" t="s">
        <v>692</v>
      </c>
      <c r="D192" t="s">
        <v>595</v>
      </c>
      <c r="E192" t="s">
        <v>89</v>
      </c>
      <c r="F192" s="1" t="s">
        <v>693</v>
      </c>
      <c r="G192" s="1" t="s">
        <v>694</v>
      </c>
      <c r="H192" s="9">
        <v>-19.350000000000001</v>
      </c>
      <c r="I192" s="9">
        <v>0</v>
      </c>
      <c r="J192" s="9">
        <v>0</v>
      </c>
      <c r="K192" s="9">
        <v>0</v>
      </c>
      <c r="L192" s="125">
        <v>-19.350000000000001</v>
      </c>
    </row>
    <row r="193" spans="1:12" ht="13" x14ac:dyDescent="0.3">
      <c r="A193" s="127">
        <v>38300</v>
      </c>
      <c r="B193" s="1" t="s">
        <v>692</v>
      </c>
      <c r="C193" s="1" t="s">
        <v>692</v>
      </c>
      <c r="D193" t="s">
        <v>199</v>
      </c>
      <c r="E193" t="s">
        <v>89</v>
      </c>
      <c r="F193" s="1" t="s">
        <v>693</v>
      </c>
      <c r="G193" s="1" t="s">
        <v>694</v>
      </c>
      <c r="H193" s="9">
        <v>0</v>
      </c>
      <c r="I193" s="9">
        <v>0</v>
      </c>
      <c r="J193" s="9">
        <v>0</v>
      </c>
      <c r="K193" s="9">
        <v>0</v>
      </c>
      <c r="L193" s="125">
        <v>0</v>
      </c>
    </row>
    <row r="194" spans="1:12" ht="13" x14ac:dyDescent="0.3">
      <c r="A194" s="127">
        <v>38300</v>
      </c>
      <c r="B194" s="1" t="s">
        <v>692</v>
      </c>
      <c r="C194" s="1" t="s">
        <v>692</v>
      </c>
      <c r="D194" t="s">
        <v>291</v>
      </c>
      <c r="E194" t="s">
        <v>89</v>
      </c>
      <c r="F194" s="1" t="s">
        <v>693</v>
      </c>
      <c r="G194" s="1" t="s">
        <v>694</v>
      </c>
      <c r="H194" s="9">
        <v>0</v>
      </c>
      <c r="I194" s="9">
        <v>0</v>
      </c>
      <c r="J194" s="9">
        <v>0</v>
      </c>
      <c r="K194" s="9">
        <v>0</v>
      </c>
      <c r="L194" s="125">
        <v>0</v>
      </c>
    </row>
    <row r="195" spans="1:12" ht="13" x14ac:dyDescent="0.3">
      <c r="A195" s="127">
        <v>38300</v>
      </c>
      <c r="B195" s="1" t="s">
        <v>692</v>
      </c>
      <c r="C195" s="1" t="s">
        <v>692</v>
      </c>
      <c r="D195" t="s">
        <v>351</v>
      </c>
      <c r="E195" t="s">
        <v>89</v>
      </c>
      <c r="F195" s="1" t="s">
        <v>693</v>
      </c>
      <c r="G195" s="1" t="s">
        <v>694</v>
      </c>
      <c r="H195" s="9">
        <v>0</v>
      </c>
      <c r="I195" s="9">
        <v>0</v>
      </c>
      <c r="J195" s="9">
        <v>0</v>
      </c>
      <c r="K195" s="9">
        <v>0</v>
      </c>
      <c r="L195" s="125">
        <v>0</v>
      </c>
    </row>
    <row r="196" spans="1:12" ht="13" x14ac:dyDescent="0.3">
      <c r="A196" s="127">
        <v>38300</v>
      </c>
      <c r="B196" s="1" t="s">
        <v>692</v>
      </c>
      <c r="C196" s="1" t="s">
        <v>692</v>
      </c>
      <c r="D196" t="s">
        <v>384</v>
      </c>
      <c r="E196" t="s">
        <v>89</v>
      </c>
      <c r="F196" s="1" t="s">
        <v>693</v>
      </c>
      <c r="G196" s="1" t="s">
        <v>694</v>
      </c>
      <c r="H196" s="9">
        <v>0</v>
      </c>
      <c r="I196" s="9">
        <v>0</v>
      </c>
      <c r="J196" s="9">
        <v>0</v>
      </c>
      <c r="K196" s="9">
        <v>0</v>
      </c>
      <c r="L196" s="125">
        <v>0</v>
      </c>
    </row>
    <row r="197" spans="1:12" ht="13" x14ac:dyDescent="0.3">
      <c r="A197" s="127">
        <v>38300</v>
      </c>
      <c r="B197" s="1" t="s">
        <v>692</v>
      </c>
      <c r="C197" s="1" t="s">
        <v>692</v>
      </c>
      <c r="D197" t="s">
        <v>411</v>
      </c>
      <c r="E197" t="s">
        <v>89</v>
      </c>
      <c r="F197" s="1" t="s">
        <v>693</v>
      </c>
      <c r="G197" s="1" t="s">
        <v>694</v>
      </c>
      <c r="H197" s="9">
        <v>0</v>
      </c>
      <c r="I197" s="9">
        <v>0</v>
      </c>
      <c r="J197" s="9">
        <v>0</v>
      </c>
      <c r="K197" s="9">
        <v>0</v>
      </c>
      <c r="L197" s="125">
        <v>0</v>
      </c>
    </row>
    <row r="198" spans="1:12" ht="13" x14ac:dyDescent="0.3">
      <c r="A198" s="127">
        <v>38300</v>
      </c>
      <c r="B198" s="1" t="s">
        <v>692</v>
      </c>
      <c r="C198" s="1" t="s">
        <v>692</v>
      </c>
      <c r="D198" t="s">
        <v>437</v>
      </c>
      <c r="E198" t="s">
        <v>89</v>
      </c>
      <c r="F198" s="1" t="s">
        <v>693</v>
      </c>
      <c r="G198" s="1" t="s">
        <v>694</v>
      </c>
      <c r="H198" s="9">
        <v>0</v>
      </c>
      <c r="I198" s="9">
        <v>0</v>
      </c>
      <c r="J198" s="9">
        <v>0</v>
      </c>
      <c r="K198" s="9">
        <v>0</v>
      </c>
      <c r="L198" s="125">
        <v>0</v>
      </c>
    </row>
    <row r="199" spans="1:12" ht="13" x14ac:dyDescent="0.3">
      <c r="A199" s="127">
        <v>38300</v>
      </c>
      <c r="B199" s="1" t="s">
        <v>692</v>
      </c>
      <c r="C199" s="1" t="s">
        <v>692</v>
      </c>
      <c r="D199" t="s">
        <v>492</v>
      </c>
      <c r="E199" t="s">
        <v>89</v>
      </c>
      <c r="F199" s="1" t="s">
        <v>693</v>
      </c>
      <c r="G199" s="1" t="s">
        <v>694</v>
      </c>
      <c r="H199" s="9">
        <v>0</v>
      </c>
      <c r="I199" s="9">
        <v>0</v>
      </c>
      <c r="J199" s="9">
        <v>0</v>
      </c>
      <c r="K199" s="9">
        <v>0</v>
      </c>
      <c r="L199" s="125">
        <v>0</v>
      </c>
    </row>
    <row r="200" spans="1:12" ht="13" x14ac:dyDescent="0.3">
      <c r="A200" s="127">
        <v>38300</v>
      </c>
      <c r="B200" s="1" t="s">
        <v>692</v>
      </c>
      <c r="C200" s="1" t="s">
        <v>692</v>
      </c>
      <c r="D200" t="s">
        <v>528</v>
      </c>
      <c r="E200" t="s">
        <v>89</v>
      </c>
      <c r="F200" s="1" t="s">
        <v>693</v>
      </c>
      <c r="G200" s="1" t="s">
        <v>694</v>
      </c>
      <c r="H200" s="9">
        <v>0</v>
      </c>
      <c r="I200" s="9">
        <v>0</v>
      </c>
      <c r="J200" s="9">
        <v>0</v>
      </c>
      <c r="K200" s="9">
        <v>0</v>
      </c>
      <c r="L200" s="125">
        <v>0</v>
      </c>
    </row>
    <row r="201" spans="1:12" ht="13" x14ac:dyDescent="0.3">
      <c r="A201" s="127">
        <v>38300</v>
      </c>
      <c r="B201" s="1" t="s">
        <v>692</v>
      </c>
      <c r="C201" s="1" t="s">
        <v>692</v>
      </c>
      <c r="D201" t="s">
        <v>626</v>
      </c>
      <c r="E201" t="s">
        <v>89</v>
      </c>
      <c r="F201" s="1" t="s">
        <v>693</v>
      </c>
      <c r="G201" s="1" t="s">
        <v>694</v>
      </c>
      <c r="H201" s="9">
        <v>0</v>
      </c>
      <c r="I201" s="9">
        <v>0</v>
      </c>
      <c r="J201" s="9">
        <v>0</v>
      </c>
      <c r="K201" s="9">
        <v>0</v>
      </c>
      <c r="L201" s="125">
        <v>0</v>
      </c>
    </row>
    <row r="202" spans="1:12" ht="13" x14ac:dyDescent="0.3">
      <c r="A202" s="127">
        <v>38400</v>
      </c>
      <c r="B202" s="1" t="s">
        <v>692</v>
      </c>
      <c r="C202" s="1" t="s">
        <v>692</v>
      </c>
      <c r="D202" t="s">
        <v>438</v>
      </c>
      <c r="E202" t="s">
        <v>89</v>
      </c>
      <c r="F202" s="1" t="s">
        <v>693</v>
      </c>
      <c r="G202" s="1" t="s">
        <v>694</v>
      </c>
      <c r="H202" s="9">
        <v>2328.41</v>
      </c>
      <c r="I202" s="9">
        <v>6.87</v>
      </c>
      <c r="J202" s="9">
        <v>0</v>
      </c>
      <c r="K202" s="9">
        <v>0</v>
      </c>
      <c r="L202" s="125">
        <v>2335.2800000000002</v>
      </c>
    </row>
    <row r="203" spans="1:12" ht="13" x14ac:dyDescent="0.3">
      <c r="A203" s="127">
        <v>38400</v>
      </c>
      <c r="B203" s="1" t="s">
        <v>692</v>
      </c>
      <c r="C203" s="1" t="s">
        <v>692</v>
      </c>
      <c r="D203" t="s">
        <v>200</v>
      </c>
      <c r="E203" t="s">
        <v>89</v>
      </c>
      <c r="F203" s="1" t="s">
        <v>693</v>
      </c>
      <c r="G203" s="1" t="s">
        <v>694</v>
      </c>
      <c r="H203" s="9">
        <v>77579.679999999993</v>
      </c>
      <c r="I203" s="9">
        <v>886.93</v>
      </c>
      <c r="J203" s="9">
        <v>-67064.62</v>
      </c>
      <c r="K203" s="9">
        <v>0</v>
      </c>
      <c r="L203" s="125">
        <v>11401.99</v>
      </c>
    </row>
    <row r="204" spans="1:12" ht="13" x14ac:dyDescent="0.3">
      <c r="A204" s="127">
        <v>38400</v>
      </c>
      <c r="B204" s="1" t="s">
        <v>692</v>
      </c>
      <c r="C204" s="1" t="s">
        <v>692</v>
      </c>
      <c r="D204" t="s">
        <v>385</v>
      </c>
      <c r="E204" t="s">
        <v>89</v>
      </c>
      <c r="F204" s="1" t="s">
        <v>693</v>
      </c>
      <c r="G204" s="1" t="s">
        <v>694</v>
      </c>
      <c r="H204" s="9">
        <v>18542.59</v>
      </c>
      <c r="I204" s="9">
        <v>80.77</v>
      </c>
      <c r="J204" s="9">
        <v>0</v>
      </c>
      <c r="K204" s="9">
        <v>0</v>
      </c>
      <c r="L204" s="125">
        <v>18623.36</v>
      </c>
    </row>
    <row r="205" spans="1:12" ht="13" x14ac:dyDescent="0.3">
      <c r="A205" s="127">
        <v>38400</v>
      </c>
      <c r="B205" s="1" t="s">
        <v>692</v>
      </c>
      <c r="C205" s="1" t="s">
        <v>692</v>
      </c>
      <c r="D205" t="s">
        <v>322</v>
      </c>
      <c r="E205" t="s">
        <v>89</v>
      </c>
      <c r="F205" s="1" t="s">
        <v>693</v>
      </c>
      <c r="G205" s="1" t="s">
        <v>694</v>
      </c>
      <c r="H205" s="9">
        <v>20924.150000000001</v>
      </c>
      <c r="I205" s="9">
        <v>93.87</v>
      </c>
      <c r="J205" s="9">
        <v>0</v>
      </c>
      <c r="K205" s="9">
        <v>0</v>
      </c>
      <c r="L205" s="125">
        <v>21018.02</v>
      </c>
    </row>
    <row r="206" spans="1:12" ht="13" x14ac:dyDescent="0.3">
      <c r="A206" s="127">
        <v>38400</v>
      </c>
      <c r="B206" s="1" t="s">
        <v>692</v>
      </c>
      <c r="C206" s="1" t="s">
        <v>692</v>
      </c>
      <c r="D206" t="s">
        <v>412</v>
      </c>
      <c r="E206" t="s">
        <v>89</v>
      </c>
      <c r="F206" s="1" t="s">
        <v>693</v>
      </c>
      <c r="G206" s="1" t="s">
        <v>694</v>
      </c>
      <c r="H206" s="9">
        <v>22399.46</v>
      </c>
      <c r="I206" s="9">
        <v>119.59</v>
      </c>
      <c r="J206" s="9">
        <v>0</v>
      </c>
      <c r="K206" s="9">
        <v>0</v>
      </c>
      <c r="L206" s="125">
        <v>22519.05</v>
      </c>
    </row>
    <row r="207" spans="1:12" ht="13" x14ac:dyDescent="0.3">
      <c r="A207" s="127">
        <v>38400</v>
      </c>
      <c r="B207" s="1" t="s">
        <v>692</v>
      </c>
      <c r="C207" s="1" t="s">
        <v>692</v>
      </c>
      <c r="D207" t="s">
        <v>493</v>
      </c>
      <c r="E207" t="s">
        <v>89</v>
      </c>
      <c r="F207" s="1" t="s">
        <v>693</v>
      </c>
      <c r="G207" s="1" t="s">
        <v>694</v>
      </c>
      <c r="H207" s="9">
        <v>43328.04</v>
      </c>
      <c r="I207" s="9">
        <v>179.75</v>
      </c>
      <c r="J207" s="9">
        <v>0</v>
      </c>
      <c r="K207" s="9">
        <v>0</v>
      </c>
      <c r="L207" s="125">
        <v>43507.79</v>
      </c>
    </row>
    <row r="208" spans="1:12" ht="13" x14ac:dyDescent="0.3">
      <c r="A208" s="127">
        <v>38400</v>
      </c>
      <c r="B208" s="1" t="s">
        <v>692</v>
      </c>
      <c r="C208" s="1" t="s">
        <v>692</v>
      </c>
      <c r="D208" t="s">
        <v>596</v>
      </c>
      <c r="E208" t="s">
        <v>89</v>
      </c>
      <c r="F208" s="1" t="s">
        <v>693</v>
      </c>
      <c r="G208" s="1" t="s">
        <v>694</v>
      </c>
      <c r="H208" s="9">
        <v>50306.080000000002</v>
      </c>
      <c r="I208" s="9">
        <v>413.21</v>
      </c>
      <c r="J208" s="9">
        <v>0</v>
      </c>
      <c r="K208" s="9">
        <v>0</v>
      </c>
      <c r="L208" s="125">
        <v>50719.29</v>
      </c>
    </row>
    <row r="209" spans="1:12" ht="13" x14ac:dyDescent="0.3">
      <c r="A209" s="127">
        <v>38400</v>
      </c>
      <c r="B209" s="1" t="s">
        <v>692</v>
      </c>
      <c r="C209" s="1" t="s">
        <v>692</v>
      </c>
      <c r="D209" t="s">
        <v>263</v>
      </c>
      <c r="E209" t="s">
        <v>89</v>
      </c>
      <c r="F209" s="1" t="s">
        <v>693</v>
      </c>
      <c r="G209" s="1" t="s">
        <v>694</v>
      </c>
      <c r="H209" s="9">
        <v>82666.399999999994</v>
      </c>
      <c r="I209" s="9">
        <v>340.21</v>
      </c>
      <c r="J209" s="9">
        <v>-8852.3799999999992</v>
      </c>
      <c r="K209" s="9">
        <v>0</v>
      </c>
      <c r="L209" s="125">
        <v>74154.23</v>
      </c>
    </row>
    <row r="210" spans="1:12" ht="13" x14ac:dyDescent="0.3">
      <c r="A210" s="127">
        <v>38400</v>
      </c>
      <c r="B210" s="1" t="s">
        <v>692</v>
      </c>
      <c r="C210" s="1" t="s">
        <v>692</v>
      </c>
      <c r="D210" t="s">
        <v>529</v>
      </c>
      <c r="E210" t="s">
        <v>89</v>
      </c>
      <c r="F210" s="1" t="s">
        <v>693</v>
      </c>
      <c r="G210" s="1" t="s">
        <v>694</v>
      </c>
      <c r="H210" s="9">
        <v>91747</v>
      </c>
      <c r="I210" s="9">
        <v>375.13</v>
      </c>
      <c r="J210" s="9">
        <v>0</v>
      </c>
      <c r="K210" s="9">
        <v>0</v>
      </c>
      <c r="L210" s="125">
        <v>92122.13</v>
      </c>
    </row>
    <row r="211" spans="1:12" ht="13" x14ac:dyDescent="0.3">
      <c r="A211" s="127">
        <v>38400</v>
      </c>
      <c r="B211" s="1" t="s">
        <v>692</v>
      </c>
      <c r="C211" s="1" t="s">
        <v>692</v>
      </c>
      <c r="D211" t="s">
        <v>352</v>
      </c>
      <c r="E211" t="s">
        <v>89</v>
      </c>
      <c r="F211" s="1" t="s">
        <v>693</v>
      </c>
      <c r="G211" s="1" t="s">
        <v>694</v>
      </c>
      <c r="H211" s="9">
        <v>97857.7</v>
      </c>
      <c r="I211" s="9">
        <v>564.53</v>
      </c>
      <c r="J211" s="9">
        <v>-1178.71</v>
      </c>
      <c r="K211" s="9">
        <v>0</v>
      </c>
      <c r="L211" s="125">
        <v>97243.520000000004</v>
      </c>
    </row>
    <row r="212" spans="1:12" ht="13" x14ac:dyDescent="0.3">
      <c r="A212" s="127">
        <v>38400</v>
      </c>
      <c r="B212" s="1" t="s">
        <v>692</v>
      </c>
      <c r="C212" s="1" t="s">
        <v>692</v>
      </c>
      <c r="D212" t="s">
        <v>466</v>
      </c>
      <c r="E212" t="s">
        <v>89</v>
      </c>
      <c r="F212" s="1" t="s">
        <v>693</v>
      </c>
      <c r="G212" s="1" t="s">
        <v>694</v>
      </c>
      <c r="H212" s="9">
        <v>132808.78</v>
      </c>
      <c r="I212" s="9">
        <v>650.66999999999996</v>
      </c>
      <c r="J212" s="9">
        <v>0</v>
      </c>
      <c r="K212" s="9">
        <v>0</v>
      </c>
      <c r="L212" s="125">
        <v>133459.45000000001</v>
      </c>
    </row>
    <row r="213" spans="1:12" ht="13" x14ac:dyDescent="0.3">
      <c r="A213" s="127">
        <v>38400</v>
      </c>
      <c r="B213" s="1" t="s">
        <v>692</v>
      </c>
      <c r="C213" s="1" t="s">
        <v>692</v>
      </c>
      <c r="D213" t="s">
        <v>566</v>
      </c>
      <c r="E213" t="s">
        <v>89</v>
      </c>
      <c r="F213" s="1" t="s">
        <v>693</v>
      </c>
      <c r="G213" s="1" t="s">
        <v>694</v>
      </c>
      <c r="H213" s="9">
        <v>165347.24</v>
      </c>
      <c r="I213" s="9">
        <v>829.89</v>
      </c>
      <c r="J213" s="9">
        <v>0</v>
      </c>
      <c r="K213" s="9">
        <v>0</v>
      </c>
      <c r="L213" s="125">
        <v>166177.13</v>
      </c>
    </row>
    <row r="214" spans="1:12" ht="13" x14ac:dyDescent="0.3">
      <c r="A214" s="127">
        <v>38400</v>
      </c>
      <c r="B214" s="1" t="s">
        <v>692</v>
      </c>
      <c r="C214" s="1" t="s">
        <v>692</v>
      </c>
      <c r="D214" t="s">
        <v>292</v>
      </c>
      <c r="E214" t="s">
        <v>89</v>
      </c>
      <c r="F214" s="1" t="s">
        <v>693</v>
      </c>
      <c r="G214" s="1" t="s">
        <v>694</v>
      </c>
      <c r="H214" s="9">
        <v>260308.21</v>
      </c>
      <c r="I214" s="9">
        <v>929.33</v>
      </c>
      <c r="J214" s="9">
        <v>0</v>
      </c>
      <c r="K214" s="9">
        <v>0</v>
      </c>
      <c r="L214" s="125">
        <v>261237.54</v>
      </c>
    </row>
    <row r="215" spans="1:12" ht="13" x14ac:dyDescent="0.3">
      <c r="A215" s="127">
        <v>38400</v>
      </c>
      <c r="B215" s="1" t="s">
        <v>692</v>
      </c>
      <c r="C215" s="1" t="s">
        <v>692</v>
      </c>
      <c r="D215" t="s">
        <v>231</v>
      </c>
      <c r="E215" t="s">
        <v>89</v>
      </c>
      <c r="F215" s="1" t="s">
        <v>693</v>
      </c>
      <c r="G215" s="1" t="s">
        <v>694</v>
      </c>
      <c r="H215" s="9">
        <v>298139.03000000003</v>
      </c>
      <c r="I215" s="9">
        <v>1244.4000000000001</v>
      </c>
      <c r="J215" s="9">
        <v>-3534.24</v>
      </c>
      <c r="K215" s="9">
        <v>0</v>
      </c>
      <c r="L215" s="125">
        <v>295849.19</v>
      </c>
    </row>
    <row r="216" spans="1:12" ht="13" x14ac:dyDescent="0.3">
      <c r="A216" s="127">
        <v>38500</v>
      </c>
      <c r="B216" s="1" t="s">
        <v>692</v>
      </c>
      <c r="C216" s="1" t="s">
        <v>692</v>
      </c>
      <c r="D216" t="s">
        <v>201</v>
      </c>
      <c r="E216" t="s">
        <v>89</v>
      </c>
      <c r="F216" s="1" t="s">
        <v>693</v>
      </c>
      <c r="G216" s="1" t="s">
        <v>694</v>
      </c>
      <c r="H216" s="9">
        <v>-208.24</v>
      </c>
      <c r="I216" s="9">
        <v>0</v>
      </c>
      <c r="J216" s="9">
        <v>-384.92</v>
      </c>
      <c r="K216" s="9">
        <v>0</v>
      </c>
      <c r="L216" s="125">
        <v>-593.16</v>
      </c>
    </row>
    <row r="217" spans="1:12" ht="13" x14ac:dyDescent="0.3">
      <c r="A217" s="127">
        <v>38500</v>
      </c>
      <c r="B217" s="1" t="s">
        <v>692</v>
      </c>
      <c r="C217" s="1" t="s">
        <v>692</v>
      </c>
      <c r="D217" t="s">
        <v>264</v>
      </c>
      <c r="E217" t="s">
        <v>89</v>
      </c>
      <c r="F217" s="1" t="s">
        <v>693</v>
      </c>
      <c r="G217" s="1" t="s">
        <v>694</v>
      </c>
      <c r="H217" s="9">
        <v>-439.89</v>
      </c>
      <c r="I217" s="9">
        <v>0</v>
      </c>
      <c r="J217" s="9">
        <v>-60.23</v>
      </c>
      <c r="K217" s="9">
        <v>0</v>
      </c>
      <c r="L217" s="125">
        <v>-500.12</v>
      </c>
    </row>
    <row r="218" spans="1:12" ht="13" x14ac:dyDescent="0.3">
      <c r="A218" s="127">
        <v>38500</v>
      </c>
      <c r="B218" s="1" t="s">
        <v>692</v>
      </c>
      <c r="C218" s="1" t="s">
        <v>692</v>
      </c>
      <c r="D218" t="s">
        <v>232</v>
      </c>
      <c r="E218" t="s">
        <v>89</v>
      </c>
      <c r="F218" s="1" t="s">
        <v>693</v>
      </c>
      <c r="G218" s="1" t="s">
        <v>694</v>
      </c>
      <c r="H218" s="9">
        <v>-135.38</v>
      </c>
      <c r="I218" s="9">
        <v>0</v>
      </c>
      <c r="J218" s="9">
        <v>-122.67</v>
      </c>
      <c r="K218" s="9">
        <v>0</v>
      </c>
      <c r="L218" s="125">
        <v>-258.05</v>
      </c>
    </row>
    <row r="219" spans="1:12" ht="13" x14ac:dyDescent="0.3">
      <c r="A219" s="127">
        <v>38500</v>
      </c>
      <c r="B219" s="1" t="s">
        <v>692</v>
      </c>
      <c r="C219" s="1" t="s">
        <v>692</v>
      </c>
      <c r="D219" t="s">
        <v>293</v>
      </c>
      <c r="E219" t="s">
        <v>89</v>
      </c>
      <c r="F219" s="1" t="s">
        <v>693</v>
      </c>
      <c r="G219" s="1" t="s">
        <v>694</v>
      </c>
      <c r="H219" s="9">
        <v>-107.89</v>
      </c>
      <c r="I219" s="9">
        <v>0</v>
      </c>
      <c r="J219" s="9">
        <v>0</v>
      </c>
      <c r="K219" s="9">
        <v>0</v>
      </c>
      <c r="L219" s="125">
        <v>-107.89</v>
      </c>
    </row>
    <row r="220" spans="1:12" ht="13" x14ac:dyDescent="0.3">
      <c r="A220" s="127">
        <v>38500</v>
      </c>
      <c r="B220" s="1" t="s">
        <v>692</v>
      </c>
      <c r="C220" s="1" t="s">
        <v>692</v>
      </c>
      <c r="D220" t="s">
        <v>467</v>
      </c>
      <c r="E220" t="s">
        <v>89</v>
      </c>
      <c r="F220" s="1" t="s">
        <v>693</v>
      </c>
      <c r="G220" s="1" t="s">
        <v>694</v>
      </c>
      <c r="H220" s="9">
        <v>-80.12</v>
      </c>
      <c r="I220" s="9">
        <v>0</v>
      </c>
      <c r="J220" s="9">
        <v>0</v>
      </c>
      <c r="K220" s="9">
        <v>0</v>
      </c>
      <c r="L220" s="125">
        <v>-80.12</v>
      </c>
    </row>
    <row r="221" spans="1:12" ht="13" x14ac:dyDescent="0.3">
      <c r="A221" s="127">
        <v>38500</v>
      </c>
      <c r="B221" s="1" t="s">
        <v>692</v>
      </c>
      <c r="C221" s="1" t="s">
        <v>692</v>
      </c>
      <c r="D221" t="s">
        <v>413</v>
      </c>
      <c r="E221" t="s">
        <v>89</v>
      </c>
      <c r="F221" s="1" t="s">
        <v>693</v>
      </c>
      <c r="G221" s="1" t="s">
        <v>694</v>
      </c>
      <c r="H221" s="9">
        <v>-51.36</v>
      </c>
      <c r="I221" s="9">
        <v>0</v>
      </c>
      <c r="J221" s="9">
        <v>0</v>
      </c>
      <c r="K221" s="9">
        <v>0</v>
      </c>
      <c r="L221" s="125">
        <v>-51.36</v>
      </c>
    </row>
    <row r="222" spans="1:12" ht="13" x14ac:dyDescent="0.3">
      <c r="A222" s="127">
        <v>38500</v>
      </c>
      <c r="B222" s="1" t="s">
        <v>692</v>
      </c>
      <c r="C222" s="1" t="s">
        <v>692</v>
      </c>
      <c r="D222" t="s">
        <v>353</v>
      </c>
      <c r="E222" t="s">
        <v>89</v>
      </c>
      <c r="F222" s="1" t="s">
        <v>693</v>
      </c>
      <c r="G222" s="1" t="s">
        <v>694</v>
      </c>
      <c r="H222" s="9">
        <v>-47.8</v>
      </c>
      <c r="I222" s="9">
        <v>0</v>
      </c>
      <c r="J222" s="9">
        <v>0</v>
      </c>
      <c r="K222" s="9">
        <v>0</v>
      </c>
      <c r="L222" s="125">
        <v>-47.8</v>
      </c>
    </row>
    <row r="223" spans="1:12" ht="13" x14ac:dyDescent="0.3">
      <c r="A223" s="127">
        <v>38500</v>
      </c>
      <c r="B223" s="1" t="s">
        <v>692</v>
      </c>
      <c r="C223" s="1" t="s">
        <v>692</v>
      </c>
      <c r="D223" t="s">
        <v>323</v>
      </c>
      <c r="E223" t="s">
        <v>89</v>
      </c>
      <c r="F223" s="1" t="s">
        <v>693</v>
      </c>
      <c r="G223" s="1" t="s">
        <v>694</v>
      </c>
      <c r="H223" s="9">
        <v>-23.09</v>
      </c>
      <c r="I223" s="9">
        <v>0</v>
      </c>
      <c r="J223" s="9">
        <v>0</v>
      </c>
      <c r="K223" s="9">
        <v>0</v>
      </c>
      <c r="L223" s="125">
        <v>-23.09</v>
      </c>
    </row>
    <row r="224" spans="1:12" ht="13" x14ac:dyDescent="0.3">
      <c r="A224" s="127">
        <v>38500</v>
      </c>
      <c r="B224" s="1" t="s">
        <v>692</v>
      </c>
      <c r="C224" s="1" t="s">
        <v>692</v>
      </c>
      <c r="D224" t="s">
        <v>386</v>
      </c>
      <c r="E224" t="s">
        <v>89</v>
      </c>
      <c r="F224" s="1" t="s">
        <v>693</v>
      </c>
      <c r="G224" s="1" t="s">
        <v>694</v>
      </c>
      <c r="H224" s="9">
        <v>0</v>
      </c>
      <c r="I224" s="9">
        <v>0</v>
      </c>
      <c r="J224" s="9">
        <v>0</v>
      </c>
      <c r="K224" s="9">
        <v>0</v>
      </c>
      <c r="L224" s="125">
        <v>0</v>
      </c>
    </row>
    <row r="225" spans="1:12" ht="13" x14ac:dyDescent="0.3">
      <c r="A225" s="127">
        <v>38500</v>
      </c>
      <c r="B225" s="1" t="s">
        <v>692</v>
      </c>
      <c r="C225" s="1" t="s">
        <v>692</v>
      </c>
      <c r="D225" t="s">
        <v>439</v>
      </c>
      <c r="E225" t="s">
        <v>89</v>
      </c>
      <c r="F225" s="1" t="s">
        <v>693</v>
      </c>
      <c r="G225" s="1" t="s">
        <v>694</v>
      </c>
      <c r="H225" s="9">
        <v>0</v>
      </c>
      <c r="I225" s="9">
        <v>0</v>
      </c>
      <c r="J225" s="9">
        <v>0</v>
      </c>
      <c r="K225" s="9">
        <v>0</v>
      </c>
      <c r="L225" s="125">
        <v>0</v>
      </c>
    </row>
    <row r="226" spans="1:12" ht="13" x14ac:dyDescent="0.3">
      <c r="A226" s="127">
        <v>38500</v>
      </c>
      <c r="B226" s="1" t="s">
        <v>692</v>
      </c>
      <c r="C226" s="1" t="s">
        <v>692</v>
      </c>
      <c r="D226" t="s">
        <v>494</v>
      </c>
      <c r="E226" t="s">
        <v>89</v>
      </c>
      <c r="F226" s="1" t="s">
        <v>693</v>
      </c>
      <c r="G226" s="1" t="s">
        <v>694</v>
      </c>
      <c r="H226" s="9">
        <v>0</v>
      </c>
      <c r="I226" s="9">
        <v>0</v>
      </c>
      <c r="J226" s="9">
        <v>0</v>
      </c>
      <c r="K226" s="9">
        <v>0</v>
      </c>
      <c r="L226" s="125">
        <v>0</v>
      </c>
    </row>
    <row r="227" spans="1:12" ht="13" x14ac:dyDescent="0.3">
      <c r="A227" s="127">
        <v>38500</v>
      </c>
      <c r="B227" s="1" t="s">
        <v>692</v>
      </c>
      <c r="C227" s="1" t="s">
        <v>692</v>
      </c>
      <c r="D227" t="s">
        <v>530</v>
      </c>
      <c r="E227" t="s">
        <v>89</v>
      </c>
      <c r="F227" s="1" t="s">
        <v>693</v>
      </c>
      <c r="G227" s="1" t="s">
        <v>694</v>
      </c>
      <c r="H227" s="9">
        <v>0</v>
      </c>
      <c r="I227" s="9">
        <v>0</v>
      </c>
      <c r="J227" s="9">
        <v>0</v>
      </c>
      <c r="K227" s="9">
        <v>0</v>
      </c>
      <c r="L227" s="125">
        <v>0</v>
      </c>
    </row>
    <row r="228" spans="1:12" ht="13" x14ac:dyDescent="0.3">
      <c r="A228" s="127">
        <v>38500</v>
      </c>
      <c r="B228" s="1" t="s">
        <v>692</v>
      </c>
      <c r="C228" s="1" t="s">
        <v>692</v>
      </c>
      <c r="D228" t="s">
        <v>567</v>
      </c>
      <c r="E228" t="s">
        <v>89</v>
      </c>
      <c r="F228" s="1" t="s">
        <v>693</v>
      </c>
      <c r="G228" s="1" t="s">
        <v>694</v>
      </c>
      <c r="H228" s="9">
        <v>0</v>
      </c>
      <c r="I228" s="9">
        <v>0</v>
      </c>
      <c r="J228" s="9">
        <v>0</v>
      </c>
      <c r="K228" s="9">
        <v>0</v>
      </c>
      <c r="L228" s="125">
        <v>0</v>
      </c>
    </row>
    <row r="229" spans="1:12" ht="13" x14ac:dyDescent="0.3">
      <c r="A229" s="127">
        <v>38500</v>
      </c>
      <c r="B229" s="1" t="s">
        <v>692</v>
      </c>
      <c r="C229" s="1" t="s">
        <v>692</v>
      </c>
      <c r="D229" t="s">
        <v>597</v>
      </c>
      <c r="E229" t="s">
        <v>89</v>
      </c>
      <c r="F229" s="1" t="s">
        <v>693</v>
      </c>
      <c r="G229" s="1" t="s">
        <v>694</v>
      </c>
      <c r="H229" s="9">
        <v>0</v>
      </c>
      <c r="I229" s="9">
        <v>0</v>
      </c>
      <c r="J229" s="9">
        <v>0</v>
      </c>
      <c r="K229" s="9">
        <v>0</v>
      </c>
      <c r="L229" s="125">
        <v>0</v>
      </c>
    </row>
    <row r="230" spans="1:12" ht="13" x14ac:dyDescent="0.3">
      <c r="A230" s="127">
        <v>38500</v>
      </c>
      <c r="B230" s="1" t="s">
        <v>692</v>
      </c>
      <c r="C230" s="1" t="s">
        <v>692</v>
      </c>
      <c r="D230" t="s">
        <v>627</v>
      </c>
      <c r="E230" t="s">
        <v>89</v>
      </c>
      <c r="F230" s="1" t="s">
        <v>693</v>
      </c>
      <c r="G230" s="1" t="s">
        <v>694</v>
      </c>
      <c r="H230" s="9">
        <v>0</v>
      </c>
      <c r="I230" s="9">
        <v>0</v>
      </c>
      <c r="J230" s="9">
        <v>0</v>
      </c>
      <c r="K230" s="9">
        <v>0</v>
      </c>
      <c r="L230" s="125">
        <v>0</v>
      </c>
    </row>
    <row r="231" spans="1:12" ht="13" x14ac:dyDescent="0.3">
      <c r="A231" s="127">
        <v>38700</v>
      </c>
      <c r="B231" s="1" t="s">
        <v>692</v>
      </c>
      <c r="C231" s="1" t="s">
        <v>692</v>
      </c>
      <c r="D231" t="s">
        <v>202</v>
      </c>
      <c r="E231" t="s">
        <v>89</v>
      </c>
      <c r="F231" s="1" t="s">
        <v>693</v>
      </c>
      <c r="G231" s="1" t="s">
        <v>694</v>
      </c>
      <c r="H231" s="9">
        <v>0</v>
      </c>
      <c r="I231" s="9">
        <v>0</v>
      </c>
      <c r="J231" s="9">
        <v>0</v>
      </c>
      <c r="K231" s="9">
        <v>0</v>
      </c>
      <c r="L231" s="125">
        <v>0</v>
      </c>
    </row>
    <row r="232" spans="1:12" ht="13" x14ac:dyDescent="0.3">
      <c r="A232" s="127">
        <v>38700</v>
      </c>
      <c r="B232" s="1" t="s">
        <v>692</v>
      </c>
      <c r="C232" s="1" t="s">
        <v>692</v>
      </c>
      <c r="D232" t="s">
        <v>233</v>
      </c>
      <c r="E232" t="s">
        <v>89</v>
      </c>
      <c r="F232" s="1" t="s">
        <v>693</v>
      </c>
      <c r="G232" s="1" t="s">
        <v>694</v>
      </c>
      <c r="H232" s="9">
        <v>0</v>
      </c>
      <c r="I232" s="9">
        <v>0</v>
      </c>
      <c r="J232" s="9">
        <v>0</v>
      </c>
      <c r="K232" s="9">
        <v>0</v>
      </c>
      <c r="L232" s="125">
        <v>0</v>
      </c>
    </row>
    <row r="233" spans="1:12" ht="13" x14ac:dyDescent="0.3">
      <c r="A233" s="127">
        <v>38700</v>
      </c>
      <c r="B233" s="1" t="s">
        <v>692</v>
      </c>
      <c r="C233" s="1" t="s">
        <v>692</v>
      </c>
      <c r="D233" t="s">
        <v>265</v>
      </c>
      <c r="E233" t="s">
        <v>89</v>
      </c>
      <c r="F233" s="1" t="s">
        <v>693</v>
      </c>
      <c r="G233" s="1" t="s">
        <v>694</v>
      </c>
      <c r="H233" s="9">
        <v>0</v>
      </c>
      <c r="I233" s="9">
        <v>0</v>
      </c>
      <c r="J233" s="9">
        <v>0</v>
      </c>
      <c r="K233" s="9">
        <v>0</v>
      </c>
      <c r="L233" s="125">
        <v>0</v>
      </c>
    </row>
    <row r="234" spans="1:12" ht="13" x14ac:dyDescent="0.3">
      <c r="A234" s="127">
        <v>38700</v>
      </c>
      <c r="B234" s="1" t="s">
        <v>692</v>
      </c>
      <c r="C234" s="1" t="s">
        <v>692</v>
      </c>
      <c r="D234" t="s">
        <v>294</v>
      </c>
      <c r="E234" t="s">
        <v>89</v>
      </c>
      <c r="F234" s="1" t="s">
        <v>693</v>
      </c>
      <c r="G234" s="1" t="s">
        <v>694</v>
      </c>
      <c r="H234" s="9">
        <v>0</v>
      </c>
      <c r="I234" s="9">
        <v>0</v>
      </c>
      <c r="J234" s="9">
        <v>0</v>
      </c>
      <c r="K234" s="9">
        <v>0</v>
      </c>
      <c r="L234" s="125">
        <v>0</v>
      </c>
    </row>
    <row r="235" spans="1:12" ht="13" x14ac:dyDescent="0.3">
      <c r="A235" s="127">
        <v>38700</v>
      </c>
      <c r="B235" s="1" t="s">
        <v>692</v>
      </c>
      <c r="C235" s="1" t="s">
        <v>692</v>
      </c>
      <c r="D235" t="s">
        <v>324</v>
      </c>
      <c r="E235" t="s">
        <v>89</v>
      </c>
      <c r="F235" s="1" t="s">
        <v>693</v>
      </c>
      <c r="G235" s="1" t="s">
        <v>694</v>
      </c>
      <c r="H235" s="9">
        <v>0</v>
      </c>
      <c r="I235" s="9">
        <v>0</v>
      </c>
      <c r="J235" s="9">
        <v>0</v>
      </c>
      <c r="K235" s="9">
        <v>0</v>
      </c>
      <c r="L235" s="125">
        <v>0</v>
      </c>
    </row>
    <row r="236" spans="1:12" ht="13" x14ac:dyDescent="0.3">
      <c r="A236" s="127">
        <v>38700</v>
      </c>
      <c r="B236" s="1" t="s">
        <v>692</v>
      </c>
      <c r="C236" s="1" t="s">
        <v>692</v>
      </c>
      <c r="D236" t="s">
        <v>354</v>
      </c>
      <c r="E236" t="s">
        <v>89</v>
      </c>
      <c r="F236" s="1" t="s">
        <v>693</v>
      </c>
      <c r="G236" s="1" t="s">
        <v>694</v>
      </c>
      <c r="H236" s="9">
        <v>0</v>
      </c>
      <c r="I236" s="9">
        <v>0</v>
      </c>
      <c r="J236" s="9">
        <v>0</v>
      </c>
      <c r="K236" s="9">
        <v>0</v>
      </c>
      <c r="L236" s="125">
        <v>0</v>
      </c>
    </row>
    <row r="237" spans="1:12" ht="13" x14ac:dyDescent="0.3">
      <c r="A237" s="127">
        <v>38700</v>
      </c>
      <c r="B237" s="1" t="s">
        <v>692</v>
      </c>
      <c r="C237" s="1" t="s">
        <v>692</v>
      </c>
      <c r="D237" t="s">
        <v>387</v>
      </c>
      <c r="E237" t="s">
        <v>89</v>
      </c>
      <c r="F237" s="1" t="s">
        <v>693</v>
      </c>
      <c r="G237" s="1" t="s">
        <v>694</v>
      </c>
      <c r="H237" s="9">
        <v>0</v>
      </c>
      <c r="I237" s="9">
        <v>0</v>
      </c>
      <c r="J237" s="9">
        <v>0</v>
      </c>
      <c r="K237" s="9">
        <v>0</v>
      </c>
      <c r="L237" s="125">
        <v>0</v>
      </c>
    </row>
    <row r="238" spans="1:12" ht="13" x14ac:dyDescent="0.3">
      <c r="A238" s="127">
        <v>38700</v>
      </c>
      <c r="B238" s="1" t="s">
        <v>692</v>
      </c>
      <c r="C238" s="1" t="s">
        <v>692</v>
      </c>
      <c r="D238" t="s">
        <v>414</v>
      </c>
      <c r="E238" t="s">
        <v>89</v>
      </c>
      <c r="F238" s="1" t="s">
        <v>693</v>
      </c>
      <c r="G238" s="1" t="s">
        <v>694</v>
      </c>
      <c r="H238" s="9">
        <v>0</v>
      </c>
      <c r="I238" s="9">
        <v>0</v>
      </c>
      <c r="J238" s="9">
        <v>0</v>
      </c>
      <c r="K238" s="9">
        <v>0</v>
      </c>
      <c r="L238" s="125">
        <v>0</v>
      </c>
    </row>
    <row r="239" spans="1:12" ht="13" x14ac:dyDescent="0.3">
      <c r="A239" s="127">
        <v>38700</v>
      </c>
      <c r="B239" s="1" t="s">
        <v>692</v>
      </c>
      <c r="C239" s="1" t="s">
        <v>692</v>
      </c>
      <c r="D239" t="s">
        <v>440</v>
      </c>
      <c r="E239" t="s">
        <v>89</v>
      </c>
      <c r="F239" s="1" t="s">
        <v>693</v>
      </c>
      <c r="G239" s="1" t="s">
        <v>694</v>
      </c>
      <c r="H239" s="9">
        <v>0</v>
      </c>
      <c r="I239" s="9">
        <v>0</v>
      </c>
      <c r="J239" s="9">
        <v>0</v>
      </c>
      <c r="K239" s="9">
        <v>0</v>
      </c>
      <c r="L239" s="125">
        <v>0</v>
      </c>
    </row>
    <row r="240" spans="1:12" ht="13" x14ac:dyDescent="0.3">
      <c r="A240" s="127">
        <v>38700</v>
      </c>
      <c r="B240" s="1" t="s">
        <v>692</v>
      </c>
      <c r="C240" s="1" t="s">
        <v>692</v>
      </c>
      <c r="D240" t="s">
        <v>468</v>
      </c>
      <c r="E240" t="s">
        <v>89</v>
      </c>
      <c r="F240" s="1" t="s">
        <v>693</v>
      </c>
      <c r="G240" s="1" t="s">
        <v>694</v>
      </c>
      <c r="H240" s="9">
        <v>0</v>
      </c>
      <c r="I240" s="9">
        <v>0</v>
      </c>
      <c r="J240" s="9">
        <v>0</v>
      </c>
      <c r="K240" s="9">
        <v>0</v>
      </c>
      <c r="L240" s="125">
        <v>0</v>
      </c>
    </row>
    <row r="241" spans="1:12" ht="13" x14ac:dyDescent="0.3">
      <c r="A241" s="127">
        <v>38700</v>
      </c>
      <c r="B241" s="1" t="s">
        <v>692</v>
      </c>
      <c r="C241" s="1" t="s">
        <v>692</v>
      </c>
      <c r="D241" t="s">
        <v>495</v>
      </c>
      <c r="E241" t="s">
        <v>89</v>
      </c>
      <c r="F241" s="1" t="s">
        <v>693</v>
      </c>
      <c r="G241" s="1" t="s">
        <v>694</v>
      </c>
      <c r="H241" s="9">
        <v>0</v>
      </c>
      <c r="I241" s="9">
        <v>0</v>
      </c>
      <c r="J241" s="9">
        <v>0</v>
      </c>
      <c r="K241" s="9">
        <v>0</v>
      </c>
      <c r="L241" s="125">
        <v>0</v>
      </c>
    </row>
    <row r="242" spans="1:12" ht="13" x14ac:dyDescent="0.3">
      <c r="A242" s="127">
        <v>38700</v>
      </c>
      <c r="B242" s="1" t="s">
        <v>692</v>
      </c>
      <c r="C242" s="1" t="s">
        <v>692</v>
      </c>
      <c r="D242" t="s">
        <v>531</v>
      </c>
      <c r="E242" t="s">
        <v>89</v>
      </c>
      <c r="F242" s="1" t="s">
        <v>693</v>
      </c>
      <c r="G242" s="1" t="s">
        <v>694</v>
      </c>
      <c r="H242" s="9">
        <v>0</v>
      </c>
      <c r="I242" s="9">
        <v>0</v>
      </c>
      <c r="J242" s="9">
        <v>0</v>
      </c>
      <c r="K242" s="9">
        <v>0</v>
      </c>
      <c r="L242" s="125">
        <v>0</v>
      </c>
    </row>
    <row r="243" spans="1:12" ht="13" x14ac:dyDescent="0.3">
      <c r="A243" s="127">
        <v>38700</v>
      </c>
      <c r="B243" s="1" t="s">
        <v>692</v>
      </c>
      <c r="C243" s="1" t="s">
        <v>692</v>
      </c>
      <c r="D243" t="s">
        <v>568</v>
      </c>
      <c r="E243" t="s">
        <v>89</v>
      </c>
      <c r="F243" s="1" t="s">
        <v>693</v>
      </c>
      <c r="G243" s="1" t="s">
        <v>694</v>
      </c>
      <c r="H243" s="9">
        <v>0</v>
      </c>
      <c r="I243" s="9">
        <v>0</v>
      </c>
      <c r="J243" s="9">
        <v>0</v>
      </c>
      <c r="K243" s="9">
        <v>0</v>
      </c>
      <c r="L243" s="125">
        <v>0</v>
      </c>
    </row>
    <row r="244" spans="1:12" ht="13" x14ac:dyDescent="0.3">
      <c r="A244" s="127">
        <v>38700</v>
      </c>
      <c r="B244" s="1" t="s">
        <v>692</v>
      </c>
      <c r="C244" s="1" t="s">
        <v>692</v>
      </c>
      <c r="D244" t="s">
        <v>598</v>
      </c>
      <c r="E244" t="s">
        <v>89</v>
      </c>
      <c r="F244" s="1" t="s">
        <v>693</v>
      </c>
      <c r="G244" s="1" t="s">
        <v>694</v>
      </c>
      <c r="H244" s="9">
        <v>0</v>
      </c>
      <c r="I244" s="9">
        <v>0</v>
      </c>
      <c r="J244" s="9">
        <v>0</v>
      </c>
      <c r="K244" s="9">
        <v>0</v>
      </c>
      <c r="L244" s="125">
        <v>0</v>
      </c>
    </row>
    <row r="245" spans="1:12" ht="13" x14ac:dyDescent="0.3">
      <c r="A245" s="127">
        <v>38700</v>
      </c>
      <c r="B245" s="1" t="s">
        <v>692</v>
      </c>
      <c r="C245" s="1" t="s">
        <v>692</v>
      </c>
      <c r="D245" t="s">
        <v>630</v>
      </c>
      <c r="E245" t="s">
        <v>89</v>
      </c>
      <c r="F245" s="1" t="s">
        <v>693</v>
      </c>
      <c r="G245" s="1" t="s">
        <v>694</v>
      </c>
      <c r="H245" s="9">
        <v>0</v>
      </c>
      <c r="I245" s="9">
        <v>0</v>
      </c>
      <c r="J245" s="9">
        <v>0</v>
      </c>
      <c r="K245" s="9">
        <v>0</v>
      </c>
      <c r="L245" s="125">
        <v>0</v>
      </c>
    </row>
    <row r="246" spans="1:12" ht="13" x14ac:dyDescent="0.3">
      <c r="A246" s="127">
        <v>39000</v>
      </c>
      <c r="B246" s="1" t="s">
        <v>692</v>
      </c>
      <c r="C246" s="1" t="s">
        <v>692</v>
      </c>
      <c r="D246" t="s">
        <v>203</v>
      </c>
      <c r="E246" t="s">
        <v>89</v>
      </c>
      <c r="F246" s="1" t="s">
        <v>693</v>
      </c>
      <c r="G246" s="1" t="s">
        <v>694</v>
      </c>
      <c r="H246" s="9">
        <v>0</v>
      </c>
      <c r="I246" s="9">
        <v>0</v>
      </c>
      <c r="J246" s="9">
        <v>0</v>
      </c>
      <c r="K246" s="9">
        <v>0</v>
      </c>
      <c r="L246" s="125">
        <v>0</v>
      </c>
    </row>
    <row r="247" spans="1:12" ht="13" x14ac:dyDescent="0.3">
      <c r="A247" s="127">
        <v>39000</v>
      </c>
      <c r="B247" s="1" t="s">
        <v>692</v>
      </c>
      <c r="C247" s="1" t="s">
        <v>692</v>
      </c>
      <c r="D247" t="s">
        <v>325</v>
      </c>
      <c r="E247" t="s">
        <v>89</v>
      </c>
      <c r="F247" s="1" t="s">
        <v>693</v>
      </c>
      <c r="G247" s="1" t="s">
        <v>694</v>
      </c>
      <c r="H247" s="9">
        <v>0</v>
      </c>
      <c r="I247" s="9">
        <v>0</v>
      </c>
      <c r="J247" s="9">
        <v>0</v>
      </c>
      <c r="K247" s="9">
        <v>0</v>
      </c>
      <c r="L247" s="125">
        <v>0</v>
      </c>
    </row>
    <row r="248" spans="1:12" ht="13" x14ac:dyDescent="0.3">
      <c r="A248" s="127">
        <v>39000</v>
      </c>
      <c r="B248" s="1" t="s">
        <v>692</v>
      </c>
      <c r="C248" s="1" t="s">
        <v>692</v>
      </c>
      <c r="D248" t="s">
        <v>355</v>
      </c>
      <c r="E248" t="s">
        <v>89</v>
      </c>
      <c r="F248" s="1" t="s">
        <v>693</v>
      </c>
      <c r="G248" s="1" t="s">
        <v>694</v>
      </c>
      <c r="H248" s="9">
        <v>0</v>
      </c>
      <c r="I248" s="9">
        <v>0</v>
      </c>
      <c r="J248" s="9">
        <v>0</v>
      </c>
      <c r="K248" s="9">
        <v>0</v>
      </c>
      <c r="L248" s="125">
        <v>0</v>
      </c>
    </row>
    <row r="249" spans="1:12" ht="13" x14ac:dyDescent="0.3">
      <c r="A249" s="127">
        <v>39000</v>
      </c>
      <c r="B249" s="1" t="s">
        <v>692</v>
      </c>
      <c r="C249" s="1" t="s">
        <v>692</v>
      </c>
      <c r="D249" t="s">
        <v>496</v>
      </c>
      <c r="E249" t="s">
        <v>89</v>
      </c>
      <c r="F249" s="1" t="s">
        <v>693</v>
      </c>
      <c r="G249" s="1" t="s">
        <v>694</v>
      </c>
      <c r="H249" s="9">
        <v>0</v>
      </c>
      <c r="I249" s="9">
        <v>0</v>
      </c>
      <c r="J249" s="9">
        <v>0</v>
      </c>
      <c r="K249" s="9">
        <v>0</v>
      </c>
      <c r="L249" s="125">
        <v>0</v>
      </c>
    </row>
    <row r="250" spans="1:12" ht="13" x14ac:dyDescent="0.3">
      <c r="A250" s="127">
        <v>39000</v>
      </c>
      <c r="B250" s="1" t="s">
        <v>692</v>
      </c>
      <c r="C250" s="1" t="s">
        <v>692</v>
      </c>
      <c r="D250" t="s">
        <v>532</v>
      </c>
      <c r="E250" t="s">
        <v>89</v>
      </c>
      <c r="F250" s="1" t="s">
        <v>693</v>
      </c>
      <c r="G250" s="1" t="s">
        <v>694</v>
      </c>
      <c r="H250" s="9">
        <v>0</v>
      </c>
      <c r="I250" s="9">
        <v>0</v>
      </c>
      <c r="J250" s="9">
        <v>0</v>
      </c>
      <c r="K250" s="9">
        <v>0</v>
      </c>
      <c r="L250" s="125">
        <v>0</v>
      </c>
    </row>
    <row r="251" spans="1:12" ht="13" x14ac:dyDescent="0.3">
      <c r="A251" s="127">
        <v>39000</v>
      </c>
      <c r="B251" s="1" t="s">
        <v>692</v>
      </c>
      <c r="C251" s="1" t="s">
        <v>692</v>
      </c>
      <c r="D251" t="s">
        <v>569</v>
      </c>
      <c r="E251" t="s">
        <v>89</v>
      </c>
      <c r="F251" s="1" t="s">
        <v>693</v>
      </c>
      <c r="G251" s="1" t="s">
        <v>694</v>
      </c>
      <c r="H251" s="9">
        <v>0</v>
      </c>
      <c r="I251" s="9">
        <v>0</v>
      </c>
      <c r="J251" s="9">
        <v>0</v>
      </c>
      <c r="K251" s="9">
        <v>0</v>
      </c>
      <c r="L251" s="125">
        <v>0</v>
      </c>
    </row>
    <row r="252" spans="1:12" ht="13" x14ac:dyDescent="0.3">
      <c r="A252" s="127">
        <v>39100</v>
      </c>
      <c r="B252" s="1" t="s">
        <v>692</v>
      </c>
      <c r="C252" s="1" t="s">
        <v>692</v>
      </c>
      <c r="D252" t="s">
        <v>205</v>
      </c>
      <c r="E252" t="s">
        <v>89</v>
      </c>
      <c r="F252" s="1" t="s">
        <v>693</v>
      </c>
      <c r="G252" s="1" t="s">
        <v>694</v>
      </c>
      <c r="H252" s="9">
        <v>0</v>
      </c>
      <c r="I252" s="9">
        <v>0</v>
      </c>
      <c r="J252" s="9">
        <v>0</v>
      </c>
      <c r="K252" s="9">
        <v>0</v>
      </c>
      <c r="L252" s="125">
        <v>0</v>
      </c>
    </row>
    <row r="253" spans="1:12" ht="13" x14ac:dyDescent="0.3">
      <c r="A253" s="127">
        <v>39100</v>
      </c>
      <c r="B253" s="1" t="s">
        <v>692</v>
      </c>
      <c r="C253" s="1" t="s">
        <v>692</v>
      </c>
      <c r="D253" t="s">
        <v>234</v>
      </c>
      <c r="E253" t="s">
        <v>89</v>
      </c>
      <c r="F253" s="1" t="s">
        <v>693</v>
      </c>
      <c r="G253" s="1" t="s">
        <v>694</v>
      </c>
      <c r="H253" s="9">
        <v>0</v>
      </c>
      <c r="I253" s="9">
        <v>0</v>
      </c>
      <c r="J253" s="9">
        <v>0</v>
      </c>
      <c r="K253" s="9">
        <v>0</v>
      </c>
      <c r="L253" s="125">
        <v>0</v>
      </c>
    </row>
    <row r="254" spans="1:12" ht="13" x14ac:dyDescent="0.3">
      <c r="A254" s="127">
        <v>39100</v>
      </c>
      <c r="B254" s="1" t="s">
        <v>692</v>
      </c>
      <c r="C254" s="1" t="s">
        <v>692</v>
      </c>
      <c r="D254" t="s">
        <v>266</v>
      </c>
      <c r="E254" t="s">
        <v>89</v>
      </c>
      <c r="F254" s="1" t="s">
        <v>693</v>
      </c>
      <c r="G254" s="1" t="s">
        <v>694</v>
      </c>
      <c r="H254" s="9">
        <v>0</v>
      </c>
      <c r="I254" s="9">
        <v>0</v>
      </c>
      <c r="J254" s="9">
        <v>0</v>
      </c>
      <c r="K254" s="9">
        <v>0</v>
      </c>
      <c r="L254" s="125">
        <v>0</v>
      </c>
    </row>
    <row r="255" spans="1:12" ht="13" x14ac:dyDescent="0.3">
      <c r="A255" s="127">
        <v>39100</v>
      </c>
      <c r="B255" s="1" t="s">
        <v>692</v>
      </c>
      <c r="C255" s="1" t="s">
        <v>692</v>
      </c>
      <c r="D255" t="s">
        <v>296</v>
      </c>
      <c r="E255" t="s">
        <v>89</v>
      </c>
      <c r="F255" s="1" t="s">
        <v>693</v>
      </c>
      <c r="G255" s="1" t="s">
        <v>694</v>
      </c>
      <c r="H255" s="9">
        <v>0</v>
      </c>
      <c r="I255" s="9">
        <v>0</v>
      </c>
      <c r="J255" s="9">
        <v>0</v>
      </c>
      <c r="K255" s="9">
        <v>0</v>
      </c>
      <c r="L255" s="125">
        <v>0</v>
      </c>
    </row>
    <row r="256" spans="1:12" ht="13" x14ac:dyDescent="0.3">
      <c r="A256" s="127">
        <v>39100</v>
      </c>
      <c r="B256" s="1" t="s">
        <v>692</v>
      </c>
      <c r="C256" s="1" t="s">
        <v>692</v>
      </c>
      <c r="D256" t="s">
        <v>326</v>
      </c>
      <c r="E256" t="s">
        <v>89</v>
      </c>
      <c r="F256" s="1" t="s">
        <v>693</v>
      </c>
      <c r="G256" s="1" t="s">
        <v>694</v>
      </c>
      <c r="H256" s="9">
        <v>0</v>
      </c>
      <c r="I256" s="9">
        <v>0</v>
      </c>
      <c r="J256" s="9">
        <v>0</v>
      </c>
      <c r="K256" s="9">
        <v>0</v>
      </c>
      <c r="L256" s="125">
        <v>0</v>
      </c>
    </row>
    <row r="257" spans="1:12" ht="13" x14ac:dyDescent="0.3">
      <c r="A257" s="127">
        <v>39100</v>
      </c>
      <c r="B257" s="1" t="s">
        <v>692</v>
      </c>
      <c r="C257" s="1" t="s">
        <v>692</v>
      </c>
      <c r="D257" t="s">
        <v>356</v>
      </c>
      <c r="E257" t="s">
        <v>89</v>
      </c>
      <c r="F257" s="1" t="s">
        <v>693</v>
      </c>
      <c r="G257" s="1" t="s">
        <v>694</v>
      </c>
      <c r="H257" s="9">
        <v>0</v>
      </c>
      <c r="I257" s="9">
        <v>0</v>
      </c>
      <c r="J257" s="9">
        <v>0</v>
      </c>
      <c r="K257" s="9">
        <v>0</v>
      </c>
      <c r="L257" s="125">
        <v>0</v>
      </c>
    </row>
    <row r="258" spans="1:12" ht="13" x14ac:dyDescent="0.3">
      <c r="A258" s="127">
        <v>39100</v>
      </c>
      <c r="B258" s="1" t="s">
        <v>692</v>
      </c>
      <c r="C258" s="1" t="s">
        <v>692</v>
      </c>
      <c r="D258" t="s">
        <v>388</v>
      </c>
      <c r="E258" t="s">
        <v>89</v>
      </c>
      <c r="F258" s="1" t="s">
        <v>693</v>
      </c>
      <c r="G258" s="1" t="s">
        <v>694</v>
      </c>
      <c r="H258" s="9">
        <v>0</v>
      </c>
      <c r="I258" s="9">
        <v>0</v>
      </c>
      <c r="J258" s="9">
        <v>0</v>
      </c>
      <c r="K258" s="9">
        <v>0</v>
      </c>
      <c r="L258" s="125">
        <v>0</v>
      </c>
    </row>
    <row r="259" spans="1:12" ht="13" x14ac:dyDescent="0.3">
      <c r="A259" s="127">
        <v>39100</v>
      </c>
      <c r="B259" s="1" t="s">
        <v>692</v>
      </c>
      <c r="C259" s="1" t="s">
        <v>692</v>
      </c>
      <c r="D259" t="s">
        <v>416</v>
      </c>
      <c r="E259" t="s">
        <v>89</v>
      </c>
      <c r="F259" s="1" t="s">
        <v>693</v>
      </c>
      <c r="G259" s="1" t="s">
        <v>694</v>
      </c>
      <c r="H259" s="9">
        <v>0</v>
      </c>
      <c r="I259" s="9">
        <v>0</v>
      </c>
      <c r="J259" s="9">
        <v>0</v>
      </c>
      <c r="K259" s="9">
        <v>0</v>
      </c>
      <c r="L259" s="125">
        <v>0</v>
      </c>
    </row>
    <row r="260" spans="1:12" ht="13" x14ac:dyDescent="0.3">
      <c r="A260" s="127">
        <v>39100</v>
      </c>
      <c r="B260" s="1" t="s">
        <v>692</v>
      </c>
      <c r="C260" s="1" t="s">
        <v>692</v>
      </c>
      <c r="D260" t="s">
        <v>442</v>
      </c>
      <c r="E260" t="s">
        <v>89</v>
      </c>
      <c r="F260" s="1" t="s">
        <v>693</v>
      </c>
      <c r="G260" s="1" t="s">
        <v>694</v>
      </c>
      <c r="H260" s="9">
        <v>0</v>
      </c>
      <c r="I260" s="9">
        <v>0</v>
      </c>
      <c r="J260" s="9">
        <v>0</v>
      </c>
      <c r="K260" s="9">
        <v>0</v>
      </c>
      <c r="L260" s="125">
        <v>0</v>
      </c>
    </row>
    <row r="261" spans="1:12" ht="13" x14ac:dyDescent="0.3">
      <c r="A261" s="127">
        <v>39100</v>
      </c>
      <c r="B261" s="1" t="s">
        <v>692</v>
      </c>
      <c r="C261" s="1" t="s">
        <v>692</v>
      </c>
      <c r="D261" t="s">
        <v>469</v>
      </c>
      <c r="E261" t="s">
        <v>89</v>
      </c>
      <c r="F261" s="1" t="s">
        <v>693</v>
      </c>
      <c r="G261" s="1" t="s">
        <v>694</v>
      </c>
      <c r="H261" s="9">
        <v>0</v>
      </c>
      <c r="I261" s="9">
        <v>0</v>
      </c>
      <c r="J261" s="9">
        <v>0</v>
      </c>
      <c r="K261" s="9">
        <v>0</v>
      </c>
      <c r="L261" s="125">
        <v>0</v>
      </c>
    </row>
    <row r="262" spans="1:12" ht="13" x14ac:dyDescent="0.3">
      <c r="A262" s="127">
        <v>39100</v>
      </c>
      <c r="B262" s="1" t="s">
        <v>692</v>
      </c>
      <c r="C262" s="1" t="s">
        <v>692</v>
      </c>
      <c r="D262" t="s">
        <v>498</v>
      </c>
      <c r="E262" t="s">
        <v>89</v>
      </c>
      <c r="F262" s="1" t="s">
        <v>693</v>
      </c>
      <c r="G262" s="1" t="s">
        <v>694</v>
      </c>
      <c r="H262" s="9">
        <v>0</v>
      </c>
      <c r="I262" s="9">
        <v>0</v>
      </c>
      <c r="J262" s="9">
        <v>0</v>
      </c>
      <c r="K262" s="9">
        <v>0</v>
      </c>
      <c r="L262" s="125">
        <v>0</v>
      </c>
    </row>
    <row r="263" spans="1:12" ht="13" x14ac:dyDescent="0.3">
      <c r="A263" s="127">
        <v>39100</v>
      </c>
      <c r="B263" s="1" t="s">
        <v>692</v>
      </c>
      <c r="C263" s="1" t="s">
        <v>692</v>
      </c>
      <c r="D263" t="s">
        <v>533</v>
      </c>
      <c r="E263" t="s">
        <v>89</v>
      </c>
      <c r="F263" s="1" t="s">
        <v>693</v>
      </c>
      <c r="G263" s="1" t="s">
        <v>694</v>
      </c>
      <c r="H263" s="9">
        <v>0</v>
      </c>
      <c r="I263" s="9">
        <v>0</v>
      </c>
      <c r="J263" s="9">
        <v>0</v>
      </c>
      <c r="K263" s="9">
        <v>0</v>
      </c>
      <c r="L263" s="125">
        <v>0</v>
      </c>
    </row>
    <row r="264" spans="1:12" ht="13" x14ac:dyDescent="0.3">
      <c r="A264" s="127">
        <v>39100</v>
      </c>
      <c r="B264" s="1" t="s">
        <v>692</v>
      </c>
      <c r="C264" s="1" t="s">
        <v>692</v>
      </c>
      <c r="D264" t="s">
        <v>570</v>
      </c>
      <c r="E264" t="s">
        <v>89</v>
      </c>
      <c r="F264" s="1" t="s">
        <v>693</v>
      </c>
      <c r="G264" s="1" t="s">
        <v>694</v>
      </c>
      <c r="H264" s="9">
        <v>0</v>
      </c>
      <c r="I264" s="9">
        <v>0</v>
      </c>
      <c r="J264" s="9">
        <v>0</v>
      </c>
      <c r="K264" s="9">
        <v>0</v>
      </c>
      <c r="L264" s="125">
        <v>0</v>
      </c>
    </row>
    <row r="265" spans="1:12" ht="13" x14ac:dyDescent="0.3">
      <c r="A265" s="127">
        <v>39100</v>
      </c>
      <c r="B265" s="1" t="s">
        <v>692</v>
      </c>
      <c r="C265" s="1" t="s">
        <v>692</v>
      </c>
      <c r="D265" t="s">
        <v>599</v>
      </c>
      <c r="E265" t="s">
        <v>89</v>
      </c>
      <c r="F265" s="1" t="s">
        <v>693</v>
      </c>
      <c r="G265" s="1" t="s">
        <v>694</v>
      </c>
      <c r="H265" s="9">
        <v>0</v>
      </c>
      <c r="I265" s="9">
        <v>0</v>
      </c>
      <c r="J265" s="9">
        <v>0</v>
      </c>
      <c r="K265" s="9">
        <v>0</v>
      </c>
      <c r="L265" s="125">
        <v>0</v>
      </c>
    </row>
    <row r="266" spans="1:12" ht="13" x14ac:dyDescent="0.3">
      <c r="A266" s="127">
        <v>39100</v>
      </c>
      <c r="B266" s="1" t="s">
        <v>692</v>
      </c>
      <c r="C266" s="1" t="s">
        <v>692</v>
      </c>
      <c r="D266" t="s">
        <v>613</v>
      </c>
      <c r="E266" t="s">
        <v>89</v>
      </c>
      <c r="F266" s="1" t="s">
        <v>693</v>
      </c>
      <c r="G266" s="1" t="s">
        <v>694</v>
      </c>
      <c r="H266" s="9">
        <v>0</v>
      </c>
      <c r="I266" s="9">
        <v>0</v>
      </c>
      <c r="J266" s="9">
        <v>0</v>
      </c>
      <c r="K266" s="9">
        <v>0</v>
      </c>
      <c r="L266" s="125">
        <v>0</v>
      </c>
    </row>
    <row r="267" spans="1:12" ht="13" x14ac:dyDescent="0.3">
      <c r="A267" s="127">
        <v>39100</v>
      </c>
      <c r="B267" s="1" t="s">
        <v>692</v>
      </c>
      <c r="C267" s="1" t="s">
        <v>692</v>
      </c>
      <c r="D267" t="s">
        <v>632</v>
      </c>
      <c r="E267" t="s">
        <v>89</v>
      </c>
      <c r="F267" s="1" t="s">
        <v>693</v>
      </c>
      <c r="G267" s="1" t="s">
        <v>694</v>
      </c>
      <c r="H267" s="9">
        <v>0</v>
      </c>
      <c r="I267" s="9">
        <v>0</v>
      </c>
      <c r="J267" s="9">
        <v>0</v>
      </c>
      <c r="K267" s="9">
        <v>0</v>
      </c>
      <c r="L267" s="125">
        <v>0</v>
      </c>
    </row>
    <row r="268" spans="1:12" ht="13" x14ac:dyDescent="0.3">
      <c r="A268" s="127">
        <v>39101</v>
      </c>
      <c r="B268" s="1" t="s">
        <v>692</v>
      </c>
      <c r="C268" s="1" t="s">
        <v>692</v>
      </c>
      <c r="D268" t="s">
        <v>206</v>
      </c>
      <c r="E268" t="s">
        <v>89</v>
      </c>
      <c r="F268" s="1" t="s">
        <v>693</v>
      </c>
      <c r="G268" s="1" t="s">
        <v>694</v>
      </c>
      <c r="H268" s="9">
        <v>0</v>
      </c>
      <c r="I268" s="9">
        <v>0</v>
      </c>
      <c r="J268" s="9">
        <v>0</v>
      </c>
      <c r="K268" s="9">
        <v>0</v>
      </c>
      <c r="L268" s="125">
        <v>0</v>
      </c>
    </row>
    <row r="269" spans="1:12" ht="13" x14ac:dyDescent="0.3">
      <c r="A269" s="127">
        <v>39101</v>
      </c>
      <c r="B269" s="1" t="s">
        <v>692</v>
      </c>
      <c r="C269" s="1" t="s">
        <v>692</v>
      </c>
      <c r="D269" t="s">
        <v>235</v>
      </c>
      <c r="E269" t="s">
        <v>89</v>
      </c>
      <c r="F269" s="1" t="s">
        <v>693</v>
      </c>
      <c r="G269" s="1" t="s">
        <v>694</v>
      </c>
      <c r="H269" s="9">
        <v>0</v>
      </c>
      <c r="I269" s="9">
        <v>0</v>
      </c>
      <c r="J269" s="9">
        <v>0</v>
      </c>
      <c r="K269" s="9">
        <v>0</v>
      </c>
      <c r="L269" s="125">
        <v>0</v>
      </c>
    </row>
    <row r="270" spans="1:12" ht="13" x14ac:dyDescent="0.3">
      <c r="A270" s="127">
        <v>39101</v>
      </c>
      <c r="B270" s="1" t="s">
        <v>692</v>
      </c>
      <c r="C270" s="1" t="s">
        <v>692</v>
      </c>
      <c r="D270" t="s">
        <v>267</v>
      </c>
      <c r="E270" t="s">
        <v>89</v>
      </c>
      <c r="F270" s="1" t="s">
        <v>693</v>
      </c>
      <c r="G270" s="1" t="s">
        <v>694</v>
      </c>
      <c r="H270" s="9">
        <v>0</v>
      </c>
      <c r="I270" s="9">
        <v>0</v>
      </c>
      <c r="J270" s="9">
        <v>0</v>
      </c>
      <c r="K270" s="9">
        <v>0</v>
      </c>
      <c r="L270" s="125">
        <v>0</v>
      </c>
    </row>
    <row r="271" spans="1:12" ht="13" x14ac:dyDescent="0.3">
      <c r="A271" s="127">
        <v>39101</v>
      </c>
      <c r="B271" s="1" t="s">
        <v>692</v>
      </c>
      <c r="C271" s="1" t="s">
        <v>692</v>
      </c>
      <c r="D271" t="s">
        <v>297</v>
      </c>
      <c r="E271" t="s">
        <v>89</v>
      </c>
      <c r="F271" s="1" t="s">
        <v>693</v>
      </c>
      <c r="G271" s="1" t="s">
        <v>694</v>
      </c>
      <c r="H271" s="9">
        <v>0</v>
      </c>
      <c r="I271" s="9">
        <v>0</v>
      </c>
      <c r="J271" s="9">
        <v>0</v>
      </c>
      <c r="K271" s="9">
        <v>0</v>
      </c>
      <c r="L271" s="125">
        <v>0</v>
      </c>
    </row>
    <row r="272" spans="1:12" ht="13" x14ac:dyDescent="0.3">
      <c r="A272" s="127">
        <v>39101</v>
      </c>
      <c r="B272" s="1" t="s">
        <v>692</v>
      </c>
      <c r="C272" s="1" t="s">
        <v>692</v>
      </c>
      <c r="D272" t="s">
        <v>327</v>
      </c>
      <c r="E272" t="s">
        <v>89</v>
      </c>
      <c r="F272" s="1" t="s">
        <v>693</v>
      </c>
      <c r="G272" s="1" t="s">
        <v>694</v>
      </c>
      <c r="H272" s="9">
        <v>0</v>
      </c>
      <c r="I272" s="9">
        <v>0</v>
      </c>
      <c r="J272" s="9">
        <v>0</v>
      </c>
      <c r="K272" s="9">
        <v>0</v>
      </c>
      <c r="L272" s="125">
        <v>0</v>
      </c>
    </row>
    <row r="273" spans="1:12" ht="13" x14ac:dyDescent="0.3">
      <c r="A273" s="127">
        <v>39101</v>
      </c>
      <c r="B273" s="1" t="s">
        <v>692</v>
      </c>
      <c r="C273" s="1" t="s">
        <v>692</v>
      </c>
      <c r="D273" t="s">
        <v>357</v>
      </c>
      <c r="E273" t="s">
        <v>89</v>
      </c>
      <c r="F273" s="1" t="s">
        <v>693</v>
      </c>
      <c r="G273" s="1" t="s">
        <v>694</v>
      </c>
      <c r="H273" s="9">
        <v>0</v>
      </c>
      <c r="I273" s="9">
        <v>0</v>
      </c>
      <c r="J273" s="9">
        <v>0</v>
      </c>
      <c r="K273" s="9">
        <v>0</v>
      </c>
      <c r="L273" s="125">
        <v>0</v>
      </c>
    </row>
    <row r="274" spans="1:12" ht="13" x14ac:dyDescent="0.3">
      <c r="A274" s="127">
        <v>39101</v>
      </c>
      <c r="B274" s="1" t="s">
        <v>692</v>
      </c>
      <c r="C274" s="1" t="s">
        <v>692</v>
      </c>
      <c r="D274" t="s">
        <v>389</v>
      </c>
      <c r="E274" t="s">
        <v>89</v>
      </c>
      <c r="F274" s="1" t="s">
        <v>693</v>
      </c>
      <c r="G274" s="1" t="s">
        <v>694</v>
      </c>
      <c r="H274" s="9">
        <v>0</v>
      </c>
      <c r="I274" s="9">
        <v>0</v>
      </c>
      <c r="J274" s="9">
        <v>0</v>
      </c>
      <c r="K274" s="9">
        <v>0</v>
      </c>
      <c r="L274" s="125">
        <v>0</v>
      </c>
    </row>
    <row r="275" spans="1:12" ht="13" x14ac:dyDescent="0.3">
      <c r="A275" s="127">
        <v>39101</v>
      </c>
      <c r="B275" s="1" t="s">
        <v>692</v>
      </c>
      <c r="C275" s="1" t="s">
        <v>692</v>
      </c>
      <c r="D275" t="s">
        <v>417</v>
      </c>
      <c r="E275" t="s">
        <v>89</v>
      </c>
      <c r="F275" s="1" t="s">
        <v>693</v>
      </c>
      <c r="G275" s="1" t="s">
        <v>694</v>
      </c>
      <c r="H275" s="9">
        <v>0</v>
      </c>
      <c r="I275" s="9">
        <v>0</v>
      </c>
      <c r="J275" s="9">
        <v>0</v>
      </c>
      <c r="K275" s="9">
        <v>0</v>
      </c>
      <c r="L275" s="125">
        <v>0</v>
      </c>
    </row>
    <row r="276" spans="1:12" ht="13" x14ac:dyDescent="0.3">
      <c r="A276" s="127">
        <v>39101</v>
      </c>
      <c r="B276" s="1" t="s">
        <v>692</v>
      </c>
      <c r="C276" s="1" t="s">
        <v>692</v>
      </c>
      <c r="D276" t="s">
        <v>443</v>
      </c>
      <c r="E276" t="s">
        <v>89</v>
      </c>
      <c r="F276" s="1" t="s">
        <v>693</v>
      </c>
      <c r="G276" s="1" t="s">
        <v>694</v>
      </c>
      <c r="H276" s="9">
        <v>0</v>
      </c>
      <c r="I276" s="9">
        <v>0</v>
      </c>
      <c r="J276" s="9">
        <v>0</v>
      </c>
      <c r="K276" s="9">
        <v>0</v>
      </c>
      <c r="L276" s="125">
        <v>0</v>
      </c>
    </row>
    <row r="277" spans="1:12" ht="13" x14ac:dyDescent="0.3">
      <c r="A277" s="127">
        <v>39101</v>
      </c>
      <c r="B277" s="1" t="s">
        <v>692</v>
      </c>
      <c r="C277" s="1" t="s">
        <v>692</v>
      </c>
      <c r="D277" t="s">
        <v>470</v>
      </c>
      <c r="E277" t="s">
        <v>89</v>
      </c>
      <c r="F277" s="1" t="s">
        <v>693</v>
      </c>
      <c r="G277" s="1" t="s">
        <v>694</v>
      </c>
      <c r="H277" s="9">
        <v>0</v>
      </c>
      <c r="I277" s="9">
        <v>0</v>
      </c>
      <c r="J277" s="9">
        <v>0</v>
      </c>
      <c r="K277" s="9">
        <v>0</v>
      </c>
      <c r="L277" s="125">
        <v>0</v>
      </c>
    </row>
    <row r="278" spans="1:12" ht="13" x14ac:dyDescent="0.3">
      <c r="A278" s="127">
        <v>39101</v>
      </c>
      <c r="B278" s="1" t="s">
        <v>692</v>
      </c>
      <c r="C278" s="1" t="s">
        <v>692</v>
      </c>
      <c r="D278" t="s">
        <v>499</v>
      </c>
      <c r="E278" t="s">
        <v>89</v>
      </c>
      <c r="F278" s="1" t="s">
        <v>693</v>
      </c>
      <c r="G278" s="1" t="s">
        <v>694</v>
      </c>
      <c r="H278" s="9">
        <v>0</v>
      </c>
      <c r="I278" s="9">
        <v>0</v>
      </c>
      <c r="J278" s="9">
        <v>0</v>
      </c>
      <c r="K278" s="9">
        <v>0</v>
      </c>
      <c r="L278" s="125">
        <v>0</v>
      </c>
    </row>
    <row r="279" spans="1:12" ht="13" x14ac:dyDescent="0.3">
      <c r="A279" s="127">
        <v>39101</v>
      </c>
      <c r="B279" s="1" t="s">
        <v>692</v>
      </c>
      <c r="C279" s="1" t="s">
        <v>692</v>
      </c>
      <c r="D279" t="s">
        <v>534</v>
      </c>
      <c r="E279" t="s">
        <v>89</v>
      </c>
      <c r="F279" s="1" t="s">
        <v>693</v>
      </c>
      <c r="G279" s="1" t="s">
        <v>694</v>
      </c>
      <c r="H279" s="9">
        <v>0</v>
      </c>
      <c r="I279" s="9">
        <v>0</v>
      </c>
      <c r="J279" s="9">
        <v>0</v>
      </c>
      <c r="K279" s="9">
        <v>0</v>
      </c>
      <c r="L279" s="125">
        <v>0</v>
      </c>
    </row>
    <row r="280" spans="1:12" ht="13" x14ac:dyDescent="0.3">
      <c r="A280" s="127">
        <v>39101</v>
      </c>
      <c r="B280" s="1" t="s">
        <v>692</v>
      </c>
      <c r="C280" s="1" t="s">
        <v>692</v>
      </c>
      <c r="D280" t="s">
        <v>571</v>
      </c>
      <c r="E280" t="s">
        <v>89</v>
      </c>
      <c r="F280" s="1" t="s">
        <v>693</v>
      </c>
      <c r="G280" s="1" t="s">
        <v>694</v>
      </c>
      <c r="H280" s="9">
        <v>0</v>
      </c>
      <c r="I280" s="9">
        <v>0</v>
      </c>
      <c r="J280" s="9">
        <v>0</v>
      </c>
      <c r="K280" s="9">
        <v>0</v>
      </c>
      <c r="L280" s="125">
        <v>0</v>
      </c>
    </row>
    <row r="281" spans="1:12" ht="13" x14ac:dyDescent="0.3">
      <c r="A281" s="127">
        <v>39101</v>
      </c>
      <c r="B281" s="1" t="s">
        <v>692</v>
      </c>
      <c r="C281" s="1" t="s">
        <v>692</v>
      </c>
      <c r="D281" t="s">
        <v>600</v>
      </c>
      <c r="E281" t="s">
        <v>89</v>
      </c>
      <c r="F281" s="1" t="s">
        <v>693</v>
      </c>
      <c r="G281" s="1" t="s">
        <v>694</v>
      </c>
      <c r="H281" s="9">
        <v>0</v>
      </c>
      <c r="I281" s="9">
        <v>0</v>
      </c>
      <c r="J281" s="9">
        <v>0</v>
      </c>
      <c r="K281" s="9">
        <v>0</v>
      </c>
      <c r="L281" s="125">
        <v>0</v>
      </c>
    </row>
    <row r="282" spans="1:12" ht="13" x14ac:dyDescent="0.3">
      <c r="A282" s="127">
        <v>39101</v>
      </c>
      <c r="B282" s="1" t="s">
        <v>692</v>
      </c>
      <c r="C282" s="1" t="s">
        <v>692</v>
      </c>
      <c r="D282" t="s">
        <v>614</v>
      </c>
      <c r="E282" t="s">
        <v>89</v>
      </c>
      <c r="F282" s="1" t="s">
        <v>693</v>
      </c>
      <c r="G282" s="1" t="s">
        <v>694</v>
      </c>
      <c r="H282" s="9">
        <v>0</v>
      </c>
      <c r="I282" s="9">
        <v>0</v>
      </c>
      <c r="J282" s="9">
        <v>0</v>
      </c>
      <c r="K282" s="9">
        <v>0</v>
      </c>
      <c r="L282" s="125">
        <v>0</v>
      </c>
    </row>
    <row r="283" spans="1:12" ht="13" x14ac:dyDescent="0.3">
      <c r="A283" s="127">
        <v>39101</v>
      </c>
      <c r="B283" s="1" t="s">
        <v>692</v>
      </c>
      <c r="C283" s="1" t="s">
        <v>692</v>
      </c>
      <c r="D283" t="s">
        <v>633</v>
      </c>
      <c r="E283" t="s">
        <v>89</v>
      </c>
      <c r="F283" s="1" t="s">
        <v>693</v>
      </c>
      <c r="G283" s="1" t="s">
        <v>694</v>
      </c>
      <c r="H283" s="9">
        <v>0</v>
      </c>
      <c r="I283" s="9">
        <v>0</v>
      </c>
      <c r="J283" s="9">
        <v>0</v>
      </c>
      <c r="K283" s="9">
        <v>0</v>
      </c>
      <c r="L283" s="125">
        <v>0</v>
      </c>
    </row>
    <row r="284" spans="1:12" ht="13" x14ac:dyDescent="0.3">
      <c r="A284" s="127">
        <v>39102</v>
      </c>
      <c r="B284" s="1" t="s">
        <v>692</v>
      </c>
      <c r="C284" s="1" t="s">
        <v>692</v>
      </c>
      <c r="D284" t="s">
        <v>207</v>
      </c>
      <c r="E284" t="s">
        <v>89</v>
      </c>
      <c r="F284" s="1" t="s">
        <v>693</v>
      </c>
      <c r="G284" s="1" t="s">
        <v>694</v>
      </c>
      <c r="H284" s="9">
        <v>0</v>
      </c>
      <c r="I284" s="9">
        <v>0</v>
      </c>
      <c r="J284" s="9">
        <v>0</v>
      </c>
      <c r="K284" s="9">
        <v>0</v>
      </c>
      <c r="L284" s="125">
        <v>0</v>
      </c>
    </row>
    <row r="285" spans="1:12" ht="13" x14ac:dyDescent="0.3">
      <c r="A285" s="127">
        <v>39102</v>
      </c>
      <c r="B285" s="1" t="s">
        <v>692</v>
      </c>
      <c r="C285" s="1" t="s">
        <v>692</v>
      </c>
      <c r="D285" t="s">
        <v>236</v>
      </c>
      <c r="E285" t="s">
        <v>89</v>
      </c>
      <c r="F285" s="1" t="s">
        <v>693</v>
      </c>
      <c r="G285" s="1" t="s">
        <v>694</v>
      </c>
      <c r="H285" s="9">
        <v>0</v>
      </c>
      <c r="I285" s="9">
        <v>0</v>
      </c>
      <c r="J285" s="9">
        <v>0</v>
      </c>
      <c r="K285" s="9">
        <v>0</v>
      </c>
      <c r="L285" s="125">
        <v>0</v>
      </c>
    </row>
    <row r="286" spans="1:12" ht="13" x14ac:dyDescent="0.3">
      <c r="A286" s="127">
        <v>39102</v>
      </c>
      <c r="B286" s="1" t="s">
        <v>692</v>
      </c>
      <c r="C286" s="1" t="s">
        <v>692</v>
      </c>
      <c r="D286" t="s">
        <v>268</v>
      </c>
      <c r="E286" t="s">
        <v>89</v>
      </c>
      <c r="F286" s="1" t="s">
        <v>693</v>
      </c>
      <c r="G286" s="1" t="s">
        <v>694</v>
      </c>
      <c r="H286" s="9">
        <v>0</v>
      </c>
      <c r="I286" s="9">
        <v>0</v>
      </c>
      <c r="J286" s="9">
        <v>0</v>
      </c>
      <c r="K286" s="9">
        <v>0</v>
      </c>
      <c r="L286" s="125">
        <v>0</v>
      </c>
    </row>
    <row r="287" spans="1:12" ht="13" x14ac:dyDescent="0.3">
      <c r="A287" s="127">
        <v>39102</v>
      </c>
      <c r="B287" s="1" t="s">
        <v>692</v>
      </c>
      <c r="C287" s="1" t="s">
        <v>692</v>
      </c>
      <c r="D287" t="s">
        <v>298</v>
      </c>
      <c r="E287" t="s">
        <v>89</v>
      </c>
      <c r="F287" s="1" t="s">
        <v>693</v>
      </c>
      <c r="G287" s="1" t="s">
        <v>694</v>
      </c>
      <c r="H287" s="9">
        <v>0</v>
      </c>
      <c r="I287" s="9">
        <v>0</v>
      </c>
      <c r="J287" s="9">
        <v>0</v>
      </c>
      <c r="K287" s="9">
        <v>0</v>
      </c>
      <c r="L287" s="125">
        <v>0</v>
      </c>
    </row>
    <row r="288" spans="1:12" ht="13" x14ac:dyDescent="0.3">
      <c r="A288" s="127">
        <v>39102</v>
      </c>
      <c r="B288" s="1" t="s">
        <v>692</v>
      </c>
      <c r="C288" s="1" t="s">
        <v>692</v>
      </c>
      <c r="D288" t="s">
        <v>328</v>
      </c>
      <c r="E288" t="s">
        <v>89</v>
      </c>
      <c r="F288" s="1" t="s">
        <v>693</v>
      </c>
      <c r="G288" s="1" t="s">
        <v>694</v>
      </c>
      <c r="H288" s="9">
        <v>0</v>
      </c>
      <c r="I288" s="9">
        <v>0</v>
      </c>
      <c r="J288" s="9">
        <v>0</v>
      </c>
      <c r="K288" s="9">
        <v>0</v>
      </c>
      <c r="L288" s="125">
        <v>0</v>
      </c>
    </row>
    <row r="289" spans="1:12" ht="13" x14ac:dyDescent="0.3">
      <c r="A289" s="127">
        <v>39102</v>
      </c>
      <c r="B289" s="1" t="s">
        <v>692</v>
      </c>
      <c r="C289" s="1" t="s">
        <v>692</v>
      </c>
      <c r="D289" t="s">
        <v>358</v>
      </c>
      <c r="E289" t="s">
        <v>89</v>
      </c>
      <c r="F289" s="1" t="s">
        <v>693</v>
      </c>
      <c r="G289" s="1" t="s">
        <v>694</v>
      </c>
      <c r="H289" s="9">
        <v>0</v>
      </c>
      <c r="I289" s="9">
        <v>0</v>
      </c>
      <c r="J289" s="9">
        <v>0</v>
      </c>
      <c r="K289" s="9">
        <v>0</v>
      </c>
      <c r="L289" s="125">
        <v>0</v>
      </c>
    </row>
    <row r="290" spans="1:12" ht="13" x14ac:dyDescent="0.3">
      <c r="A290" s="127">
        <v>39102</v>
      </c>
      <c r="B290" s="1" t="s">
        <v>692</v>
      </c>
      <c r="C290" s="1" t="s">
        <v>692</v>
      </c>
      <c r="D290" t="s">
        <v>390</v>
      </c>
      <c r="E290" t="s">
        <v>89</v>
      </c>
      <c r="F290" s="1" t="s">
        <v>693</v>
      </c>
      <c r="G290" s="1" t="s">
        <v>694</v>
      </c>
      <c r="H290" s="9">
        <v>0</v>
      </c>
      <c r="I290" s="9">
        <v>0</v>
      </c>
      <c r="J290" s="9">
        <v>0</v>
      </c>
      <c r="K290" s="9">
        <v>0</v>
      </c>
      <c r="L290" s="125">
        <v>0</v>
      </c>
    </row>
    <row r="291" spans="1:12" ht="13" x14ac:dyDescent="0.3">
      <c r="A291" s="127">
        <v>39102</v>
      </c>
      <c r="B291" s="1" t="s">
        <v>692</v>
      </c>
      <c r="C291" s="1" t="s">
        <v>692</v>
      </c>
      <c r="D291" t="s">
        <v>418</v>
      </c>
      <c r="E291" t="s">
        <v>89</v>
      </c>
      <c r="F291" s="1" t="s">
        <v>693</v>
      </c>
      <c r="G291" s="1" t="s">
        <v>694</v>
      </c>
      <c r="H291" s="9">
        <v>0</v>
      </c>
      <c r="I291" s="9">
        <v>0</v>
      </c>
      <c r="J291" s="9">
        <v>0</v>
      </c>
      <c r="K291" s="9">
        <v>0</v>
      </c>
      <c r="L291" s="125">
        <v>0</v>
      </c>
    </row>
    <row r="292" spans="1:12" ht="13" x14ac:dyDescent="0.3">
      <c r="A292" s="127">
        <v>39102</v>
      </c>
      <c r="B292" s="1" t="s">
        <v>692</v>
      </c>
      <c r="C292" s="1" t="s">
        <v>692</v>
      </c>
      <c r="D292" t="s">
        <v>444</v>
      </c>
      <c r="E292" t="s">
        <v>89</v>
      </c>
      <c r="F292" s="1" t="s">
        <v>693</v>
      </c>
      <c r="G292" s="1" t="s">
        <v>694</v>
      </c>
      <c r="H292" s="9">
        <v>0</v>
      </c>
      <c r="I292" s="9">
        <v>0</v>
      </c>
      <c r="J292" s="9">
        <v>0</v>
      </c>
      <c r="K292" s="9">
        <v>0</v>
      </c>
      <c r="L292" s="125">
        <v>0</v>
      </c>
    </row>
    <row r="293" spans="1:12" ht="13" x14ac:dyDescent="0.3">
      <c r="A293" s="127">
        <v>39102</v>
      </c>
      <c r="B293" s="1" t="s">
        <v>692</v>
      </c>
      <c r="C293" s="1" t="s">
        <v>692</v>
      </c>
      <c r="D293" t="s">
        <v>471</v>
      </c>
      <c r="E293" t="s">
        <v>89</v>
      </c>
      <c r="F293" s="1" t="s">
        <v>693</v>
      </c>
      <c r="G293" s="1" t="s">
        <v>694</v>
      </c>
      <c r="H293" s="9">
        <v>0</v>
      </c>
      <c r="I293" s="9">
        <v>0</v>
      </c>
      <c r="J293" s="9">
        <v>0</v>
      </c>
      <c r="K293" s="9">
        <v>0</v>
      </c>
      <c r="L293" s="125">
        <v>0</v>
      </c>
    </row>
    <row r="294" spans="1:12" ht="13" x14ac:dyDescent="0.3">
      <c r="A294" s="127">
        <v>39102</v>
      </c>
      <c r="B294" s="1" t="s">
        <v>692</v>
      </c>
      <c r="C294" s="1" t="s">
        <v>692</v>
      </c>
      <c r="D294" t="s">
        <v>500</v>
      </c>
      <c r="E294" t="s">
        <v>89</v>
      </c>
      <c r="F294" s="1" t="s">
        <v>693</v>
      </c>
      <c r="G294" s="1" t="s">
        <v>694</v>
      </c>
      <c r="H294" s="9">
        <v>0</v>
      </c>
      <c r="I294" s="9">
        <v>0</v>
      </c>
      <c r="J294" s="9">
        <v>0</v>
      </c>
      <c r="K294" s="9">
        <v>0</v>
      </c>
      <c r="L294" s="125">
        <v>0</v>
      </c>
    </row>
    <row r="295" spans="1:12" ht="13" x14ac:dyDescent="0.3">
      <c r="A295" s="127">
        <v>39102</v>
      </c>
      <c r="B295" s="1" t="s">
        <v>692</v>
      </c>
      <c r="C295" s="1" t="s">
        <v>692</v>
      </c>
      <c r="D295" t="s">
        <v>535</v>
      </c>
      <c r="E295" t="s">
        <v>89</v>
      </c>
      <c r="F295" s="1" t="s">
        <v>693</v>
      </c>
      <c r="G295" s="1" t="s">
        <v>694</v>
      </c>
      <c r="H295" s="9">
        <v>0</v>
      </c>
      <c r="I295" s="9">
        <v>0</v>
      </c>
      <c r="J295" s="9">
        <v>0</v>
      </c>
      <c r="K295" s="9">
        <v>0</v>
      </c>
      <c r="L295" s="125">
        <v>0</v>
      </c>
    </row>
    <row r="296" spans="1:12" ht="13" x14ac:dyDescent="0.3">
      <c r="A296" s="127">
        <v>39102</v>
      </c>
      <c r="B296" s="1" t="s">
        <v>692</v>
      </c>
      <c r="C296" s="1" t="s">
        <v>692</v>
      </c>
      <c r="D296" t="s">
        <v>572</v>
      </c>
      <c r="E296" t="s">
        <v>89</v>
      </c>
      <c r="F296" s="1" t="s">
        <v>693</v>
      </c>
      <c r="G296" s="1" t="s">
        <v>694</v>
      </c>
      <c r="H296" s="9">
        <v>0</v>
      </c>
      <c r="I296" s="9">
        <v>0</v>
      </c>
      <c r="J296" s="9">
        <v>0</v>
      </c>
      <c r="K296" s="9">
        <v>0</v>
      </c>
      <c r="L296" s="125">
        <v>0</v>
      </c>
    </row>
    <row r="297" spans="1:12" ht="13" x14ac:dyDescent="0.3">
      <c r="A297" s="127">
        <v>39102</v>
      </c>
      <c r="B297" s="1" t="s">
        <v>692</v>
      </c>
      <c r="C297" s="1" t="s">
        <v>692</v>
      </c>
      <c r="D297" t="s">
        <v>601</v>
      </c>
      <c r="E297" t="s">
        <v>89</v>
      </c>
      <c r="F297" s="1" t="s">
        <v>693</v>
      </c>
      <c r="G297" s="1" t="s">
        <v>694</v>
      </c>
      <c r="H297" s="9">
        <v>0</v>
      </c>
      <c r="I297" s="9">
        <v>0</v>
      </c>
      <c r="J297" s="9">
        <v>0</v>
      </c>
      <c r="K297" s="9">
        <v>0</v>
      </c>
      <c r="L297" s="125">
        <v>0</v>
      </c>
    </row>
    <row r="298" spans="1:12" ht="13" x14ac:dyDescent="0.3">
      <c r="A298" s="127">
        <v>39102</v>
      </c>
      <c r="B298" s="1" t="s">
        <v>692</v>
      </c>
      <c r="C298" s="1" t="s">
        <v>692</v>
      </c>
      <c r="D298" t="s">
        <v>615</v>
      </c>
      <c r="E298" t="s">
        <v>89</v>
      </c>
      <c r="F298" s="1" t="s">
        <v>693</v>
      </c>
      <c r="G298" s="1" t="s">
        <v>694</v>
      </c>
      <c r="H298" s="9">
        <v>0</v>
      </c>
      <c r="I298" s="9">
        <v>0</v>
      </c>
      <c r="J298" s="9">
        <v>0</v>
      </c>
      <c r="K298" s="9">
        <v>0</v>
      </c>
      <c r="L298" s="125">
        <v>0</v>
      </c>
    </row>
    <row r="299" spans="1:12" ht="13" x14ac:dyDescent="0.3">
      <c r="A299" s="127">
        <v>39102</v>
      </c>
      <c r="B299" s="1" t="s">
        <v>692</v>
      </c>
      <c r="C299" s="1" t="s">
        <v>692</v>
      </c>
      <c r="D299" t="s">
        <v>634</v>
      </c>
      <c r="E299" t="s">
        <v>89</v>
      </c>
      <c r="F299" s="1" t="s">
        <v>693</v>
      </c>
      <c r="G299" s="1" t="s">
        <v>694</v>
      </c>
      <c r="H299" s="9">
        <v>0</v>
      </c>
      <c r="I299" s="9">
        <v>0</v>
      </c>
      <c r="J299" s="9">
        <v>0</v>
      </c>
      <c r="K299" s="9">
        <v>0</v>
      </c>
      <c r="L299" s="125">
        <v>0</v>
      </c>
    </row>
    <row r="300" spans="1:12" ht="13" x14ac:dyDescent="0.3">
      <c r="A300" s="127">
        <v>39201</v>
      </c>
      <c r="B300" s="1" t="s">
        <v>692</v>
      </c>
      <c r="C300" s="1" t="s">
        <v>692</v>
      </c>
      <c r="D300" t="s">
        <v>269</v>
      </c>
      <c r="E300" t="s">
        <v>89</v>
      </c>
      <c r="F300" s="1" t="s">
        <v>693</v>
      </c>
      <c r="G300" s="1" t="s">
        <v>694</v>
      </c>
      <c r="H300" s="9">
        <v>-105.75</v>
      </c>
      <c r="I300" s="9">
        <v>0</v>
      </c>
      <c r="J300" s="9">
        <v>0</v>
      </c>
      <c r="K300" s="9">
        <v>0</v>
      </c>
      <c r="L300" s="125">
        <v>-105.75</v>
      </c>
    </row>
    <row r="301" spans="1:12" ht="13" x14ac:dyDescent="0.3">
      <c r="A301" s="127">
        <v>39201</v>
      </c>
      <c r="B301" s="1" t="s">
        <v>692</v>
      </c>
      <c r="C301" s="1" t="s">
        <v>692</v>
      </c>
      <c r="D301" t="s">
        <v>237</v>
      </c>
      <c r="E301" t="s">
        <v>89</v>
      </c>
      <c r="F301" s="1" t="s">
        <v>693</v>
      </c>
      <c r="G301" s="1" t="s">
        <v>694</v>
      </c>
      <c r="H301" s="9">
        <v>0</v>
      </c>
      <c r="I301" s="9">
        <v>0</v>
      </c>
      <c r="J301" s="9">
        <v>0</v>
      </c>
      <c r="K301" s="9">
        <v>0</v>
      </c>
      <c r="L301" s="125">
        <v>0</v>
      </c>
    </row>
    <row r="302" spans="1:12" ht="13" x14ac:dyDescent="0.3">
      <c r="A302" s="127">
        <v>39201</v>
      </c>
      <c r="B302" s="1" t="s">
        <v>692</v>
      </c>
      <c r="C302" s="1" t="s">
        <v>692</v>
      </c>
      <c r="D302" t="s">
        <v>391</v>
      </c>
      <c r="E302" t="s">
        <v>89</v>
      </c>
      <c r="F302" s="1" t="s">
        <v>693</v>
      </c>
      <c r="G302" s="1" t="s">
        <v>694</v>
      </c>
      <c r="H302" s="9">
        <v>0</v>
      </c>
      <c r="I302" s="9">
        <v>0</v>
      </c>
      <c r="J302" s="9">
        <v>0</v>
      </c>
      <c r="K302" s="9">
        <v>0</v>
      </c>
      <c r="L302" s="125">
        <v>0</v>
      </c>
    </row>
    <row r="303" spans="1:12" ht="13" x14ac:dyDescent="0.3">
      <c r="A303" s="127">
        <v>39201</v>
      </c>
      <c r="B303" s="1" t="s">
        <v>692</v>
      </c>
      <c r="C303" s="1" t="s">
        <v>692</v>
      </c>
      <c r="D303" t="s">
        <v>419</v>
      </c>
      <c r="E303" t="s">
        <v>89</v>
      </c>
      <c r="F303" s="1" t="s">
        <v>693</v>
      </c>
      <c r="G303" s="1" t="s">
        <v>694</v>
      </c>
      <c r="H303" s="9">
        <v>0</v>
      </c>
      <c r="I303" s="9">
        <v>0</v>
      </c>
      <c r="J303" s="9">
        <v>0</v>
      </c>
      <c r="K303" s="9">
        <v>0</v>
      </c>
      <c r="L303" s="125">
        <v>0</v>
      </c>
    </row>
    <row r="304" spans="1:12" ht="13" x14ac:dyDescent="0.3">
      <c r="A304" s="127">
        <v>39201</v>
      </c>
      <c r="B304" s="1" t="s">
        <v>692</v>
      </c>
      <c r="C304" s="1" t="s">
        <v>692</v>
      </c>
      <c r="D304" t="s">
        <v>445</v>
      </c>
      <c r="E304" t="s">
        <v>89</v>
      </c>
      <c r="F304" s="1" t="s">
        <v>693</v>
      </c>
      <c r="G304" s="1" t="s">
        <v>694</v>
      </c>
      <c r="H304" s="9">
        <v>0</v>
      </c>
      <c r="I304" s="9">
        <v>0</v>
      </c>
      <c r="J304" s="9">
        <v>0</v>
      </c>
      <c r="K304" s="9">
        <v>0</v>
      </c>
      <c r="L304" s="125">
        <v>0</v>
      </c>
    </row>
    <row r="305" spans="1:12" ht="13" x14ac:dyDescent="0.3">
      <c r="A305" s="127">
        <v>39201</v>
      </c>
      <c r="B305" s="1" t="s">
        <v>692</v>
      </c>
      <c r="C305" s="1" t="s">
        <v>692</v>
      </c>
      <c r="D305" t="s">
        <v>537</v>
      </c>
      <c r="E305" t="s">
        <v>89</v>
      </c>
      <c r="F305" s="1" t="s">
        <v>693</v>
      </c>
      <c r="G305" s="1" t="s">
        <v>694</v>
      </c>
      <c r="H305" s="9">
        <v>0</v>
      </c>
      <c r="I305" s="9">
        <v>0</v>
      </c>
      <c r="J305" s="9">
        <v>0</v>
      </c>
      <c r="K305" s="9">
        <v>0</v>
      </c>
      <c r="L305" s="125">
        <v>0</v>
      </c>
    </row>
    <row r="306" spans="1:12" ht="13" x14ac:dyDescent="0.3">
      <c r="A306" s="127">
        <v>39201</v>
      </c>
      <c r="B306" s="1" t="s">
        <v>692</v>
      </c>
      <c r="C306" s="1" t="s">
        <v>692</v>
      </c>
      <c r="D306" t="s">
        <v>574</v>
      </c>
      <c r="E306" t="s">
        <v>89</v>
      </c>
      <c r="F306" s="1" t="s">
        <v>693</v>
      </c>
      <c r="G306" s="1" t="s">
        <v>694</v>
      </c>
      <c r="H306" s="9">
        <v>0</v>
      </c>
      <c r="I306" s="9">
        <v>0</v>
      </c>
      <c r="J306" s="9">
        <v>0</v>
      </c>
      <c r="K306" s="9">
        <v>0</v>
      </c>
      <c r="L306" s="125">
        <v>0</v>
      </c>
    </row>
    <row r="307" spans="1:12" ht="13" x14ac:dyDescent="0.3">
      <c r="A307" s="127">
        <v>39201</v>
      </c>
      <c r="B307" s="1" t="s">
        <v>692</v>
      </c>
      <c r="C307" s="1" t="s">
        <v>692</v>
      </c>
      <c r="D307" t="s">
        <v>602</v>
      </c>
      <c r="E307" t="s">
        <v>89</v>
      </c>
      <c r="F307" s="1" t="s">
        <v>693</v>
      </c>
      <c r="G307" s="1" t="s">
        <v>694</v>
      </c>
      <c r="H307" s="9">
        <v>0</v>
      </c>
      <c r="I307" s="9">
        <v>0</v>
      </c>
      <c r="J307" s="9">
        <v>0</v>
      </c>
      <c r="K307" s="9">
        <v>0</v>
      </c>
      <c r="L307" s="125">
        <v>0</v>
      </c>
    </row>
    <row r="308" spans="1:12" ht="13" x14ac:dyDescent="0.3">
      <c r="A308" s="127">
        <v>39201</v>
      </c>
      <c r="B308" s="1" t="s">
        <v>692</v>
      </c>
      <c r="C308" s="1" t="s">
        <v>692</v>
      </c>
      <c r="D308" t="s">
        <v>635</v>
      </c>
      <c r="E308" t="s">
        <v>89</v>
      </c>
      <c r="F308" s="1" t="s">
        <v>693</v>
      </c>
      <c r="G308" s="1" t="s">
        <v>694</v>
      </c>
      <c r="H308" s="9">
        <v>10.33</v>
      </c>
      <c r="I308" s="9">
        <v>0</v>
      </c>
      <c r="J308" s="9">
        <v>0</v>
      </c>
      <c r="K308" s="9">
        <v>0</v>
      </c>
      <c r="L308" s="125">
        <v>10.33</v>
      </c>
    </row>
    <row r="309" spans="1:12" ht="13" x14ac:dyDescent="0.3">
      <c r="A309" s="127">
        <v>39201</v>
      </c>
      <c r="B309" s="1" t="s">
        <v>692</v>
      </c>
      <c r="C309" s="1" t="s">
        <v>692</v>
      </c>
      <c r="D309" t="s">
        <v>501</v>
      </c>
      <c r="E309" t="s">
        <v>89</v>
      </c>
      <c r="F309" s="1" t="s">
        <v>693</v>
      </c>
      <c r="G309" s="1" t="s">
        <v>694</v>
      </c>
      <c r="H309" s="9">
        <v>72.7</v>
      </c>
      <c r="I309" s="9">
        <v>0</v>
      </c>
      <c r="J309" s="9">
        <v>0</v>
      </c>
      <c r="K309" s="9">
        <v>0</v>
      </c>
      <c r="L309" s="125">
        <v>72.7</v>
      </c>
    </row>
    <row r="310" spans="1:12" ht="13" x14ac:dyDescent="0.3">
      <c r="A310" s="127">
        <v>39201</v>
      </c>
      <c r="B310" s="1" t="s">
        <v>692</v>
      </c>
      <c r="C310" s="1" t="s">
        <v>692</v>
      </c>
      <c r="D310" t="s">
        <v>329</v>
      </c>
      <c r="E310" t="s">
        <v>89</v>
      </c>
      <c r="F310" s="1" t="s">
        <v>693</v>
      </c>
      <c r="G310" s="1" t="s">
        <v>694</v>
      </c>
      <c r="H310" s="9">
        <v>116.3</v>
      </c>
      <c r="I310" s="9">
        <v>0</v>
      </c>
      <c r="J310" s="9">
        <v>0</v>
      </c>
      <c r="K310" s="9">
        <v>0</v>
      </c>
      <c r="L310" s="125">
        <v>116.3</v>
      </c>
    </row>
    <row r="311" spans="1:12" ht="13" x14ac:dyDescent="0.3">
      <c r="A311" s="127">
        <v>39201</v>
      </c>
      <c r="B311" s="1" t="s">
        <v>692</v>
      </c>
      <c r="C311" s="1" t="s">
        <v>692</v>
      </c>
      <c r="D311" t="s">
        <v>472</v>
      </c>
      <c r="E311" t="s">
        <v>89</v>
      </c>
      <c r="F311" s="1" t="s">
        <v>693</v>
      </c>
      <c r="G311" s="1" t="s">
        <v>694</v>
      </c>
      <c r="H311" s="9">
        <v>358.57</v>
      </c>
      <c r="I311" s="9">
        <v>0</v>
      </c>
      <c r="J311" s="9">
        <v>0</v>
      </c>
      <c r="K311" s="9">
        <v>0</v>
      </c>
      <c r="L311" s="125">
        <v>358.57</v>
      </c>
    </row>
    <row r="312" spans="1:12" ht="13" x14ac:dyDescent="0.3">
      <c r="A312" s="127">
        <v>39201</v>
      </c>
      <c r="B312" s="1" t="s">
        <v>692</v>
      </c>
      <c r="C312" s="1" t="s">
        <v>692</v>
      </c>
      <c r="D312" t="s">
        <v>359</v>
      </c>
      <c r="E312" t="s">
        <v>89</v>
      </c>
      <c r="F312" s="1" t="s">
        <v>693</v>
      </c>
      <c r="G312" s="1" t="s">
        <v>694</v>
      </c>
      <c r="H312" s="9">
        <v>742.24</v>
      </c>
      <c r="I312" s="9">
        <v>0</v>
      </c>
      <c r="J312" s="9">
        <v>0</v>
      </c>
      <c r="K312" s="9">
        <v>0</v>
      </c>
      <c r="L312" s="125">
        <v>742.24</v>
      </c>
    </row>
    <row r="313" spans="1:12" ht="13" x14ac:dyDescent="0.3">
      <c r="A313" s="127">
        <v>39201</v>
      </c>
      <c r="B313" s="1" t="s">
        <v>692</v>
      </c>
      <c r="C313" s="1" t="s">
        <v>692</v>
      </c>
      <c r="D313" t="s">
        <v>299</v>
      </c>
      <c r="E313" t="s">
        <v>89</v>
      </c>
      <c r="F313" s="1" t="s">
        <v>693</v>
      </c>
      <c r="G313" s="1" t="s">
        <v>694</v>
      </c>
      <c r="H313" s="9">
        <v>934.23</v>
      </c>
      <c r="I313" s="9">
        <v>0</v>
      </c>
      <c r="J313" s="9">
        <v>0</v>
      </c>
      <c r="K313" s="9">
        <v>0</v>
      </c>
      <c r="L313" s="125">
        <v>934.23</v>
      </c>
    </row>
    <row r="314" spans="1:12" ht="13" x14ac:dyDescent="0.3">
      <c r="A314" s="127">
        <v>39201</v>
      </c>
      <c r="B314" s="1" t="s">
        <v>692</v>
      </c>
      <c r="C314" s="1" t="s">
        <v>692</v>
      </c>
      <c r="D314" t="s">
        <v>208</v>
      </c>
      <c r="E314" t="s">
        <v>89</v>
      </c>
      <c r="F314" s="1" t="s">
        <v>693</v>
      </c>
      <c r="G314" s="1" t="s">
        <v>694</v>
      </c>
      <c r="H314" s="9">
        <v>1986.35</v>
      </c>
      <c r="I314" s="9">
        <v>0</v>
      </c>
      <c r="J314" s="9">
        <v>0</v>
      </c>
      <c r="K314" s="9">
        <v>0</v>
      </c>
      <c r="L314" s="125">
        <v>1986.35</v>
      </c>
    </row>
    <row r="315" spans="1:12" ht="13" x14ac:dyDescent="0.3">
      <c r="A315" s="127">
        <v>39202</v>
      </c>
      <c r="B315" s="1" t="s">
        <v>692</v>
      </c>
      <c r="C315" s="1" t="s">
        <v>692</v>
      </c>
      <c r="D315" t="s">
        <v>473</v>
      </c>
      <c r="E315" t="s">
        <v>89</v>
      </c>
      <c r="F315" s="1" t="s">
        <v>693</v>
      </c>
      <c r="G315" s="1" t="s">
        <v>694</v>
      </c>
      <c r="H315" s="9">
        <v>-105.75</v>
      </c>
      <c r="I315" s="9">
        <v>0</v>
      </c>
      <c r="J315" s="9">
        <v>0</v>
      </c>
      <c r="K315" s="9">
        <v>0</v>
      </c>
      <c r="L315" s="125">
        <v>-105.75</v>
      </c>
    </row>
    <row r="316" spans="1:12" ht="13" x14ac:dyDescent="0.3">
      <c r="A316" s="127">
        <v>39202</v>
      </c>
      <c r="B316" s="1" t="s">
        <v>692</v>
      </c>
      <c r="C316" s="1" t="s">
        <v>692</v>
      </c>
      <c r="D316" t="s">
        <v>209</v>
      </c>
      <c r="E316" t="s">
        <v>89</v>
      </c>
      <c r="F316" s="1" t="s">
        <v>693</v>
      </c>
      <c r="G316" s="1" t="s">
        <v>694</v>
      </c>
      <c r="H316" s="9">
        <v>0</v>
      </c>
      <c r="I316" s="9">
        <v>0</v>
      </c>
      <c r="J316" s="9">
        <v>0</v>
      </c>
      <c r="K316" s="9">
        <v>0</v>
      </c>
      <c r="L316" s="125">
        <v>0</v>
      </c>
    </row>
    <row r="317" spans="1:12" ht="13" x14ac:dyDescent="0.3">
      <c r="A317" s="127">
        <v>39202</v>
      </c>
      <c r="B317" s="1" t="s">
        <v>692</v>
      </c>
      <c r="C317" s="1" t="s">
        <v>692</v>
      </c>
      <c r="D317" t="s">
        <v>238</v>
      </c>
      <c r="E317" t="s">
        <v>89</v>
      </c>
      <c r="F317" s="1" t="s">
        <v>693</v>
      </c>
      <c r="G317" s="1" t="s">
        <v>694</v>
      </c>
      <c r="H317" s="9">
        <v>0</v>
      </c>
      <c r="I317" s="9">
        <v>0</v>
      </c>
      <c r="J317" s="9">
        <v>0</v>
      </c>
      <c r="K317" s="9">
        <v>0</v>
      </c>
      <c r="L317" s="125">
        <v>0</v>
      </c>
    </row>
    <row r="318" spans="1:12" ht="13" x14ac:dyDescent="0.3">
      <c r="A318" s="127">
        <v>39202</v>
      </c>
      <c r="B318" s="1" t="s">
        <v>692</v>
      </c>
      <c r="C318" s="1" t="s">
        <v>692</v>
      </c>
      <c r="D318" t="s">
        <v>300</v>
      </c>
      <c r="E318" t="s">
        <v>89</v>
      </c>
      <c r="F318" s="1" t="s">
        <v>693</v>
      </c>
      <c r="G318" s="1" t="s">
        <v>694</v>
      </c>
      <c r="H318" s="9">
        <v>0</v>
      </c>
      <c r="I318" s="9">
        <v>0</v>
      </c>
      <c r="J318" s="9">
        <v>0</v>
      </c>
      <c r="K318" s="9">
        <v>0</v>
      </c>
      <c r="L318" s="125">
        <v>0</v>
      </c>
    </row>
    <row r="319" spans="1:12" ht="13" x14ac:dyDescent="0.3">
      <c r="A319" s="127">
        <v>39202</v>
      </c>
      <c r="B319" s="1" t="s">
        <v>692</v>
      </c>
      <c r="C319" s="1" t="s">
        <v>692</v>
      </c>
      <c r="D319" t="s">
        <v>330</v>
      </c>
      <c r="E319" t="s">
        <v>89</v>
      </c>
      <c r="F319" s="1" t="s">
        <v>693</v>
      </c>
      <c r="G319" s="1" t="s">
        <v>694</v>
      </c>
      <c r="H319" s="9">
        <v>0</v>
      </c>
      <c r="I319" s="9">
        <v>0</v>
      </c>
      <c r="J319" s="9">
        <v>0</v>
      </c>
      <c r="K319" s="9">
        <v>0</v>
      </c>
      <c r="L319" s="125">
        <v>0</v>
      </c>
    </row>
    <row r="320" spans="1:12" ht="13" x14ac:dyDescent="0.3">
      <c r="A320" s="127">
        <v>39202</v>
      </c>
      <c r="B320" s="1" t="s">
        <v>692</v>
      </c>
      <c r="C320" s="1" t="s">
        <v>692</v>
      </c>
      <c r="D320" t="s">
        <v>360</v>
      </c>
      <c r="E320" t="s">
        <v>89</v>
      </c>
      <c r="F320" s="1" t="s">
        <v>693</v>
      </c>
      <c r="G320" s="1" t="s">
        <v>694</v>
      </c>
      <c r="H320" s="9">
        <v>0</v>
      </c>
      <c r="I320" s="9">
        <v>0</v>
      </c>
      <c r="J320" s="9">
        <v>0</v>
      </c>
      <c r="K320" s="9">
        <v>0</v>
      </c>
      <c r="L320" s="125">
        <v>0</v>
      </c>
    </row>
    <row r="321" spans="1:12" ht="13" x14ac:dyDescent="0.3">
      <c r="A321" s="127">
        <v>39202</v>
      </c>
      <c r="B321" s="1" t="s">
        <v>692</v>
      </c>
      <c r="C321" s="1" t="s">
        <v>692</v>
      </c>
      <c r="D321" t="s">
        <v>420</v>
      </c>
      <c r="E321" t="s">
        <v>89</v>
      </c>
      <c r="F321" s="1" t="s">
        <v>693</v>
      </c>
      <c r="G321" s="1" t="s">
        <v>694</v>
      </c>
      <c r="H321" s="9">
        <v>0</v>
      </c>
      <c r="I321" s="9">
        <v>0</v>
      </c>
      <c r="J321" s="9">
        <v>0</v>
      </c>
      <c r="K321" s="9">
        <v>0</v>
      </c>
      <c r="L321" s="125">
        <v>0</v>
      </c>
    </row>
    <row r="322" spans="1:12" ht="13" x14ac:dyDescent="0.3">
      <c r="A322" s="127">
        <v>39202</v>
      </c>
      <c r="B322" s="1" t="s">
        <v>692</v>
      </c>
      <c r="C322" s="1" t="s">
        <v>692</v>
      </c>
      <c r="D322" t="s">
        <v>446</v>
      </c>
      <c r="E322" t="s">
        <v>89</v>
      </c>
      <c r="F322" s="1" t="s">
        <v>693</v>
      </c>
      <c r="G322" s="1" t="s">
        <v>694</v>
      </c>
      <c r="H322" s="9">
        <v>0</v>
      </c>
      <c r="I322" s="9">
        <v>0</v>
      </c>
      <c r="J322" s="9">
        <v>0</v>
      </c>
      <c r="K322" s="9">
        <v>0</v>
      </c>
      <c r="L322" s="125">
        <v>0</v>
      </c>
    </row>
    <row r="323" spans="1:12" ht="13" x14ac:dyDescent="0.3">
      <c r="A323" s="127">
        <v>39202</v>
      </c>
      <c r="B323" s="1" t="s">
        <v>692</v>
      </c>
      <c r="C323" s="1" t="s">
        <v>692</v>
      </c>
      <c r="D323" t="s">
        <v>502</v>
      </c>
      <c r="E323" t="s">
        <v>89</v>
      </c>
      <c r="F323" s="1" t="s">
        <v>693</v>
      </c>
      <c r="G323" s="1" t="s">
        <v>694</v>
      </c>
      <c r="H323" s="9">
        <v>0</v>
      </c>
      <c r="I323" s="9">
        <v>0</v>
      </c>
      <c r="J323" s="9">
        <v>0</v>
      </c>
      <c r="K323" s="9">
        <v>0</v>
      </c>
      <c r="L323" s="125">
        <v>0</v>
      </c>
    </row>
    <row r="324" spans="1:12" ht="13" x14ac:dyDescent="0.3">
      <c r="A324" s="127">
        <v>39202</v>
      </c>
      <c r="B324" s="1" t="s">
        <v>692</v>
      </c>
      <c r="C324" s="1" t="s">
        <v>692</v>
      </c>
      <c r="D324" t="s">
        <v>538</v>
      </c>
      <c r="E324" t="s">
        <v>89</v>
      </c>
      <c r="F324" s="1" t="s">
        <v>693</v>
      </c>
      <c r="G324" s="1" t="s">
        <v>694</v>
      </c>
      <c r="H324" s="9">
        <v>0</v>
      </c>
      <c r="I324" s="9">
        <v>0</v>
      </c>
      <c r="J324" s="9">
        <v>0</v>
      </c>
      <c r="K324" s="9">
        <v>0</v>
      </c>
      <c r="L324" s="125">
        <v>0</v>
      </c>
    </row>
    <row r="325" spans="1:12" ht="13" x14ac:dyDescent="0.3">
      <c r="A325" s="127">
        <v>39202</v>
      </c>
      <c r="B325" s="1" t="s">
        <v>692</v>
      </c>
      <c r="C325" s="1" t="s">
        <v>692</v>
      </c>
      <c r="D325" t="s">
        <v>575</v>
      </c>
      <c r="E325" t="s">
        <v>89</v>
      </c>
      <c r="F325" s="1" t="s">
        <v>693</v>
      </c>
      <c r="G325" s="1" t="s">
        <v>694</v>
      </c>
      <c r="H325" s="9">
        <v>0</v>
      </c>
      <c r="I325" s="9">
        <v>0</v>
      </c>
      <c r="J325" s="9">
        <v>0</v>
      </c>
      <c r="K325" s="9">
        <v>0</v>
      </c>
      <c r="L325" s="125">
        <v>0</v>
      </c>
    </row>
    <row r="326" spans="1:12" ht="13" x14ac:dyDescent="0.3">
      <c r="A326" s="127">
        <v>39202</v>
      </c>
      <c r="B326" s="1" t="s">
        <v>692</v>
      </c>
      <c r="C326" s="1" t="s">
        <v>692</v>
      </c>
      <c r="D326" t="s">
        <v>603</v>
      </c>
      <c r="E326" t="s">
        <v>89</v>
      </c>
      <c r="F326" s="1" t="s">
        <v>693</v>
      </c>
      <c r="G326" s="1" t="s">
        <v>694</v>
      </c>
      <c r="H326" s="9">
        <v>0</v>
      </c>
      <c r="I326" s="9">
        <v>0</v>
      </c>
      <c r="J326" s="9">
        <v>0</v>
      </c>
      <c r="K326" s="9">
        <v>0</v>
      </c>
      <c r="L326" s="125">
        <v>0</v>
      </c>
    </row>
    <row r="327" spans="1:12" ht="13" x14ac:dyDescent="0.3">
      <c r="A327" s="127">
        <v>39202</v>
      </c>
      <c r="B327" s="1" t="s">
        <v>692</v>
      </c>
      <c r="C327" s="1" t="s">
        <v>692</v>
      </c>
      <c r="D327" t="s">
        <v>636</v>
      </c>
      <c r="E327" t="s">
        <v>89</v>
      </c>
      <c r="F327" s="1" t="s">
        <v>693</v>
      </c>
      <c r="G327" s="1" t="s">
        <v>694</v>
      </c>
      <c r="H327" s="9">
        <v>0</v>
      </c>
      <c r="I327" s="9">
        <v>0</v>
      </c>
      <c r="J327" s="9">
        <v>0</v>
      </c>
      <c r="K327" s="9">
        <v>0</v>
      </c>
      <c r="L327" s="125">
        <v>0</v>
      </c>
    </row>
    <row r="328" spans="1:12" ht="13" x14ac:dyDescent="0.3">
      <c r="A328" s="127">
        <v>39202</v>
      </c>
      <c r="B328" s="1" t="s">
        <v>692</v>
      </c>
      <c r="C328" s="1" t="s">
        <v>692</v>
      </c>
      <c r="D328" t="s">
        <v>270</v>
      </c>
      <c r="E328" t="s">
        <v>89</v>
      </c>
      <c r="F328" s="1" t="s">
        <v>693</v>
      </c>
      <c r="G328" s="1" t="s">
        <v>694</v>
      </c>
      <c r="H328" s="9">
        <v>87.22</v>
      </c>
      <c r="I328" s="9">
        <v>0</v>
      </c>
      <c r="J328" s="9">
        <v>0</v>
      </c>
      <c r="K328" s="9">
        <v>0</v>
      </c>
      <c r="L328" s="125">
        <v>87.22</v>
      </c>
    </row>
    <row r="329" spans="1:12" ht="13" x14ac:dyDescent="0.3">
      <c r="A329" s="127">
        <v>39202</v>
      </c>
      <c r="B329" s="1" t="s">
        <v>692</v>
      </c>
      <c r="C329" s="1" t="s">
        <v>692</v>
      </c>
      <c r="D329" t="s">
        <v>392</v>
      </c>
      <c r="E329" t="s">
        <v>89</v>
      </c>
      <c r="F329" s="1" t="s">
        <v>693</v>
      </c>
      <c r="G329" s="1" t="s">
        <v>694</v>
      </c>
      <c r="H329" s="9">
        <v>88.29</v>
      </c>
      <c r="I329" s="9">
        <v>0</v>
      </c>
      <c r="J329" s="9">
        <v>0</v>
      </c>
      <c r="K329" s="9">
        <v>0</v>
      </c>
      <c r="L329" s="125">
        <v>88.29</v>
      </c>
    </row>
    <row r="330" spans="1:12" ht="13" x14ac:dyDescent="0.3">
      <c r="A330" s="127">
        <v>39203</v>
      </c>
      <c r="B330" s="1" t="s">
        <v>692</v>
      </c>
      <c r="C330" s="1" t="s">
        <v>692</v>
      </c>
      <c r="D330" t="s">
        <v>637</v>
      </c>
      <c r="E330" t="s">
        <v>89</v>
      </c>
      <c r="F330" s="1" t="s">
        <v>693</v>
      </c>
      <c r="G330" s="1" t="s">
        <v>694</v>
      </c>
      <c r="H330" s="9">
        <v>0</v>
      </c>
      <c r="I330" s="9">
        <v>0</v>
      </c>
      <c r="J330" s="9">
        <v>0</v>
      </c>
      <c r="K330" s="9">
        <v>0</v>
      </c>
      <c r="L330" s="125">
        <v>0</v>
      </c>
    </row>
    <row r="331" spans="1:12" ht="13" x14ac:dyDescent="0.3">
      <c r="A331" s="127">
        <v>39204</v>
      </c>
      <c r="B331" s="1" t="s">
        <v>692</v>
      </c>
      <c r="C331" s="1" t="s">
        <v>692</v>
      </c>
      <c r="D331" t="s">
        <v>210</v>
      </c>
      <c r="E331" t="s">
        <v>89</v>
      </c>
      <c r="F331" s="1" t="s">
        <v>693</v>
      </c>
      <c r="G331" s="1" t="s">
        <v>694</v>
      </c>
      <c r="H331" s="9">
        <v>0</v>
      </c>
      <c r="I331" s="9">
        <v>0</v>
      </c>
      <c r="J331" s="9">
        <v>0</v>
      </c>
      <c r="K331" s="9">
        <v>0</v>
      </c>
      <c r="L331" s="125">
        <v>0</v>
      </c>
    </row>
    <row r="332" spans="1:12" ht="13" x14ac:dyDescent="0.3">
      <c r="A332" s="127">
        <v>39204</v>
      </c>
      <c r="B332" s="1" t="s">
        <v>692</v>
      </c>
      <c r="C332" s="1" t="s">
        <v>692</v>
      </c>
      <c r="D332" t="s">
        <v>239</v>
      </c>
      <c r="E332" t="s">
        <v>89</v>
      </c>
      <c r="F332" s="1" t="s">
        <v>693</v>
      </c>
      <c r="G332" s="1" t="s">
        <v>694</v>
      </c>
      <c r="H332" s="9">
        <v>0</v>
      </c>
      <c r="I332" s="9">
        <v>0</v>
      </c>
      <c r="J332" s="9">
        <v>0</v>
      </c>
      <c r="K332" s="9">
        <v>0</v>
      </c>
      <c r="L332" s="125">
        <v>0</v>
      </c>
    </row>
    <row r="333" spans="1:12" ht="13" x14ac:dyDescent="0.3">
      <c r="A333" s="127">
        <v>39204</v>
      </c>
      <c r="B333" s="1" t="s">
        <v>692</v>
      </c>
      <c r="C333" s="1" t="s">
        <v>692</v>
      </c>
      <c r="D333" t="s">
        <v>271</v>
      </c>
      <c r="E333" t="s">
        <v>89</v>
      </c>
      <c r="F333" s="1" t="s">
        <v>693</v>
      </c>
      <c r="G333" s="1" t="s">
        <v>694</v>
      </c>
      <c r="H333" s="9">
        <v>0</v>
      </c>
      <c r="I333" s="9">
        <v>0</v>
      </c>
      <c r="J333" s="9">
        <v>0</v>
      </c>
      <c r="K333" s="9">
        <v>0</v>
      </c>
      <c r="L333" s="125">
        <v>0</v>
      </c>
    </row>
    <row r="334" spans="1:12" ht="13" x14ac:dyDescent="0.3">
      <c r="A334" s="127">
        <v>39204</v>
      </c>
      <c r="B334" s="1" t="s">
        <v>692</v>
      </c>
      <c r="C334" s="1" t="s">
        <v>692</v>
      </c>
      <c r="D334" t="s">
        <v>301</v>
      </c>
      <c r="E334" t="s">
        <v>89</v>
      </c>
      <c r="F334" s="1" t="s">
        <v>693</v>
      </c>
      <c r="G334" s="1" t="s">
        <v>694</v>
      </c>
      <c r="H334" s="9">
        <v>0</v>
      </c>
      <c r="I334" s="9">
        <v>0</v>
      </c>
      <c r="J334" s="9">
        <v>0</v>
      </c>
      <c r="K334" s="9">
        <v>0</v>
      </c>
      <c r="L334" s="125">
        <v>0</v>
      </c>
    </row>
    <row r="335" spans="1:12" ht="13" x14ac:dyDescent="0.3">
      <c r="A335" s="127">
        <v>39204</v>
      </c>
      <c r="B335" s="1" t="s">
        <v>692</v>
      </c>
      <c r="C335" s="1" t="s">
        <v>692</v>
      </c>
      <c r="D335" t="s">
        <v>331</v>
      </c>
      <c r="E335" t="s">
        <v>89</v>
      </c>
      <c r="F335" s="1" t="s">
        <v>693</v>
      </c>
      <c r="G335" s="1" t="s">
        <v>694</v>
      </c>
      <c r="H335" s="9">
        <v>0</v>
      </c>
      <c r="I335" s="9">
        <v>0</v>
      </c>
      <c r="J335" s="9">
        <v>0</v>
      </c>
      <c r="K335" s="9">
        <v>0</v>
      </c>
      <c r="L335" s="125">
        <v>0</v>
      </c>
    </row>
    <row r="336" spans="1:12" ht="13" x14ac:dyDescent="0.3">
      <c r="A336" s="127">
        <v>39204</v>
      </c>
      <c r="B336" s="1" t="s">
        <v>692</v>
      </c>
      <c r="C336" s="1" t="s">
        <v>692</v>
      </c>
      <c r="D336" t="s">
        <v>361</v>
      </c>
      <c r="E336" t="s">
        <v>89</v>
      </c>
      <c r="F336" s="1" t="s">
        <v>693</v>
      </c>
      <c r="G336" s="1" t="s">
        <v>694</v>
      </c>
      <c r="H336" s="9">
        <v>0</v>
      </c>
      <c r="I336" s="9">
        <v>0</v>
      </c>
      <c r="J336" s="9">
        <v>0</v>
      </c>
      <c r="K336" s="9">
        <v>0</v>
      </c>
      <c r="L336" s="125">
        <v>0</v>
      </c>
    </row>
    <row r="337" spans="1:12" ht="13" x14ac:dyDescent="0.3">
      <c r="A337" s="127">
        <v>39204</v>
      </c>
      <c r="B337" s="1" t="s">
        <v>692</v>
      </c>
      <c r="C337" s="1" t="s">
        <v>692</v>
      </c>
      <c r="D337" t="s">
        <v>393</v>
      </c>
      <c r="E337" t="s">
        <v>89</v>
      </c>
      <c r="F337" s="1" t="s">
        <v>693</v>
      </c>
      <c r="G337" s="1" t="s">
        <v>694</v>
      </c>
      <c r="H337" s="9">
        <v>0</v>
      </c>
      <c r="I337" s="9">
        <v>0</v>
      </c>
      <c r="J337" s="9">
        <v>0</v>
      </c>
      <c r="K337" s="9">
        <v>0</v>
      </c>
      <c r="L337" s="125">
        <v>0</v>
      </c>
    </row>
    <row r="338" spans="1:12" ht="13" x14ac:dyDescent="0.3">
      <c r="A338" s="127">
        <v>39204</v>
      </c>
      <c r="B338" s="1" t="s">
        <v>692</v>
      </c>
      <c r="C338" s="1" t="s">
        <v>692</v>
      </c>
      <c r="D338" t="s">
        <v>421</v>
      </c>
      <c r="E338" t="s">
        <v>89</v>
      </c>
      <c r="F338" s="1" t="s">
        <v>693</v>
      </c>
      <c r="G338" s="1" t="s">
        <v>694</v>
      </c>
      <c r="H338" s="9">
        <v>0</v>
      </c>
      <c r="I338" s="9">
        <v>0</v>
      </c>
      <c r="J338" s="9">
        <v>0</v>
      </c>
      <c r="K338" s="9">
        <v>0</v>
      </c>
      <c r="L338" s="125">
        <v>0</v>
      </c>
    </row>
    <row r="339" spans="1:12" ht="13" x14ac:dyDescent="0.3">
      <c r="A339" s="127">
        <v>39204</v>
      </c>
      <c r="B339" s="1" t="s">
        <v>692</v>
      </c>
      <c r="C339" s="1" t="s">
        <v>692</v>
      </c>
      <c r="D339" t="s">
        <v>447</v>
      </c>
      <c r="E339" t="s">
        <v>89</v>
      </c>
      <c r="F339" s="1" t="s">
        <v>693</v>
      </c>
      <c r="G339" s="1" t="s">
        <v>694</v>
      </c>
      <c r="H339" s="9">
        <v>0</v>
      </c>
      <c r="I339" s="9">
        <v>0</v>
      </c>
      <c r="J339" s="9">
        <v>0</v>
      </c>
      <c r="K339" s="9">
        <v>0</v>
      </c>
      <c r="L339" s="125">
        <v>0</v>
      </c>
    </row>
    <row r="340" spans="1:12" ht="13" x14ac:dyDescent="0.3">
      <c r="A340" s="127">
        <v>39204</v>
      </c>
      <c r="B340" s="1" t="s">
        <v>692</v>
      </c>
      <c r="C340" s="1" t="s">
        <v>692</v>
      </c>
      <c r="D340" t="s">
        <v>474</v>
      </c>
      <c r="E340" t="s">
        <v>89</v>
      </c>
      <c r="F340" s="1" t="s">
        <v>693</v>
      </c>
      <c r="G340" s="1" t="s">
        <v>694</v>
      </c>
      <c r="H340" s="9">
        <v>0</v>
      </c>
      <c r="I340" s="9">
        <v>0</v>
      </c>
      <c r="J340" s="9">
        <v>0</v>
      </c>
      <c r="K340" s="9">
        <v>0</v>
      </c>
      <c r="L340" s="125">
        <v>0</v>
      </c>
    </row>
    <row r="341" spans="1:12" ht="13" x14ac:dyDescent="0.3">
      <c r="A341" s="127">
        <v>39204</v>
      </c>
      <c r="B341" s="1" t="s">
        <v>692</v>
      </c>
      <c r="C341" s="1" t="s">
        <v>692</v>
      </c>
      <c r="D341" t="s">
        <v>503</v>
      </c>
      <c r="E341" t="s">
        <v>89</v>
      </c>
      <c r="F341" s="1" t="s">
        <v>693</v>
      </c>
      <c r="G341" s="1" t="s">
        <v>694</v>
      </c>
      <c r="H341" s="9">
        <v>0</v>
      </c>
      <c r="I341" s="9">
        <v>0</v>
      </c>
      <c r="J341" s="9">
        <v>0</v>
      </c>
      <c r="K341" s="9">
        <v>0</v>
      </c>
      <c r="L341" s="125">
        <v>0</v>
      </c>
    </row>
    <row r="342" spans="1:12" ht="13" x14ac:dyDescent="0.3">
      <c r="A342" s="127">
        <v>39204</v>
      </c>
      <c r="B342" s="1" t="s">
        <v>692</v>
      </c>
      <c r="C342" s="1" t="s">
        <v>692</v>
      </c>
      <c r="D342" t="s">
        <v>539</v>
      </c>
      <c r="E342" t="s">
        <v>89</v>
      </c>
      <c r="F342" s="1" t="s">
        <v>693</v>
      </c>
      <c r="G342" s="1" t="s">
        <v>694</v>
      </c>
      <c r="H342" s="9">
        <v>0</v>
      </c>
      <c r="I342" s="9">
        <v>0</v>
      </c>
      <c r="J342" s="9">
        <v>0</v>
      </c>
      <c r="K342" s="9">
        <v>0</v>
      </c>
      <c r="L342" s="125">
        <v>0</v>
      </c>
    </row>
    <row r="343" spans="1:12" ht="13" x14ac:dyDescent="0.3">
      <c r="A343" s="127">
        <v>39204</v>
      </c>
      <c r="B343" s="1" t="s">
        <v>692</v>
      </c>
      <c r="C343" s="1" t="s">
        <v>692</v>
      </c>
      <c r="D343" t="s">
        <v>576</v>
      </c>
      <c r="E343" t="s">
        <v>89</v>
      </c>
      <c r="F343" s="1" t="s">
        <v>693</v>
      </c>
      <c r="G343" s="1" t="s">
        <v>694</v>
      </c>
      <c r="H343" s="9">
        <v>0</v>
      </c>
      <c r="I343" s="9">
        <v>0</v>
      </c>
      <c r="J343" s="9">
        <v>0</v>
      </c>
      <c r="K343" s="9">
        <v>0</v>
      </c>
      <c r="L343" s="125">
        <v>0</v>
      </c>
    </row>
    <row r="344" spans="1:12" ht="13" x14ac:dyDescent="0.3">
      <c r="A344" s="127">
        <v>39204</v>
      </c>
      <c r="B344" s="1" t="s">
        <v>692</v>
      </c>
      <c r="C344" s="1" t="s">
        <v>692</v>
      </c>
      <c r="D344" t="s">
        <v>604</v>
      </c>
      <c r="E344" t="s">
        <v>89</v>
      </c>
      <c r="F344" s="1" t="s">
        <v>693</v>
      </c>
      <c r="G344" s="1" t="s">
        <v>694</v>
      </c>
      <c r="H344" s="9">
        <v>0</v>
      </c>
      <c r="I344" s="9">
        <v>0</v>
      </c>
      <c r="J344" s="9">
        <v>0</v>
      </c>
      <c r="K344" s="9">
        <v>0</v>
      </c>
      <c r="L344" s="125">
        <v>0</v>
      </c>
    </row>
    <row r="345" spans="1:12" ht="13" x14ac:dyDescent="0.3">
      <c r="A345" s="127">
        <v>39204</v>
      </c>
      <c r="B345" s="1" t="s">
        <v>692</v>
      </c>
      <c r="C345" s="1" t="s">
        <v>692</v>
      </c>
      <c r="D345" t="s">
        <v>638</v>
      </c>
      <c r="E345" t="s">
        <v>89</v>
      </c>
      <c r="F345" s="1" t="s">
        <v>693</v>
      </c>
      <c r="G345" s="1" t="s">
        <v>694</v>
      </c>
      <c r="H345" s="9">
        <v>0</v>
      </c>
      <c r="I345" s="9">
        <v>0</v>
      </c>
      <c r="J345" s="9">
        <v>0</v>
      </c>
      <c r="K345" s="9">
        <v>0</v>
      </c>
      <c r="L345" s="125">
        <v>0</v>
      </c>
    </row>
    <row r="346" spans="1:12" ht="13" x14ac:dyDescent="0.3">
      <c r="A346" s="127">
        <v>39205</v>
      </c>
      <c r="B346" s="1" t="s">
        <v>692</v>
      </c>
      <c r="C346" s="1" t="s">
        <v>692</v>
      </c>
      <c r="D346" t="s">
        <v>211</v>
      </c>
      <c r="E346" t="s">
        <v>89</v>
      </c>
      <c r="F346" s="1" t="s">
        <v>693</v>
      </c>
      <c r="G346" s="1" t="s">
        <v>694</v>
      </c>
      <c r="H346" s="9">
        <v>0</v>
      </c>
      <c r="I346" s="9">
        <v>0</v>
      </c>
      <c r="J346" s="9">
        <v>0</v>
      </c>
      <c r="K346" s="9">
        <v>0</v>
      </c>
      <c r="L346" s="125">
        <v>0</v>
      </c>
    </row>
    <row r="347" spans="1:12" ht="13" x14ac:dyDescent="0.3">
      <c r="A347" s="127">
        <v>39205</v>
      </c>
      <c r="B347" s="1" t="s">
        <v>692</v>
      </c>
      <c r="C347" s="1" t="s">
        <v>692</v>
      </c>
      <c r="D347" t="s">
        <v>240</v>
      </c>
      <c r="E347" t="s">
        <v>89</v>
      </c>
      <c r="F347" s="1" t="s">
        <v>693</v>
      </c>
      <c r="G347" s="1" t="s">
        <v>694</v>
      </c>
      <c r="H347" s="9">
        <v>0</v>
      </c>
      <c r="I347" s="9">
        <v>0</v>
      </c>
      <c r="J347" s="9">
        <v>0</v>
      </c>
      <c r="K347" s="9">
        <v>0</v>
      </c>
      <c r="L347" s="125">
        <v>0</v>
      </c>
    </row>
    <row r="348" spans="1:12" ht="13" x14ac:dyDescent="0.3">
      <c r="A348" s="127">
        <v>39205</v>
      </c>
      <c r="B348" s="1" t="s">
        <v>692</v>
      </c>
      <c r="C348" s="1" t="s">
        <v>692</v>
      </c>
      <c r="D348" t="s">
        <v>272</v>
      </c>
      <c r="E348" t="s">
        <v>89</v>
      </c>
      <c r="F348" s="1" t="s">
        <v>693</v>
      </c>
      <c r="G348" s="1" t="s">
        <v>694</v>
      </c>
      <c r="H348" s="9">
        <v>0</v>
      </c>
      <c r="I348" s="9">
        <v>0</v>
      </c>
      <c r="J348" s="9">
        <v>0</v>
      </c>
      <c r="K348" s="9">
        <v>0</v>
      </c>
      <c r="L348" s="125">
        <v>0</v>
      </c>
    </row>
    <row r="349" spans="1:12" ht="13" x14ac:dyDescent="0.3">
      <c r="A349" s="127">
        <v>39205</v>
      </c>
      <c r="B349" s="1" t="s">
        <v>692</v>
      </c>
      <c r="C349" s="1" t="s">
        <v>692</v>
      </c>
      <c r="D349" t="s">
        <v>302</v>
      </c>
      <c r="E349" t="s">
        <v>89</v>
      </c>
      <c r="F349" s="1" t="s">
        <v>693</v>
      </c>
      <c r="G349" s="1" t="s">
        <v>694</v>
      </c>
      <c r="H349" s="9">
        <v>0</v>
      </c>
      <c r="I349" s="9">
        <v>0</v>
      </c>
      <c r="J349" s="9">
        <v>0</v>
      </c>
      <c r="K349" s="9">
        <v>0</v>
      </c>
      <c r="L349" s="125">
        <v>0</v>
      </c>
    </row>
    <row r="350" spans="1:12" ht="13" x14ac:dyDescent="0.3">
      <c r="A350" s="127">
        <v>39205</v>
      </c>
      <c r="B350" s="1" t="s">
        <v>692</v>
      </c>
      <c r="C350" s="1" t="s">
        <v>692</v>
      </c>
      <c r="D350" t="s">
        <v>332</v>
      </c>
      <c r="E350" t="s">
        <v>89</v>
      </c>
      <c r="F350" s="1" t="s">
        <v>693</v>
      </c>
      <c r="G350" s="1" t="s">
        <v>694</v>
      </c>
      <c r="H350" s="9">
        <v>0</v>
      </c>
      <c r="I350" s="9">
        <v>0</v>
      </c>
      <c r="J350" s="9">
        <v>0</v>
      </c>
      <c r="K350" s="9">
        <v>0</v>
      </c>
      <c r="L350" s="125">
        <v>0</v>
      </c>
    </row>
    <row r="351" spans="1:12" ht="13" x14ac:dyDescent="0.3">
      <c r="A351" s="127">
        <v>39205</v>
      </c>
      <c r="B351" s="1" t="s">
        <v>692</v>
      </c>
      <c r="C351" s="1" t="s">
        <v>692</v>
      </c>
      <c r="D351" t="s">
        <v>362</v>
      </c>
      <c r="E351" t="s">
        <v>89</v>
      </c>
      <c r="F351" s="1" t="s">
        <v>693</v>
      </c>
      <c r="G351" s="1" t="s">
        <v>694</v>
      </c>
      <c r="H351" s="9">
        <v>0</v>
      </c>
      <c r="I351" s="9">
        <v>0</v>
      </c>
      <c r="J351" s="9">
        <v>0</v>
      </c>
      <c r="K351" s="9">
        <v>0</v>
      </c>
      <c r="L351" s="125">
        <v>0</v>
      </c>
    </row>
    <row r="352" spans="1:12" ht="13" x14ac:dyDescent="0.3">
      <c r="A352" s="127">
        <v>39205</v>
      </c>
      <c r="B352" s="1" t="s">
        <v>692</v>
      </c>
      <c r="C352" s="1" t="s">
        <v>692</v>
      </c>
      <c r="D352" t="s">
        <v>394</v>
      </c>
      <c r="E352" t="s">
        <v>89</v>
      </c>
      <c r="F352" s="1" t="s">
        <v>693</v>
      </c>
      <c r="G352" s="1" t="s">
        <v>694</v>
      </c>
      <c r="H352" s="9">
        <v>0</v>
      </c>
      <c r="I352" s="9">
        <v>0</v>
      </c>
      <c r="J352" s="9">
        <v>0</v>
      </c>
      <c r="K352" s="9">
        <v>0</v>
      </c>
      <c r="L352" s="125">
        <v>0</v>
      </c>
    </row>
    <row r="353" spans="1:12" ht="13" x14ac:dyDescent="0.3">
      <c r="A353" s="127">
        <v>39205</v>
      </c>
      <c r="B353" s="1" t="s">
        <v>692</v>
      </c>
      <c r="C353" s="1" t="s">
        <v>692</v>
      </c>
      <c r="D353" t="s">
        <v>422</v>
      </c>
      <c r="E353" t="s">
        <v>89</v>
      </c>
      <c r="F353" s="1" t="s">
        <v>693</v>
      </c>
      <c r="G353" s="1" t="s">
        <v>694</v>
      </c>
      <c r="H353" s="9">
        <v>0</v>
      </c>
      <c r="I353" s="9">
        <v>0</v>
      </c>
      <c r="J353" s="9">
        <v>0</v>
      </c>
      <c r="K353" s="9">
        <v>0</v>
      </c>
      <c r="L353" s="125">
        <v>0</v>
      </c>
    </row>
    <row r="354" spans="1:12" ht="13" x14ac:dyDescent="0.3">
      <c r="A354" s="127">
        <v>39205</v>
      </c>
      <c r="B354" s="1" t="s">
        <v>692</v>
      </c>
      <c r="C354" s="1" t="s">
        <v>692</v>
      </c>
      <c r="D354" t="s">
        <v>504</v>
      </c>
      <c r="E354" t="s">
        <v>89</v>
      </c>
      <c r="F354" s="1" t="s">
        <v>693</v>
      </c>
      <c r="G354" s="1" t="s">
        <v>694</v>
      </c>
      <c r="H354" s="9">
        <v>0</v>
      </c>
      <c r="I354" s="9">
        <v>0</v>
      </c>
      <c r="J354" s="9">
        <v>0</v>
      </c>
      <c r="K354" s="9">
        <v>0</v>
      </c>
      <c r="L354" s="125">
        <v>0</v>
      </c>
    </row>
    <row r="355" spans="1:12" ht="13" x14ac:dyDescent="0.3">
      <c r="A355" s="127">
        <v>39205</v>
      </c>
      <c r="B355" s="1" t="s">
        <v>692</v>
      </c>
      <c r="C355" s="1" t="s">
        <v>692</v>
      </c>
      <c r="D355" t="s">
        <v>540</v>
      </c>
      <c r="E355" t="s">
        <v>89</v>
      </c>
      <c r="F355" s="1" t="s">
        <v>693</v>
      </c>
      <c r="G355" s="1" t="s">
        <v>694</v>
      </c>
      <c r="H355" s="9">
        <v>0</v>
      </c>
      <c r="I355" s="9">
        <v>0</v>
      </c>
      <c r="J355" s="9">
        <v>0</v>
      </c>
      <c r="K355" s="9">
        <v>0</v>
      </c>
      <c r="L355" s="125">
        <v>0</v>
      </c>
    </row>
    <row r="356" spans="1:12" ht="13" x14ac:dyDescent="0.3">
      <c r="A356" s="127">
        <v>39205</v>
      </c>
      <c r="B356" s="1" t="s">
        <v>692</v>
      </c>
      <c r="C356" s="1" t="s">
        <v>692</v>
      </c>
      <c r="D356" t="s">
        <v>577</v>
      </c>
      <c r="E356" t="s">
        <v>89</v>
      </c>
      <c r="F356" s="1" t="s">
        <v>693</v>
      </c>
      <c r="G356" s="1" t="s">
        <v>694</v>
      </c>
      <c r="H356" s="9">
        <v>0</v>
      </c>
      <c r="I356" s="9">
        <v>0</v>
      </c>
      <c r="J356" s="9">
        <v>0</v>
      </c>
      <c r="K356" s="9">
        <v>0</v>
      </c>
      <c r="L356" s="125">
        <v>0</v>
      </c>
    </row>
    <row r="357" spans="1:12" ht="13" x14ac:dyDescent="0.3">
      <c r="A357" s="127">
        <v>39205</v>
      </c>
      <c r="B357" s="1" t="s">
        <v>692</v>
      </c>
      <c r="C357" s="1" t="s">
        <v>692</v>
      </c>
      <c r="D357" t="s">
        <v>605</v>
      </c>
      <c r="E357" t="s">
        <v>89</v>
      </c>
      <c r="F357" s="1" t="s">
        <v>693</v>
      </c>
      <c r="G357" s="1" t="s">
        <v>694</v>
      </c>
      <c r="H357" s="9">
        <v>0</v>
      </c>
      <c r="I357" s="9">
        <v>0</v>
      </c>
      <c r="J357" s="9">
        <v>0</v>
      </c>
      <c r="K357" s="9">
        <v>0</v>
      </c>
      <c r="L357" s="125">
        <v>0</v>
      </c>
    </row>
    <row r="358" spans="1:12" ht="13" x14ac:dyDescent="0.3">
      <c r="A358" s="127">
        <v>39205</v>
      </c>
      <c r="B358" s="1" t="s">
        <v>692</v>
      </c>
      <c r="C358" s="1" t="s">
        <v>692</v>
      </c>
      <c r="D358" t="s">
        <v>639</v>
      </c>
      <c r="E358" t="s">
        <v>89</v>
      </c>
      <c r="F358" s="1" t="s">
        <v>693</v>
      </c>
      <c r="G358" s="1" t="s">
        <v>694</v>
      </c>
      <c r="H358" s="9">
        <v>0</v>
      </c>
      <c r="I358" s="9">
        <v>0</v>
      </c>
      <c r="J358" s="9">
        <v>0</v>
      </c>
      <c r="K358" s="9">
        <v>0</v>
      </c>
      <c r="L358" s="125">
        <v>0</v>
      </c>
    </row>
    <row r="359" spans="1:12" ht="13" x14ac:dyDescent="0.3">
      <c r="A359" s="127">
        <v>39300</v>
      </c>
      <c r="B359" s="1" t="s">
        <v>692</v>
      </c>
      <c r="C359" s="1" t="s">
        <v>692</v>
      </c>
      <c r="D359" t="s">
        <v>212</v>
      </c>
      <c r="E359" t="s">
        <v>89</v>
      </c>
      <c r="F359" s="1" t="s">
        <v>693</v>
      </c>
      <c r="G359" s="1" t="s">
        <v>694</v>
      </c>
      <c r="H359" s="9">
        <v>0</v>
      </c>
      <c r="I359" s="9">
        <v>0</v>
      </c>
      <c r="J359" s="9">
        <v>0</v>
      </c>
      <c r="K359" s="9">
        <v>0</v>
      </c>
      <c r="L359" s="125">
        <v>0</v>
      </c>
    </row>
    <row r="360" spans="1:12" ht="13" x14ac:dyDescent="0.3">
      <c r="A360" s="127">
        <v>39300</v>
      </c>
      <c r="B360" s="1" t="s">
        <v>692</v>
      </c>
      <c r="C360" s="1" t="s">
        <v>692</v>
      </c>
      <c r="D360" t="s">
        <v>241</v>
      </c>
      <c r="E360" t="s">
        <v>89</v>
      </c>
      <c r="F360" s="1" t="s">
        <v>693</v>
      </c>
      <c r="G360" s="1" t="s">
        <v>694</v>
      </c>
      <c r="H360" s="9">
        <v>0</v>
      </c>
      <c r="I360" s="9">
        <v>0</v>
      </c>
      <c r="J360" s="9">
        <v>0</v>
      </c>
      <c r="K360" s="9">
        <v>0</v>
      </c>
      <c r="L360" s="125">
        <v>0</v>
      </c>
    </row>
    <row r="361" spans="1:12" ht="13" x14ac:dyDescent="0.3">
      <c r="A361" s="127">
        <v>39300</v>
      </c>
      <c r="B361" s="1" t="s">
        <v>692</v>
      </c>
      <c r="C361" s="1" t="s">
        <v>692</v>
      </c>
      <c r="D361" t="s">
        <v>273</v>
      </c>
      <c r="E361" t="s">
        <v>89</v>
      </c>
      <c r="F361" s="1" t="s">
        <v>693</v>
      </c>
      <c r="G361" s="1" t="s">
        <v>694</v>
      </c>
      <c r="H361" s="9">
        <v>0</v>
      </c>
      <c r="I361" s="9">
        <v>0</v>
      </c>
      <c r="J361" s="9">
        <v>0</v>
      </c>
      <c r="K361" s="9">
        <v>0</v>
      </c>
      <c r="L361" s="125">
        <v>0</v>
      </c>
    </row>
    <row r="362" spans="1:12" ht="13" x14ac:dyDescent="0.3">
      <c r="A362" s="127">
        <v>39300</v>
      </c>
      <c r="B362" s="1" t="s">
        <v>692</v>
      </c>
      <c r="C362" s="1" t="s">
        <v>692</v>
      </c>
      <c r="D362" t="s">
        <v>303</v>
      </c>
      <c r="E362" t="s">
        <v>89</v>
      </c>
      <c r="F362" s="1" t="s">
        <v>693</v>
      </c>
      <c r="G362" s="1" t="s">
        <v>694</v>
      </c>
      <c r="H362" s="9">
        <v>0</v>
      </c>
      <c r="I362" s="9">
        <v>0</v>
      </c>
      <c r="J362" s="9">
        <v>0</v>
      </c>
      <c r="K362" s="9">
        <v>0</v>
      </c>
      <c r="L362" s="125">
        <v>0</v>
      </c>
    </row>
    <row r="363" spans="1:12" ht="13" x14ac:dyDescent="0.3">
      <c r="A363" s="127">
        <v>39300</v>
      </c>
      <c r="B363" s="1" t="s">
        <v>692</v>
      </c>
      <c r="C363" s="1" t="s">
        <v>692</v>
      </c>
      <c r="D363" t="s">
        <v>333</v>
      </c>
      <c r="E363" t="s">
        <v>89</v>
      </c>
      <c r="F363" s="1" t="s">
        <v>693</v>
      </c>
      <c r="G363" s="1" t="s">
        <v>694</v>
      </c>
      <c r="H363" s="9">
        <v>0</v>
      </c>
      <c r="I363" s="9">
        <v>0</v>
      </c>
      <c r="J363" s="9">
        <v>0</v>
      </c>
      <c r="K363" s="9">
        <v>0</v>
      </c>
      <c r="L363" s="125">
        <v>0</v>
      </c>
    </row>
    <row r="364" spans="1:12" ht="13" x14ac:dyDescent="0.3">
      <c r="A364" s="127">
        <v>39300</v>
      </c>
      <c r="B364" s="1" t="s">
        <v>692</v>
      </c>
      <c r="C364" s="1" t="s">
        <v>692</v>
      </c>
      <c r="D364" t="s">
        <v>363</v>
      </c>
      <c r="E364" t="s">
        <v>89</v>
      </c>
      <c r="F364" s="1" t="s">
        <v>693</v>
      </c>
      <c r="G364" s="1" t="s">
        <v>694</v>
      </c>
      <c r="H364" s="9">
        <v>0</v>
      </c>
      <c r="I364" s="9">
        <v>0</v>
      </c>
      <c r="J364" s="9">
        <v>0</v>
      </c>
      <c r="K364" s="9">
        <v>0</v>
      </c>
      <c r="L364" s="125">
        <v>0</v>
      </c>
    </row>
    <row r="365" spans="1:12" ht="13" x14ac:dyDescent="0.3">
      <c r="A365" s="127">
        <v>39300</v>
      </c>
      <c r="B365" s="1" t="s">
        <v>692</v>
      </c>
      <c r="C365" s="1" t="s">
        <v>692</v>
      </c>
      <c r="D365" t="s">
        <v>395</v>
      </c>
      <c r="E365" t="s">
        <v>89</v>
      </c>
      <c r="F365" s="1" t="s">
        <v>693</v>
      </c>
      <c r="G365" s="1" t="s">
        <v>694</v>
      </c>
      <c r="H365" s="9">
        <v>0</v>
      </c>
      <c r="I365" s="9">
        <v>0</v>
      </c>
      <c r="J365" s="9">
        <v>0</v>
      </c>
      <c r="K365" s="9">
        <v>0</v>
      </c>
      <c r="L365" s="125">
        <v>0</v>
      </c>
    </row>
    <row r="366" spans="1:12" ht="13" x14ac:dyDescent="0.3">
      <c r="A366" s="127">
        <v>39300</v>
      </c>
      <c r="B366" s="1" t="s">
        <v>692</v>
      </c>
      <c r="C366" s="1" t="s">
        <v>692</v>
      </c>
      <c r="D366" t="s">
        <v>668</v>
      </c>
      <c r="E366" t="s">
        <v>89</v>
      </c>
      <c r="F366" s="1" t="s">
        <v>693</v>
      </c>
      <c r="G366" s="1" t="s">
        <v>694</v>
      </c>
      <c r="H366" s="9">
        <v>0</v>
      </c>
      <c r="I366" s="9">
        <v>0</v>
      </c>
      <c r="J366" s="9">
        <v>0</v>
      </c>
      <c r="K366" s="9">
        <v>0</v>
      </c>
      <c r="L366" s="125">
        <v>0</v>
      </c>
    </row>
    <row r="367" spans="1:12" ht="13" x14ac:dyDescent="0.3">
      <c r="A367" s="127">
        <v>39300</v>
      </c>
      <c r="B367" s="1" t="s">
        <v>692</v>
      </c>
      <c r="C367" s="1" t="s">
        <v>692</v>
      </c>
      <c r="D367" t="s">
        <v>505</v>
      </c>
      <c r="E367" t="s">
        <v>89</v>
      </c>
      <c r="F367" s="1" t="s">
        <v>693</v>
      </c>
      <c r="G367" s="1" t="s">
        <v>694</v>
      </c>
      <c r="H367" s="9">
        <v>0</v>
      </c>
      <c r="I367" s="9">
        <v>0</v>
      </c>
      <c r="J367" s="9">
        <v>0</v>
      </c>
      <c r="K367" s="9">
        <v>0</v>
      </c>
      <c r="L367" s="125">
        <v>0</v>
      </c>
    </row>
    <row r="368" spans="1:12" ht="13" x14ac:dyDescent="0.3">
      <c r="A368" s="127">
        <v>39300</v>
      </c>
      <c r="B368" s="1" t="s">
        <v>692</v>
      </c>
      <c r="C368" s="1" t="s">
        <v>692</v>
      </c>
      <c r="D368" t="s">
        <v>606</v>
      </c>
      <c r="E368" t="s">
        <v>89</v>
      </c>
      <c r="F368" s="1" t="s">
        <v>693</v>
      </c>
      <c r="G368" s="1" t="s">
        <v>694</v>
      </c>
      <c r="H368" s="9">
        <v>0</v>
      </c>
      <c r="I368" s="9">
        <v>0</v>
      </c>
      <c r="J368" s="9">
        <v>0</v>
      </c>
      <c r="K368" s="9">
        <v>0</v>
      </c>
      <c r="L368" s="125">
        <v>0</v>
      </c>
    </row>
    <row r="369" spans="1:12" ht="13" x14ac:dyDescent="0.3">
      <c r="A369" s="127">
        <v>39400</v>
      </c>
      <c r="B369" s="1" t="s">
        <v>692</v>
      </c>
      <c r="C369" s="1" t="s">
        <v>692</v>
      </c>
      <c r="D369" t="s">
        <v>304</v>
      </c>
      <c r="E369" t="s">
        <v>89</v>
      </c>
      <c r="F369" s="1" t="s">
        <v>693</v>
      </c>
      <c r="G369" s="1" t="s">
        <v>694</v>
      </c>
      <c r="H369" s="9">
        <v>-8991.2199999999993</v>
      </c>
      <c r="I369" s="9">
        <v>0</v>
      </c>
      <c r="J369" s="9">
        <v>0</v>
      </c>
      <c r="K369" s="9">
        <v>0</v>
      </c>
      <c r="L369" s="125">
        <v>-8991.2199999999993</v>
      </c>
    </row>
    <row r="370" spans="1:12" ht="13" x14ac:dyDescent="0.3">
      <c r="A370" s="127">
        <v>39400</v>
      </c>
      <c r="B370" s="1" t="s">
        <v>692</v>
      </c>
      <c r="C370" s="1" t="s">
        <v>692</v>
      </c>
      <c r="D370" t="s">
        <v>213</v>
      </c>
      <c r="E370" t="s">
        <v>89</v>
      </c>
      <c r="F370" s="1" t="s">
        <v>693</v>
      </c>
      <c r="G370" s="1" t="s">
        <v>694</v>
      </c>
      <c r="H370" s="9">
        <v>0</v>
      </c>
      <c r="I370" s="9">
        <v>0</v>
      </c>
      <c r="J370" s="9">
        <v>0</v>
      </c>
      <c r="K370" s="9">
        <v>0</v>
      </c>
      <c r="L370" s="125">
        <v>0</v>
      </c>
    </row>
    <row r="371" spans="1:12" ht="13" x14ac:dyDescent="0.3">
      <c r="A371" s="127">
        <v>39400</v>
      </c>
      <c r="B371" s="1" t="s">
        <v>692</v>
      </c>
      <c r="C371" s="1" t="s">
        <v>692</v>
      </c>
      <c r="D371" t="s">
        <v>242</v>
      </c>
      <c r="E371" t="s">
        <v>89</v>
      </c>
      <c r="F371" s="1" t="s">
        <v>693</v>
      </c>
      <c r="G371" s="1" t="s">
        <v>694</v>
      </c>
      <c r="H371" s="9">
        <v>0</v>
      </c>
      <c r="I371" s="9">
        <v>0</v>
      </c>
      <c r="J371" s="9">
        <v>0</v>
      </c>
      <c r="K371" s="9">
        <v>0</v>
      </c>
      <c r="L371" s="125">
        <v>0</v>
      </c>
    </row>
    <row r="372" spans="1:12" ht="13" x14ac:dyDescent="0.3">
      <c r="A372" s="127">
        <v>39400</v>
      </c>
      <c r="B372" s="1" t="s">
        <v>692</v>
      </c>
      <c r="C372" s="1" t="s">
        <v>692</v>
      </c>
      <c r="D372" t="s">
        <v>274</v>
      </c>
      <c r="E372" t="s">
        <v>89</v>
      </c>
      <c r="F372" s="1" t="s">
        <v>693</v>
      </c>
      <c r="G372" s="1" t="s">
        <v>694</v>
      </c>
      <c r="H372" s="9">
        <v>0</v>
      </c>
      <c r="I372" s="9">
        <v>0</v>
      </c>
      <c r="J372" s="9">
        <v>0</v>
      </c>
      <c r="K372" s="9">
        <v>0</v>
      </c>
      <c r="L372" s="125">
        <v>0</v>
      </c>
    </row>
    <row r="373" spans="1:12" ht="13" x14ac:dyDescent="0.3">
      <c r="A373" s="127">
        <v>39400</v>
      </c>
      <c r="B373" s="1" t="s">
        <v>692</v>
      </c>
      <c r="C373" s="1" t="s">
        <v>692</v>
      </c>
      <c r="D373" t="s">
        <v>334</v>
      </c>
      <c r="E373" t="s">
        <v>89</v>
      </c>
      <c r="F373" s="1" t="s">
        <v>693</v>
      </c>
      <c r="G373" s="1" t="s">
        <v>694</v>
      </c>
      <c r="H373" s="9">
        <v>0</v>
      </c>
      <c r="I373" s="9">
        <v>0</v>
      </c>
      <c r="J373" s="9">
        <v>0</v>
      </c>
      <c r="K373" s="9">
        <v>0</v>
      </c>
      <c r="L373" s="125">
        <v>0</v>
      </c>
    </row>
    <row r="374" spans="1:12" ht="13" x14ac:dyDescent="0.3">
      <c r="A374" s="127">
        <v>39400</v>
      </c>
      <c r="B374" s="1" t="s">
        <v>692</v>
      </c>
      <c r="C374" s="1" t="s">
        <v>692</v>
      </c>
      <c r="D374" t="s">
        <v>364</v>
      </c>
      <c r="E374" t="s">
        <v>89</v>
      </c>
      <c r="F374" s="1" t="s">
        <v>693</v>
      </c>
      <c r="G374" s="1" t="s">
        <v>694</v>
      </c>
      <c r="H374" s="9">
        <v>0</v>
      </c>
      <c r="I374" s="9">
        <v>0</v>
      </c>
      <c r="J374" s="9">
        <v>0</v>
      </c>
      <c r="K374" s="9">
        <v>0</v>
      </c>
      <c r="L374" s="125">
        <v>0</v>
      </c>
    </row>
    <row r="375" spans="1:12" ht="13" x14ac:dyDescent="0.3">
      <c r="A375" s="127">
        <v>39400</v>
      </c>
      <c r="B375" s="1" t="s">
        <v>692</v>
      </c>
      <c r="C375" s="1" t="s">
        <v>692</v>
      </c>
      <c r="D375" t="s">
        <v>396</v>
      </c>
      <c r="E375" t="s">
        <v>89</v>
      </c>
      <c r="F375" s="1" t="s">
        <v>693</v>
      </c>
      <c r="G375" s="1" t="s">
        <v>694</v>
      </c>
      <c r="H375" s="9">
        <v>0</v>
      </c>
      <c r="I375" s="9">
        <v>0</v>
      </c>
      <c r="J375" s="9">
        <v>0</v>
      </c>
      <c r="K375" s="9">
        <v>0</v>
      </c>
      <c r="L375" s="125">
        <v>0</v>
      </c>
    </row>
    <row r="376" spans="1:12" ht="13" x14ac:dyDescent="0.3">
      <c r="A376" s="127">
        <v>39400</v>
      </c>
      <c r="B376" s="1" t="s">
        <v>692</v>
      </c>
      <c r="C376" s="1" t="s">
        <v>692</v>
      </c>
      <c r="D376" t="s">
        <v>423</v>
      </c>
      <c r="E376" t="s">
        <v>89</v>
      </c>
      <c r="F376" s="1" t="s">
        <v>693</v>
      </c>
      <c r="G376" s="1" t="s">
        <v>694</v>
      </c>
      <c r="H376" s="9">
        <v>0</v>
      </c>
      <c r="I376" s="9">
        <v>0</v>
      </c>
      <c r="J376" s="9">
        <v>0</v>
      </c>
      <c r="K376" s="9">
        <v>0</v>
      </c>
      <c r="L376" s="125">
        <v>0</v>
      </c>
    </row>
    <row r="377" spans="1:12" ht="13" x14ac:dyDescent="0.3">
      <c r="A377" s="127">
        <v>39400</v>
      </c>
      <c r="B377" s="1" t="s">
        <v>692</v>
      </c>
      <c r="C377" s="1" t="s">
        <v>692</v>
      </c>
      <c r="D377" t="s">
        <v>448</v>
      </c>
      <c r="E377" t="s">
        <v>89</v>
      </c>
      <c r="F377" s="1" t="s">
        <v>693</v>
      </c>
      <c r="G377" s="1" t="s">
        <v>694</v>
      </c>
      <c r="H377" s="9">
        <v>0</v>
      </c>
      <c r="I377" s="9">
        <v>0</v>
      </c>
      <c r="J377" s="9">
        <v>0</v>
      </c>
      <c r="K377" s="9">
        <v>0</v>
      </c>
      <c r="L377" s="125">
        <v>0</v>
      </c>
    </row>
    <row r="378" spans="1:12" ht="13" x14ac:dyDescent="0.3">
      <c r="A378" s="127">
        <v>39400</v>
      </c>
      <c r="B378" s="1" t="s">
        <v>692</v>
      </c>
      <c r="C378" s="1" t="s">
        <v>692</v>
      </c>
      <c r="D378" t="s">
        <v>475</v>
      </c>
      <c r="E378" t="s">
        <v>89</v>
      </c>
      <c r="F378" s="1" t="s">
        <v>693</v>
      </c>
      <c r="G378" s="1" t="s">
        <v>694</v>
      </c>
      <c r="H378" s="9">
        <v>0</v>
      </c>
      <c r="I378" s="9">
        <v>0</v>
      </c>
      <c r="J378" s="9">
        <v>0</v>
      </c>
      <c r="K378" s="9">
        <v>0</v>
      </c>
      <c r="L378" s="125">
        <v>0</v>
      </c>
    </row>
    <row r="379" spans="1:12" ht="13" x14ac:dyDescent="0.3">
      <c r="A379" s="127">
        <v>39400</v>
      </c>
      <c r="B379" s="1" t="s">
        <v>692</v>
      </c>
      <c r="C379" s="1" t="s">
        <v>692</v>
      </c>
      <c r="D379" t="s">
        <v>506</v>
      </c>
      <c r="E379" t="s">
        <v>89</v>
      </c>
      <c r="F379" s="1" t="s">
        <v>693</v>
      </c>
      <c r="G379" s="1" t="s">
        <v>694</v>
      </c>
      <c r="H379" s="9">
        <v>0</v>
      </c>
      <c r="I379" s="9">
        <v>0</v>
      </c>
      <c r="J379" s="9">
        <v>0</v>
      </c>
      <c r="K379" s="9">
        <v>0</v>
      </c>
      <c r="L379" s="125">
        <v>0</v>
      </c>
    </row>
    <row r="380" spans="1:12" ht="13" x14ac:dyDescent="0.3">
      <c r="A380" s="127">
        <v>39400</v>
      </c>
      <c r="B380" s="1" t="s">
        <v>692</v>
      </c>
      <c r="C380" s="1" t="s">
        <v>692</v>
      </c>
      <c r="D380" t="s">
        <v>541</v>
      </c>
      <c r="E380" t="s">
        <v>89</v>
      </c>
      <c r="F380" s="1" t="s">
        <v>693</v>
      </c>
      <c r="G380" s="1" t="s">
        <v>694</v>
      </c>
      <c r="H380" s="9">
        <v>0</v>
      </c>
      <c r="I380" s="9">
        <v>0</v>
      </c>
      <c r="J380" s="9">
        <v>0</v>
      </c>
      <c r="K380" s="9">
        <v>0</v>
      </c>
      <c r="L380" s="125">
        <v>0</v>
      </c>
    </row>
    <row r="381" spans="1:12" ht="13" x14ac:dyDescent="0.3">
      <c r="A381" s="127">
        <v>39400</v>
      </c>
      <c r="B381" s="1" t="s">
        <v>692</v>
      </c>
      <c r="C381" s="1" t="s">
        <v>692</v>
      </c>
      <c r="D381" t="s">
        <v>578</v>
      </c>
      <c r="E381" t="s">
        <v>89</v>
      </c>
      <c r="F381" s="1" t="s">
        <v>693</v>
      </c>
      <c r="G381" s="1" t="s">
        <v>694</v>
      </c>
      <c r="H381" s="9">
        <v>0</v>
      </c>
      <c r="I381" s="9">
        <v>0</v>
      </c>
      <c r="J381" s="9">
        <v>0</v>
      </c>
      <c r="K381" s="9">
        <v>0</v>
      </c>
      <c r="L381" s="125">
        <v>0</v>
      </c>
    </row>
    <row r="382" spans="1:12" ht="13" x14ac:dyDescent="0.3">
      <c r="A382" s="127">
        <v>39400</v>
      </c>
      <c r="B382" s="1" t="s">
        <v>692</v>
      </c>
      <c r="C382" s="1" t="s">
        <v>692</v>
      </c>
      <c r="D382" t="s">
        <v>607</v>
      </c>
      <c r="E382" t="s">
        <v>89</v>
      </c>
      <c r="F382" s="1" t="s">
        <v>693</v>
      </c>
      <c r="G382" s="1" t="s">
        <v>694</v>
      </c>
      <c r="H382" s="9">
        <v>0</v>
      </c>
      <c r="I382" s="9">
        <v>0</v>
      </c>
      <c r="J382" s="9">
        <v>0</v>
      </c>
      <c r="K382" s="9">
        <v>0</v>
      </c>
      <c r="L382" s="125">
        <v>0</v>
      </c>
    </row>
    <row r="383" spans="1:12" ht="13" x14ac:dyDescent="0.3">
      <c r="A383" s="127">
        <v>39400</v>
      </c>
      <c r="B383" s="1" t="s">
        <v>692</v>
      </c>
      <c r="C383" s="1" t="s">
        <v>692</v>
      </c>
      <c r="D383" t="s">
        <v>640</v>
      </c>
      <c r="E383" t="s">
        <v>89</v>
      </c>
      <c r="F383" s="1" t="s">
        <v>693</v>
      </c>
      <c r="G383" s="1" t="s">
        <v>694</v>
      </c>
      <c r="H383" s="9">
        <v>0</v>
      </c>
      <c r="I383" s="9">
        <v>0</v>
      </c>
      <c r="J383" s="9">
        <v>0</v>
      </c>
      <c r="K383" s="9">
        <v>0</v>
      </c>
      <c r="L383" s="125">
        <v>0</v>
      </c>
    </row>
    <row r="384" spans="1:12" ht="13" x14ac:dyDescent="0.3">
      <c r="A384" s="127">
        <v>39401</v>
      </c>
      <c r="B384" s="1" t="s">
        <v>692</v>
      </c>
      <c r="C384" s="1" t="s">
        <v>692</v>
      </c>
      <c r="D384" t="s">
        <v>665</v>
      </c>
      <c r="E384" t="s">
        <v>89</v>
      </c>
      <c r="F384" s="1" t="s">
        <v>693</v>
      </c>
      <c r="G384" s="1" t="s">
        <v>694</v>
      </c>
      <c r="H384" s="9">
        <v>0</v>
      </c>
      <c r="I384" s="9">
        <v>0</v>
      </c>
      <c r="J384" s="9">
        <v>0</v>
      </c>
      <c r="K384" s="9">
        <v>0</v>
      </c>
      <c r="L384" s="125">
        <v>0</v>
      </c>
    </row>
    <row r="385" spans="1:12" ht="13" x14ac:dyDescent="0.3">
      <c r="A385" s="127">
        <v>39401</v>
      </c>
      <c r="B385" s="1" t="s">
        <v>692</v>
      </c>
      <c r="C385" s="1" t="s">
        <v>692</v>
      </c>
      <c r="D385" t="s">
        <v>542</v>
      </c>
      <c r="E385" t="s">
        <v>89</v>
      </c>
      <c r="F385" s="1" t="s">
        <v>693</v>
      </c>
      <c r="G385" s="1" t="s">
        <v>694</v>
      </c>
      <c r="H385" s="9">
        <v>0</v>
      </c>
      <c r="I385" s="9">
        <v>0</v>
      </c>
      <c r="J385" s="9">
        <v>0</v>
      </c>
      <c r="K385" s="9">
        <v>0</v>
      </c>
      <c r="L385" s="125">
        <v>0</v>
      </c>
    </row>
    <row r="386" spans="1:12" ht="13" x14ac:dyDescent="0.3">
      <c r="A386" s="127">
        <v>39401</v>
      </c>
      <c r="B386" s="1" t="s">
        <v>692</v>
      </c>
      <c r="C386" s="1" t="s">
        <v>692</v>
      </c>
      <c r="D386" t="s">
        <v>579</v>
      </c>
      <c r="E386" t="s">
        <v>89</v>
      </c>
      <c r="F386" s="1" t="s">
        <v>693</v>
      </c>
      <c r="G386" s="1" t="s">
        <v>694</v>
      </c>
      <c r="H386" s="9">
        <v>0</v>
      </c>
      <c r="I386" s="9">
        <v>0</v>
      </c>
      <c r="J386" s="9">
        <v>0</v>
      </c>
      <c r="K386" s="9">
        <v>0</v>
      </c>
      <c r="L386" s="125">
        <v>0</v>
      </c>
    </row>
    <row r="387" spans="1:12" ht="13" x14ac:dyDescent="0.3">
      <c r="A387" s="127">
        <v>39500</v>
      </c>
      <c r="B387" s="1" t="s">
        <v>692</v>
      </c>
      <c r="C387" s="1" t="s">
        <v>692</v>
      </c>
      <c r="D387" t="s">
        <v>214</v>
      </c>
      <c r="E387" t="s">
        <v>89</v>
      </c>
      <c r="F387" s="1" t="s">
        <v>693</v>
      </c>
      <c r="G387" s="1" t="s">
        <v>694</v>
      </c>
      <c r="H387" s="9">
        <v>0</v>
      </c>
      <c r="I387" s="9">
        <v>0</v>
      </c>
      <c r="J387" s="9">
        <v>0</v>
      </c>
      <c r="K387" s="9">
        <v>0</v>
      </c>
      <c r="L387" s="125">
        <v>0</v>
      </c>
    </row>
    <row r="388" spans="1:12" ht="13" x14ac:dyDescent="0.3">
      <c r="A388" s="127">
        <v>39500</v>
      </c>
      <c r="B388" s="1" t="s">
        <v>692</v>
      </c>
      <c r="C388" s="1" t="s">
        <v>692</v>
      </c>
      <c r="D388" t="s">
        <v>243</v>
      </c>
      <c r="E388" t="s">
        <v>89</v>
      </c>
      <c r="F388" s="1" t="s">
        <v>693</v>
      </c>
      <c r="G388" s="1" t="s">
        <v>694</v>
      </c>
      <c r="H388" s="9">
        <v>0</v>
      </c>
      <c r="I388" s="9">
        <v>0</v>
      </c>
      <c r="J388" s="9">
        <v>0</v>
      </c>
      <c r="K388" s="9">
        <v>0</v>
      </c>
      <c r="L388" s="125">
        <v>0</v>
      </c>
    </row>
    <row r="389" spans="1:12" ht="13" x14ac:dyDescent="0.3">
      <c r="A389" s="127">
        <v>39500</v>
      </c>
      <c r="B389" s="1" t="s">
        <v>692</v>
      </c>
      <c r="C389" s="1" t="s">
        <v>692</v>
      </c>
      <c r="D389" t="s">
        <v>543</v>
      </c>
      <c r="E389" t="s">
        <v>89</v>
      </c>
      <c r="F389" s="1" t="s">
        <v>693</v>
      </c>
      <c r="G389" s="1" t="s">
        <v>694</v>
      </c>
      <c r="H389" s="9">
        <v>0</v>
      </c>
      <c r="I389" s="9">
        <v>0</v>
      </c>
      <c r="J389" s="9">
        <v>0</v>
      </c>
      <c r="K389" s="9">
        <v>0</v>
      </c>
      <c r="L389" s="125">
        <v>0</v>
      </c>
    </row>
    <row r="390" spans="1:12" ht="13" x14ac:dyDescent="0.3">
      <c r="A390" s="127">
        <v>39500</v>
      </c>
      <c r="B390" s="1" t="s">
        <v>692</v>
      </c>
      <c r="C390" s="1" t="s">
        <v>692</v>
      </c>
      <c r="D390" t="s">
        <v>641</v>
      </c>
      <c r="E390" t="s">
        <v>89</v>
      </c>
      <c r="F390" s="1" t="s">
        <v>693</v>
      </c>
      <c r="G390" s="1" t="s">
        <v>694</v>
      </c>
      <c r="H390" s="9">
        <v>0</v>
      </c>
      <c r="I390" s="9">
        <v>0</v>
      </c>
      <c r="J390" s="9">
        <v>0</v>
      </c>
      <c r="K390" s="9">
        <v>0</v>
      </c>
      <c r="L390" s="125">
        <v>0</v>
      </c>
    </row>
    <row r="391" spans="1:12" ht="13" x14ac:dyDescent="0.3">
      <c r="A391" s="127">
        <v>39600</v>
      </c>
      <c r="B391" s="1" t="s">
        <v>692</v>
      </c>
      <c r="C391" s="1" t="s">
        <v>692</v>
      </c>
      <c r="D391" t="s">
        <v>365</v>
      </c>
      <c r="E391" t="s">
        <v>89</v>
      </c>
      <c r="F391" s="1" t="s">
        <v>693</v>
      </c>
      <c r="G391" s="1" t="s">
        <v>694</v>
      </c>
      <c r="H391" s="9">
        <v>-381.06</v>
      </c>
      <c r="I391" s="9">
        <v>0</v>
      </c>
      <c r="J391" s="9">
        <v>0</v>
      </c>
      <c r="K391" s="9">
        <v>0</v>
      </c>
      <c r="L391" s="125">
        <v>-381.06</v>
      </c>
    </row>
    <row r="392" spans="1:12" ht="13" x14ac:dyDescent="0.3">
      <c r="A392" s="127">
        <v>39600</v>
      </c>
      <c r="B392" s="1" t="s">
        <v>692</v>
      </c>
      <c r="C392" s="1" t="s">
        <v>692</v>
      </c>
      <c r="D392" t="s">
        <v>244</v>
      </c>
      <c r="E392" t="s">
        <v>89</v>
      </c>
      <c r="F392" s="1" t="s">
        <v>693</v>
      </c>
      <c r="G392" s="1" t="s">
        <v>694</v>
      </c>
      <c r="H392" s="9">
        <v>0</v>
      </c>
      <c r="I392" s="9">
        <v>0</v>
      </c>
      <c r="J392" s="9">
        <v>0</v>
      </c>
      <c r="K392" s="9">
        <v>0</v>
      </c>
      <c r="L392" s="125">
        <v>0</v>
      </c>
    </row>
    <row r="393" spans="1:12" ht="13" x14ac:dyDescent="0.3">
      <c r="A393" s="127">
        <v>39600</v>
      </c>
      <c r="B393" s="1" t="s">
        <v>692</v>
      </c>
      <c r="C393" s="1" t="s">
        <v>692</v>
      </c>
      <c r="D393" t="s">
        <v>275</v>
      </c>
      <c r="E393" t="s">
        <v>89</v>
      </c>
      <c r="F393" s="1" t="s">
        <v>693</v>
      </c>
      <c r="G393" s="1" t="s">
        <v>694</v>
      </c>
      <c r="H393" s="9">
        <v>0</v>
      </c>
      <c r="I393" s="9">
        <v>0</v>
      </c>
      <c r="J393" s="9">
        <v>0</v>
      </c>
      <c r="K393" s="9">
        <v>0</v>
      </c>
      <c r="L393" s="125">
        <v>0</v>
      </c>
    </row>
    <row r="394" spans="1:12" ht="13" x14ac:dyDescent="0.3">
      <c r="A394" s="127">
        <v>39600</v>
      </c>
      <c r="B394" s="1" t="s">
        <v>692</v>
      </c>
      <c r="C394" s="1" t="s">
        <v>692</v>
      </c>
      <c r="D394" t="s">
        <v>305</v>
      </c>
      <c r="E394" t="s">
        <v>89</v>
      </c>
      <c r="F394" s="1" t="s">
        <v>693</v>
      </c>
      <c r="G394" s="1" t="s">
        <v>694</v>
      </c>
      <c r="H394" s="9">
        <v>0</v>
      </c>
      <c r="I394" s="9">
        <v>0</v>
      </c>
      <c r="J394" s="9">
        <v>0</v>
      </c>
      <c r="K394" s="9">
        <v>0</v>
      </c>
      <c r="L394" s="125">
        <v>0</v>
      </c>
    </row>
    <row r="395" spans="1:12" ht="13" x14ac:dyDescent="0.3">
      <c r="A395" s="127">
        <v>39600</v>
      </c>
      <c r="B395" s="1" t="s">
        <v>692</v>
      </c>
      <c r="C395" s="1" t="s">
        <v>692</v>
      </c>
      <c r="D395" t="s">
        <v>335</v>
      </c>
      <c r="E395" t="s">
        <v>89</v>
      </c>
      <c r="F395" s="1" t="s">
        <v>693</v>
      </c>
      <c r="G395" s="1" t="s">
        <v>694</v>
      </c>
      <c r="H395" s="9">
        <v>0</v>
      </c>
      <c r="I395" s="9">
        <v>0</v>
      </c>
      <c r="J395" s="9">
        <v>0</v>
      </c>
      <c r="K395" s="9">
        <v>0</v>
      </c>
      <c r="L395" s="125">
        <v>0</v>
      </c>
    </row>
    <row r="396" spans="1:12" ht="13" x14ac:dyDescent="0.3">
      <c r="A396" s="127">
        <v>39600</v>
      </c>
      <c r="B396" s="1" t="s">
        <v>692</v>
      </c>
      <c r="C396" s="1" t="s">
        <v>692</v>
      </c>
      <c r="D396" t="s">
        <v>397</v>
      </c>
      <c r="E396" t="s">
        <v>89</v>
      </c>
      <c r="F396" s="1" t="s">
        <v>693</v>
      </c>
      <c r="G396" s="1" t="s">
        <v>694</v>
      </c>
      <c r="H396" s="9">
        <v>0</v>
      </c>
      <c r="I396" s="9">
        <v>0</v>
      </c>
      <c r="J396" s="9">
        <v>0</v>
      </c>
      <c r="K396" s="9">
        <v>0</v>
      </c>
      <c r="L396" s="125">
        <v>0</v>
      </c>
    </row>
    <row r="397" spans="1:12" ht="13" x14ac:dyDescent="0.3">
      <c r="A397" s="127">
        <v>39600</v>
      </c>
      <c r="B397" s="1" t="s">
        <v>692</v>
      </c>
      <c r="C397" s="1" t="s">
        <v>692</v>
      </c>
      <c r="D397" t="s">
        <v>424</v>
      </c>
      <c r="E397" t="s">
        <v>89</v>
      </c>
      <c r="F397" s="1" t="s">
        <v>693</v>
      </c>
      <c r="G397" s="1" t="s">
        <v>694</v>
      </c>
      <c r="H397" s="9">
        <v>0</v>
      </c>
      <c r="I397" s="9">
        <v>0</v>
      </c>
      <c r="J397" s="9">
        <v>0</v>
      </c>
      <c r="K397" s="9">
        <v>0</v>
      </c>
      <c r="L397" s="125">
        <v>0</v>
      </c>
    </row>
    <row r="398" spans="1:12" ht="13" x14ac:dyDescent="0.3">
      <c r="A398" s="127">
        <v>39600</v>
      </c>
      <c r="B398" s="1" t="s">
        <v>692</v>
      </c>
      <c r="C398" s="1" t="s">
        <v>692</v>
      </c>
      <c r="D398" t="s">
        <v>449</v>
      </c>
      <c r="E398" t="s">
        <v>89</v>
      </c>
      <c r="F398" s="1" t="s">
        <v>693</v>
      </c>
      <c r="G398" s="1" t="s">
        <v>694</v>
      </c>
      <c r="H398" s="9">
        <v>0</v>
      </c>
      <c r="I398" s="9">
        <v>0</v>
      </c>
      <c r="J398" s="9">
        <v>0</v>
      </c>
      <c r="K398" s="9">
        <v>0</v>
      </c>
      <c r="L398" s="125">
        <v>0</v>
      </c>
    </row>
    <row r="399" spans="1:12" ht="13" x14ac:dyDescent="0.3">
      <c r="A399" s="127">
        <v>39600</v>
      </c>
      <c r="B399" s="1" t="s">
        <v>692</v>
      </c>
      <c r="C399" s="1" t="s">
        <v>692</v>
      </c>
      <c r="D399" t="s">
        <v>476</v>
      </c>
      <c r="E399" t="s">
        <v>89</v>
      </c>
      <c r="F399" s="1" t="s">
        <v>693</v>
      </c>
      <c r="G399" s="1" t="s">
        <v>694</v>
      </c>
      <c r="H399" s="9">
        <v>0</v>
      </c>
      <c r="I399" s="9">
        <v>0</v>
      </c>
      <c r="J399" s="9">
        <v>0</v>
      </c>
      <c r="K399" s="9">
        <v>0</v>
      </c>
      <c r="L399" s="125">
        <v>0</v>
      </c>
    </row>
    <row r="400" spans="1:12" ht="13" x14ac:dyDescent="0.3">
      <c r="A400" s="127">
        <v>39600</v>
      </c>
      <c r="B400" s="1" t="s">
        <v>692</v>
      </c>
      <c r="C400" s="1" t="s">
        <v>692</v>
      </c>
      <c r="D400" t="s">
        <v>507</v>
      </c>
      <c r="E400" t="s">
        <v>89</v>
      </c>
      <c r="F400" s="1" t="s">
        <v>693</v>
      </c>
      <c r="G400" s="1" t="s">
        <v>694</v>
      </c>
      <c r="H400" s="9">
        <v>0</v>
      </c>
      <c r="I400" s="9">
        <v>0</v>
      </c>
      <c r="J400" s="9">
        <v>0</v>
      </c>
      <c r="K400" s="9">
        <v>0</v>
      </c>
      <c r="L400" s="125">
        <v>0</v>
      </c>
    </row>
    <row r="401" spans="1:12" ht="13" x14ac:dyDescent="0.3">
      <c r="A401" s="127">
        <v>39600</v>
      </c>
      <c r="B401" s="1" t="s">
        <v>692</v>
      </c>
      <c r="C401" s="1" t="s">
        <v>692</v>
      </c>
      <c r="D401" t="s">
        <v>544</v>
      </c>
      <c r="E401" t="s">
        <v>89</v>
      </c>
      <c r="F401" s="1" t="s">
        <v>693</v>
      </c>
      <c r="G401" s="1" t="s">
        <v>694</v>
      </c>
      <c r="H401" s="9">
        <v>0</v>
      </c>
      <c r="I401" s="9">
        <v>0</v>
      </c>
      <c r="J401" s="9">
        <v>0</v>
      </c>
      <c r="K401" s="9">
        <v>0</v>
      </c>
      <c r="L401" s="125">
        <v>0</v>
      </c>
    </row>
    <row r="402" spans="1:12" ht="13" x14ac:dyDescent="0.3">
      <c r="A402" s="127">
        <v>39600</v>
      </c>
      <c r="B402" s="1" t="s">
        <v>692</v>
      </c>
      <c r="C402" s="1" t="s">
        <v>692</v>
      </c>
      <c r="D402" t="s">
        <v>580</v>
      </c>
      <c r="E402" t="s">
        <v>89</v>
      </c>
      <c r="F402" s="1" t="s">
        <v>693</v>
      </c>
      <c r="G402" s="1" t="s">
        <v>694</v>
      </c>
      <c r="H402" s="9">
        <v>0</v>
      </c>
      <c r="I402" s="9">
        <v>0</v>
      </c>
      <c r="J402" s="9">
        <v>0</v>
      </c>
      <c r="K402" s="9">
        <v>0</v>
      </c>
      <c r="L402" s="125">
        <v>0</v>
      </c>
    </row>
    <row r="403" spans="1:12" ht="13" x14ac:dyDescent="0.3">
      <c r="A403" s="127">
        <v>39600</v>
      </c>
      <c r="B403" s="1" t="s">
        <v>692</v>
      </c>
      <c r="C403" s="1" t="s">
        <v>692</v>
      </c>
      <c r="D403" t="s">
        <v>608</v>
      </c>
      <c r="E403" t="s">
        <v>89</v>
      </c>
      <c r="F403" s="1" t="s">
        <v>693</v>
      </c>
      <c r="G403" s="1" t="s">
        <v>694</v>
      </c>
      <c r="H403" s="9">
        <v>0</v>
      </c>
      <c r="I403" s="9">
        <v>0</v>
      </c>
      <c r="J403" s="9">
        <v>0</v>
      </c>
      <c r="K403" s="9">
        <v>0</v>
      </c>
      <c r="L403" s="125">
        <v>0</v>
      </c>
    </row>
    <row r="404" spans="1:12" ht="13" x14ac:dyDescent="0.3">
      <c r="A404" s="127">
        <v>39600</v>
      </c>
      <c r="B404" s="1" t="s">
        <v>692</v>
      </c>
      <c r="C404" s="1" t="s">
        <v>692</v>
      </c>
      <c r="D404" t="s">
        <v>642</v>
      </c>
      <c r="E404" t="s">
        <v>89</v>
      </c>
      <c r="F404" s="1" t="s">
        <v>693</v>
      </c>
      <c r="G404" s="1" t="s">
        <v>694</v>
      </c>
      <c r="H404" s="9">
        <v>0</v>
      </c>
      <c r="I404" s="9">
        <v>0</v>
      </c>
      <c r="J404" s="9">
        <v>0</v>
      </c>
      <c r="K404" s="9">
        <v>0</v>
      </c>
      <c r="L404" s="125">
        <v>0</v>
      </c>
    </row>
    <row r="405" spans="1:12" ht="13" x14ac:dyDescent="0.3">
      <c r="A405" s="127">
        <v>39600</v>
      </c>
      <c r="B405" s="1" t="s">
        <v>692</v>
      </c>
      <c r="C405" s="1" t="s">
        <v>692</v>
      </c>
      <c r="D405" t="s">
        <v>215</v>
      </c>
      <c r="E405" t="s">
        <v>89</v>
      </c>
      <c r="F405" s="1" t="s">
        <v>693</v>
      </c>
      <c r="G405" s="1" t="s">
        <v>694</v>
      </c>
      <c r="H405" s="9">
        <v>191.61</v>
      </c>
      <c r="I405" s="9">
        <v>0</v>
      </c>
      <c r="J405" s="9">
        <v>0</v>
      </c>
      <c r="K405" s="9">
        <v>0</v>
      </c>
      <c r="L405" s="125">
        <v>191.61</v>
      </c>
    </row>
    <row r="406" spans="1:12" ht="13" x14ac:dyDescent="0.3">
      <c r="A406" s="127">
        <v>39700</v>
      </c>
      <c r="B406" s="1" t="s">
        <v>692</v>
      </c>
      <c r="C406" s="1" t="s">
        <v>692</v>
      </c>
      <c r="D406" t="s">
        <v>216</v>
      </c>
      <c r="E406" t="s">
        <v>89</v>
      </c>
      <c r="F406" s="1" t="s">
        <v>693</v>
      </c>
      <c r="G406" s="1" t="s">
        <v>694</v>
      </c>
      <c r="H406" s="9">
        <v>0</v>
      </c>
      <c r="I406" s="9">
        <v>0</v>
      </c>
      <c r="J406" s="9">
        <v>0</v>
      </c>
      <c r="K406" s="9">
        <v>0</v>
      </c>
      <c r="L406" s="125">
        <v>0</v>
      </c>
    </row>
    <row r="407" spans="1:12" ht="13" x14ac:dyDescent="0.3">
      <c r="A407" s="127">
        <v>39700</v>
      </c>
      <c r="B407" s="1" t="s">
        <v>692</v>
      </c>
      <c r="C407" s="1" t="s">
        <v>692</v>
      </c>
      <c r="D407" t="s">
        <v>245</v>
      </c>
      <c r="E407" t="s">
        <v>89</v>
      </c>
      <c r="F407" s="1" t="s">
        <v>693</v>
      </c>
      <c r="G407" s="1" t="s">
        <v>694</v>
      </c>
      <c r="H407" s="9">
        <v>0</v>
      </c>
      <c r="I407" s="9">
        <v>0</v>
      </c>
      <c r="J407" s="9">
        <v>0</v>
      </c>
      <c r="K407" s="9">
        <v>0</v>
      </c>
      <c r="L407" s="125">
        <v>0</v>
      </c>
    </row>
    <row r="408" spans="1:12" ht="13" x14ac:dyDescent="0.3">
      <c r="A408" s="127">
        <v>39700</v>
      </c>
      <c r="B408" s="1" t="s">
        <v>692</v>
      </c>
      <c r="C408" s="1" t="s">
        <v>692</v>
      </c>
      <c r="D408" t="s">
        <v>276</v>
      </c>
      <c r="E408" t="s">
        <v>89</v>
      </c>
      <c r="F408" s="1" t="s">
        <v>693</v>
      </c>
      <c r="G408" s="1" t="s">
        <v>694</v>
      </c>
      <c r="H408" s="9">
        <v>0</v>
      </c>
      <c r="I408" s="9">
        <v>0</v>
      </c>
      <c r="J408" s="9">
        <v>0</v>
      </c>
      <c r="K408" s="9">
        <v>0</v>
      </c>
      <c r="L408" s="125">
        <v>0</v>
      </c>
    </row>
    <row r="409" spans="1:12" ht="13" x14ac:dyDescent="0.3">
      <c r="A409" s="127">
        <v>39700</v>
      </c>
      <c r="B409" s="1" t="s">
        <v>692</v>
      </c>
      <c r="C409" s="1" t="s">
        <v>692</v>
      </c>
      <c r="D409" t="s">
        <v>306</v>
      </c>
      <c r="E409" t="s">
        <v>89</v>
      </c>
      <c r="F409" s="1" t="s">
        <v>693</v>
      </c>
      <c r="G409" s="1" t="s">
        <v>694</v>
      </c>
      <c r="H409" s="9">
        <v>0</v>
      </c>
      <c r="I409" s="9">
        <v>0</v>
      </c>
      <c r="J409" s="9">
        <v>0</v>
      </c>
      <c r="K409" s="9">
        <v>0</v>
      </c>
      <c r="L409" s="125">
        <v>0</v>
      </c>
    </row>
    <row r="410" spans="1:12" ht="13" x14ac:dyDescent="0.3">
      <c r="A410" s="127">
        <v>39700</v>
      </c>
      <c r="B410" s="1" t="s">
        <v>692</v>
      </c>
      <c r="C410" s="1" t="s">
        <v>692</v>
      </c>
      <c r="D410" t="s">
        <v>336</v>
      </c>
      <c r="E410" t="s">
        <v>89</v>
      </c>
      <c r="F410" s="1" t="s">
        <v>693</v>
      </c>
      <c r="G410" s="1" t="s">
        <v>694</v>
      </c>
      <c r="H410" s="9">
        <v>0</v>
      </c>
      <c r="I410" s="9">
        <v>0</v>
      </c>
      <c r="J410" s="9">
        <v>0</v>
      </c>
      <c r="K410" s="9">
        <v>0</v>
      </c>
      <c r="L410" s="125">
        <v>0</v>
      </c>
    </row>
    <row r="411" spans="1:12" ht="13" x14ac:dyDescent="0.3">
      <c r="A411" s="127">
        <v>39700</v>
      </c>
      <c r="B411" s="1" t="s">
        <v>692</v>
      </c>
      <c r="C411" s="1" t="s">
        <v>692</v>
      </c>
      <c r="D411" t="s">
        <v>366</v>
      </c>
      <c r="E411" t="s">
        <v>89</v>
      </c>
      <c r="F411" s="1" t="s">
        <v>693</v>
      </c>
      <c r="G411" s="1" t="s">
        <v>694</v>
      </c>
      <c r="H411" s="9">
        <v>0</v>
      </c>
      <c r="I411" s="9">
        <v>0</v>
      </c>
      <c r="J411" s="9">
        <v>0</v>
      </c>
      <c r="K411" s="9">
        <v>0</v>
      </c>
      <c r="L411" s="125">
        <v>0</v>
      </c>
    </row>
    <row r="412" spans="1:12" ht="13" x14ac:dyDescent="0.3">
      <c r="A412" s="127">
        <v>39700</v>
      </c>
      <c r="B412" s="1" t="s">
        <v>692</v>
      </c>
      <c r="C412" s="1" t="s">
        <v>692</v>
      </c>
      <c r="D412" t="s">
        <v>398</v>
      </c>
      <c r="E412" t="s">
        <v>89</v>
      </c>
      <c r="F412" s="1" t="s">
        <v>693</v>
      </c>
      <c r="G412" s="1" t="s">
        <v>694</v>
      </c>
      <c r="H412" s="9">
        <v>0</v>
      </c>
      <c r="I412" s="9">
        <v>0</v>
      </c>
      <c r="J412" s="9">
        <v>0</v>
      </c>
      <c r="K412" s="9">
        <v>0</v>
      </c>
      <c r="L412" s="125">
        <v>0</v>
      </c>
    </row>
    <row r="413" spans="1:12" ht="13" x14ac:dyDescent="0.3">
      <c r="A413" s="127">
        <v>39700</v>
      </c>
      <c r="B413" s="1" t="s">
        <v>692</v>
      </c>
      <c r="C413" s="1" t="s">
        <v>692</v>
      </c>
      <c r="D413" t="s">
        <v>425</v>
      </c>
      <c r="E413" t="s">
        <v>89</v>
      </c>
      <c r="F413" s="1" t="s">
        <v>693</v>
      </c>
      <c r="G413" s="1" t="s">
        <v>694</v>
      </c>
      <c r="H413" s="9">
        <v>0</v>
      </c>
      <c r="I413" s="9">
        <v>0</v>
      </c>
      <c r="J413" s="9">
        <v>0</v>
      </c>
      <c r="K413" s="9">
        <v>0</v>
      </c>
      <c r="L413" s="125">
        <v>0</v>
      </c>
    </row>
    <row r="414" spans="1:12" ht="13" x14ac:dyDescent="0.3">
      <c r="A414" s="127">
        <v>39700</v>
      </c>
      <c r="B414" s="1" t="s">
        <v>692</v>
      </c>
      <c r="C414" s="1" t="s">
        <v>692</v>
      </c>
      <c r="D414" t="s">
        <v>450</v>
      </c>
      <c r="E414" t="s">
        <v>89</v>
      </c>
      <c r="F414" s="1" t="s">
        <v>693</v>
      </c>
      <c r="G414" s="1" t="s">
        <v>694</v>
      </c>
      <c r="H414" s="9">
        <v>0</v>
      </c>
      <c r="I414" s="9">
        <v>0</v>
      </c>
      <c r="J414" s="9">
        <v>0</v>
      </c>
      <c r="K414" s="9">
        <v>0</v>
      </c>
      <c r="L414" s="125">
        <v>0</v>
      </c>
    </row>
    <row r="415" spans="1:12" ht="13" x14ac:dyDescent="0.3">
      <c r="A415" s="127">
        <v>39700</v>
      </c>
      <c r="B415" s="1" t="s">
        <v>692</v>
      </c>
      <c r="C415" s="1" t="s">
        <v>692</v>
      </c>
      <c r="D415" t="s">
        <v>477</v>
      </c>
      <c r="E415" t="s">
        <v>89</v>
      </c>
      <c r="F415" s="1" t="s">
        <v>693</v>
      </c>
      <c r="G415" s="1" t="s">
        <v>694</v>
      </c>
      <c r="H415" s="9">
        <v>0</v>
      </c>
      <c r="I415" s="9">
        <v>0</v>
      </c>
      <c r="J415" s="9">
        <v>0</v>
      </c>
      <c r="K415" s="9">
        <v>0</v>
      </c>
      <c r="L415" s="125">
        <v>0</v>
      </c>
    </row>
    <row r="416" spans="1:12" ht="13" x14ac:dyDescent="0.3">
      <c r="A416" s="127">
        <v>39700</v>
      </c>
      <c r="B416" s="1" t="s">
        <v>692</v>
      </c>
      <c r="C416" s="1" t="s">
        <v>692</v>
      </c>
      <c r="D416" t="s">
        <v>508</v>
      </c>
      <c r="E416" t="s">
        <v>89</v>
      </c>
      <c r="F416" s="1" t="s">
        <v>693</v>
      </c>
      <c r="G416" s="1" t="s">
        <v>694</v>
      </c>
      <c r="H416" s="9">
        <v>0</v>
      </c>
      <c r="I416" s="9">
        <v>0</v>
      </c>
      <c r="J416" s="9">
        <v>0</v>
      </c>
      <c r="K416" s="9">
        <v>0</v>
      </c>
      <c r="L416" s="125">
        <v>0</v>
      </c>
    </row>
    <row r="417" spans="1:12" ht="13" x14ac:dyDescent="0.3">
      <c r="A417" s="127">
        <v>39700</v>
      </c>
      <c r="B417" s="1" t="s">
        <v>692</v>
      </c>
      <c r="C417" s="1" t="s">
        <v>692</v>
      </c>
      <c r="D417" t="s">
        <v>545</v>
      </c>
      <c r="E417" t="s">
        <v>89</v>
      </c>
      <c r="F417" s="1" t="s">
        <v>693</v>
      </c>
      <c r="G417" s="1" t="s">
        <v>694</v>
      </c>
      <c r="H417" s="9">
        <v>0</v>
      </c>
      <c r="I417" s="9">
        <v>0</v>
      </c>
      <c r="J417" s="9">
        <v>0</v>
      </c>
      <c r="K417" s="9">
        <v>0</v>
      </c>
      <c r="L417" s="125">
        <v>0</v>
      </c>
    </row>
    <row r="418" spans="1:12" ht="13" x14ac:dyDescent="0.3">
      <c r="A418" s="127">
        <v>39700</v>
      </c>
      <c r="B418" s="1" t="s">
        <v>692</v>
      </c>
      <c r="C418" s="1" t="s">
        <v>692</v>
      </c>
      <c r="D418" t="s">
        <v>581</v>
      </c>
      <c r="E418" t="s">
        <v>89</v>
      </c>
      <c r="F418" s="1" t="s">
        <v>693</v>
      </c>
      <c r="G418" s="1" t="s">
        <v>694</v>
      </c>
      <c r="H418" s="9">
        <v>0</v>
      </c>
      <c r="I418" s="9">
        <v>0</v>
      </c>
      <c r="J418" s="9">
        <v>0</v>
      </c>
      <c r="K418" s="9">
        <v>0</v>
      </c>
      <c r="L418" s="125">
        <v>0</v>
      </c>
    </row>
    <row r="419" spans="1:12" ht="13" x14ac:dyDescent="0.3">
      <c r="A419" s="127">
        <v>39700</v>
      </c>
      <c r="B419" s="1" t="s">
        <v>692</v>
      </c>
      <c r="C419" s="1" t="s">
        <v>692</v>
      </c>
      <c r="D419" t="s">
        <v>609</v>
      </c>
      <c r="E419" t="s">
        <v>89</v>
      </c>
      <c r="F419" s="1" t="s">
        <v>693</v>
      </c>
      <c r="G419" s="1" t="s">
        <v>694</v>
      </c>
      <c r="H419" s="9">
        <v>0</v>
      </c>
      <c r="I419" s="9">
        <v>0</v>
      </c>
      <c r="J419" s="9">
        <v>0</v>
      </c>
      <c r="K419" s="9">
        <v>0</v>
      </c>
      <c r="L419" s="125">
        <v>0</v>
      </c>
    </row>
    <row r="420" spans="1:12" ht="13" x14ac:dyDescent="0.3">
      <c r="A420" s="127">
        <v>39700</v>
      </c>
      <c r="B420" s="1" t="s">
        <v>692</v>
      </c>
      <c r="C420" s="1" t="s">
        <v>692</v>
      </c>
      <c r="D420" t="s">
        <v>616</v>
      </c>
      <c r="E420" t="s">
        <v>89</v>
      </c>
      <c r="F420" s="1" t="s">
        <v>693</v>
      </c>
      <c r="G420" s="1" t="s">
        <v>694</v>
      </c>
      <c r="H420" s="9">
        <v>0</v>
      </c>
      <c r="I420" s="9">
        <v>0</v>
      </c>
      <c r="J420" s="9">
        <v>0</v>
      </c>
      <c r="K420" s="9">
        <v>0</v>
      </c>
      <c r="L420" s="125">
        <v>0</v>
      </c>
    </row>
    <row r="421" spans="1:12" ht="13" x14ac:dyDescent="0.3">
      <c r="A421" s="127">
        <v>39700</v>
      </c>
      <c r="B421" s="1" t="s">
        <v>692</v>
      </c>
      <c r="C421" s="1" t="s">
        <v>692</v>
      </c>
      <c r="D421" t="s">
        <v>643</v>
      </c>
      <c r="E421" t="s">
        <v>89</v>
      </c>
      <c r="F421" s="1" t="s">
        <v>693</v>
      </c>
      <c r="G421" s="1" t="s">
        <v>694</v>
      </c>
      <c r="H421" s="9">
        <v>0</v>
      </c>
      <c r="I421" s="9">
        <v>0</v>
      </c>
      <c r="J421" s="9">
        <v>0</v>
      </c>
      <c r="K421" s="9">
        <v>0</v>
      </c>
      <c r="L421" s="125">
        <v>0</v>
      </c>
    </row>
    <row r="422" spans="1:12" ht="13" x14ac:dyDescent="0.3">
      <c r="A422" s="127">
        <v>39800</v>
      </c>
      <c r="B422" s="1" t="s">
        <v>692</v>
      </c>
      <c r="C422" s="1" t="s">
        <v>692</v>
      </c>
      <c r="D422" t="s">
        <v>217</v>
      </c>
      <c r="E422" t="s">
        <v>89</v>
      </c>
      <c r="F422" s="1" t="s">
        <v>693</v>
      </c>
      <c r="G422" s="1" t="s">
        <v>694</v>
      </c>
      <c r="H422" s="9">
        <v>0</v>
      </c>
      <c r="I422" s="9">
        <v>0</v>
      </c>
      <c r="J422" s="9">
        <v>0</v>
      </c>
      <c r="K422" s="9">
        <v>0</v>
      </c>
      <c r="L422" s="125">
        <v>0</v>
      </c>
    </row>
    <row r="423" spans="1:12" ht="13" x14ac:dyDescent="0.3">
      <c r="A423" s="127">
        <v>39800</v>
      </c>
      <c r="B423" s="1" t="s">
        <v>692</v>
      </c>
      <c r="C423" s="1" t="s">
        <v>692</v>
      </c>
      <c r="D423" t="s">
        <v>246</v>
      </c>
      <c r="E423" t="s">
        <v>89</v>
      </c>
      <c r="F423" s="1" t="s">
        <v>693</v>
      </c>
      <c r="G423" s="1" t="s">
        <v>694</v>
      </c>
      <c r="H423" s="9">
        <v>0</v>
      </c>
      <c r="I423" s="9">
        <v>0</v>
      </c>
      <c r="J423" s="9">
        <v>0</v>
      </c>
      <c r="K423" s="9">
        <v>0</v>
      </c>
      <c r="L423" s="125">
        <v>0</v>
      </c>
    </row>
    <row r="424" spans="1:12" ht="13" x14ac:dyDescent="0.3">
      <c r="A424" s="127">
        <v>39800</v>
      </c>
      <c r="B424" s="1" t="s">
        <v>692</v>
      </c>
      <c r="C424" s="1" t="s">
        <v>692</v>
      </c>
      <c r="D424" t="s">
        <v>277</v>
      </c>
      <c r="E424" t="s">
        <v>89</v>
      </c>
      <c r="F424" s="1" t="s">
        <v>693</v>
      </c>
      <c r="G424" s="1" t="s">
        <v>694</v>
      </c>
      <c r="H424" s="9">
        <v>0</v>
      </c>
      <c r="I424" s="9">
        <v>0</v>
      </c>
      <c r="J424" s="9">
        <v>0</v>
      </c>
      <c r="K424" s="9">
        <v>0</v>
      </c>
      <c r="L424" s="125">
        <v>0</v>
      </c>
    </row>
    <row r="425" spans="1:12" ht="13" x14ac:dyDescent="0.3">
      <c r="A425" s="127">
        <v>39800</v>
      </c>
      <c r="B425" s="1" t="s">
        <v>692</v>
      </c>
      <c r="C425" s="1" t="s">
        <v>692</v>
      </c>
      <c r="D425" t="s">
        <v>307</v>
      </c>
      <c r="E425" t="s">
        <v>89</v>
      </c>
      <c r="F425" s="1" t="s">
        <v>693</v>
      </c>
      <c r="G425" s="1" t="s">
        <v>694</v>
      </c>
      <c r="H425" s="9">
        <v>0</v>
      </c>
      <c r="I425" s="9">
        <v>0</v>
      </c>
      <c r="J425" s="9">
        <v>0</v>
      </c>
      <c r="K425" s="9">
        <v>0</v>
      </c>
      <c r="L425" s="125">
        <v>0</v>
      </c>
    </row>
    <row r="426" spans="1:12" ht="13" x14ac:dyDescent="0.3">
      <c r="A426" s="127">
        <v>39800</v>
      </c>
      <c r="B426" s="1" t="s">
        <v>692</v>
      </c>
      <c r="C426" s="1" t="s">
        <v>692</v>
      </c>
      <c r="D426" t="s">
        <v>337</v>
      </c>
      <c r="E426" t="s">
        <v>89</v>
      </c>
      <c r="F426" s="1" t="s">
        <v>693</v>
      </c>
      <c r="G426" s="1" t="s">
        <v>694</v>
      </c>
      <c r="H426" s="9">
        <v>0</v>
      </c>
      <c r="I426" s="9">
        <v>0</v>
      </c>
      <c r="J426" s="9">
        <v>0</v>
      </c>
      <c r="K426" s="9">
        <v>0</v>
      </c>
      <c r="L426" s="125">
        <v>0</v>
      </c>
    </row>
    <row r="427" spans="1:12" ht="13" x14ac:dyDescent="0.3">
      <c r="A427" s="127">
        <v>39800</v>
      </c>
      <c r="B427" s="1" t="s">
        <v>692</v>
      </c>
      <c r="C427" s="1" t="s">
        <v>692</v>
      </c>
      <c r="D427" t="s">
        <v>367</v>
      </c>
      <c r="E427" t="s">
        <v>89</v>
      </c>
      <c r="F427" s="1" t="s">
        <v>693</v>
      </c>
      <c r="G427" s="1" t="s">
        <v>694</v>
      </c>
      <c r="H427" s="9">
        <v>0</v>
      </c>
      <c r="I427" s="9">
        <v>0</v>
      </c>
      <c r="J427" s="9">
        <v>0</v>
      </c>
      <c r="K427" s="9">
        <v>0</v>
      </c>
      <c r="L427" s="125">
        <v>0</v>
      </c>
    </row>
    <row r="428" spans="1:12" ht="13" x14ac:dyDescent="0.3">
      <c r="A428" s="127">
        <v>39800</v>
      </c>
      <c r="B428" s="1" t="s">
        <v>692</v>
      </c>
      <c r="C428" s="1" t="s">
        <v>692</v>
      </c>
      <c r="D428" t="s">
        <v>399</v>
      </c>
      <c r="E428" t="s">
        <v>89</v>
      </c>
      <c r="F428" s="1" t="s">
        <v>693</v>
      </c>
      <c r="G428" s="1" t="s">
        <v>694</v>
      </c>
      <c r="H428" s="9">
        <v>0</v>
      </c>
      <c r="I428" s="9">
        <v>0</v>
      </c>
      <c r="J428" s="9">
        <v>0</v>
      </c>
      <c r="K428" s="9">
        <v>0</v>
      </c>
      <c r="L428" s="125">
        <v>0</v>
      </c>
    </row>
    <row r="429" spans="1:12" ht="13" x14ac:dyDescent="0.3">
      <c r="A429" s="127">
        <v>39800</v>
      </c>
      <c r="B429" s="1" t="s">
        <v>692</v>
      </c>
      <c r="C429" s="1" t="s">
        <v>692</v>
      </c>
      <c r="D429" t="s">
        <v>426</v>
      </c>
      <c r="E429" t="s">
        <v>89</v>
      </c>
      <c r="F429" s="1" t="s">
        <v>693</v>
      </c>
      <c r="G429" s="1" t="s">
        <v>694</v>
      </c>
      <c r="H429" s="9">
        <v>0</v>
      </c>
      <c r="I429" s="9">
        <v>0</v>
      </c>
      <c r="J429" s="9">
        <v>0</v>
      </c>
      <c r="K429" s="9">
        <v>0</v>
      </c>
      <c r="L429" s="125">
        <v>0</v>
      </c>
    </row>
    <row r="430" spans="1:12" ht="13" x14ac:dyDescent="0.3">
      <c r="A430" s="127">
        <v>39800</v>
      </c>
      <c r="B430" s="1" t="s">
        <v>692</v>
      </c>
      <c r="C430" s="1" t="s">
        <v>692</v>
      </c>
      <c r="D430" t="s">
        <v>451</v>
      </c>
      <c r="E430" t="s">
        <v>89</v>
      </c>
      <c r="F430" s="1" t="s">
        <v>693</v>
      </c>
      <c r="G430" s="1" t="s">
        <v>694</v>
      </c>
      <c r="H430" s="9">
        <v>0</v>
      </c>
      <c r="I430" s="9">
        <v>0</v>
      </c>
      <c r="J430" s="9">
        <v>0</v>
      </c>
      <c r="K430" s="9">
        <v>0</v>
      </c>
      <c r="L430" s="125">
        <v>0</v>
      </c>
    </row>
    <row r="431" spans="1:12" ht="13" x14ac:dyDescent="0.3">
      <c r="A431" s="127">
        <v>39800</v>
      </c>
      <c r="B431" s="1" t="s">
        <v>692</v>
      </c>
      <c r="C431" s="1" t="s">
        <v>692</v>
      </c>
      <c r="D431" t="s">
        <v>478</v>
      </c>
      <c r="E431" t="s">
        <v>89</v>
      </c>
      <c r="F431" s="1" t="s">
        <v>693</v>
      </c>
      <c r="G431" s="1" t="s">
        <v>694</v>
      </c>
      <c r="H431" s="9">
        <v>0</v>
      </c>
      <c r="I431" s="9">
        <v>0</v>
      </c>
      <c r="J431" s="9">
        <v>0</v>
      </c>
      <c r="K431" s="9">
        <v>0</v>
      </c>
      <c r="L431" s="125">
        <v>0</v>
      </c>
    </row>
    <row r="432" spans="1:12" ht="13" x14ac:dyDescent="0.3">
      <c r="A432" s="127">
        <v>39800</v>
      </c>
      <c r="B432" s="1" t="s">
        <v>692</v>
      </c>
      <c r="C432" s="1" t="s">
        <v>692</v>
      </c>
      <c r="D432" t="s">
        <v>509</v>
      </c>
      <c r="E432" t="s">
        <v>89</v>
      </c>
      <c r="F432" s="1" t="s">
        <v>693</v>
      </c>
      <c r="G432" s="1" t="s">
        <v>694</v>
      </c>
      <c r="H432" s="9">
        <v>0</v>
      </c>
      <c r="I432" s="9">
        <v>0</v>
      </c>
      <c r="J432" s="9">
        <v>0</v>
      </c>
      <c r="K432" s="9">
        <v>0</v>
      </c>
      <c r="L432" s="125">
        <v>0</v>
      </c>
    </row>
    <row r="433" spans="1:12" ht="13" x14ac:dyDescent="0.3">
      <c r="A433" s="127">
        <v>39800</v>
      </c>
      <c r="B433" s="1" t="s">
        <v>692</v>
      </c>
      <c r="C433" s="1" t="s">
        <v>692</v>
      </c>
      <c r="D433" t="s">
        <v>546</v>
      </c>
      <c r="E433" t="s">
        <v>89</v>
      </c>
      <c r="F433" s="1" t="s">
        <v>693</v>
      </c>
      <c r="G433" s="1" t="s">
        <v>694</v>
      </c>
      <c r="H433" s="9">
        <v>0</v>
      </c>
      <c r="I433" s="9">
        <v>0</v>
      </c>
      <c r="J433" s="9">
        <v>0</v>
      </c>
      <c r="K433" s="9">
        <v>0</v>
      </c>
      <c r="L433" s="125">
        <v>0</v>
      </c>
    </row>
    <row r="434" spans="1:12" ht="13" x14ac:dyDescent="0.3">
      <c r="A434" s="127">
        <v>39800</v>
      </c>
      <c r="B434" s="1" t="s">
        <v>692</v>
      </c>
      <c r="C434" s="1" t="s">
        <v>692</v>
      </c>
      <c r="D434" t="s">
        <v>582</v>
      </c>
      <c r="E434" t="s">
        <v>89</v>
      </c>
      <c r="F434" s="1" t="s">
        <v>693</v>
      </c>
      <c r="G434" s="1" t="s">
        <v>694</v>
      </c>
      <c r="H434" s="9">
        <v>0</v>
      </c>
      <c r="I434" s="9">
        <v>0</v>
      </c>
      <c r="J434" s="9">
        <v>0</v>
      </c>
      <c r="K434" s="9">
        <v>0</v>
      </c>
      <c r="L434" s="125">
        <v>0</v>
      </c>
    </row>
    <row r="435" spans="1:12" ht="13" x14ac:dyDescent="0.3">
      <c r="A435" s="127">
        <v>39800</v>
      </c>
      <c r="B435" s="1" t="s">
        <v>692</v>
      </c>
      <c r="C435" s="1" t="s">
        <v>692</v>
      </c>
      <c r="D435" t="s">
        <v>610</v>
      </c>
      <c r="E435" t="s">
        <v>89</v>
      </c>
      <c r="F435" s="1" t="s">
        <v>693</v>
      </c>
      <c r="G435" s="1" t="s">
        <v>694</v>
      </c>
      <c r="H435" s="9">
        <v>0</v>
      </c>
      <c r="I435" s="9">
        <v>0</v>
      </c>
      <c r="J435" s="9">
        <v>0</v>
      </c>
      <c r="K435" s="9">
        <v>0</v>
      </c>
      <c r="L435" s="125">
        <v>0</v>
      </c>
    </row>
    <row r="436" spans="1:12" ht="13" x14ac:dyDescent="0.3">
      <c r="A436" s="127">
        <v>39800</v>
      </c>
      <c r="B436" s="1" t="s">
        <v>692</v>
      </c>
      <c r="C436" s="1" t="s">
        <v>692</v>
      </c>
      <c r="D436" t="s">
        <v>644</v>
      </c>
      <c r="E436" t="s">
        <v>89</v>
      </c>
      <c r="F436" s="1" t="s">
        <v>693</v>
      </c>
      <c r="G436" s="1" t="s">
        <v>694</v>
      </c>
      <c r="H436" s="9">
        <v>0</v>
      </c>
      <c r="I436" s="9">
        <v>0</v>
      </c>
      <c r="J436" s="9">
        <v>0</v>
      </c>
      <c r="K436" s="9">
        <v>0</v>
      </c>
      <c r="L436" s="125">
        <v>0</v>
      </c>
    </row>
    <row r="437" spans="1:12" ht="13" x14ac:dyDescent="0.3">
      <c r="A437" s="127">
        <v>38101</v>
      </c>
      <c r="B437" s="1" t="s">
        <v>692</v>
      </c>
      <c r="C437" s="1" t="s">
        <v>692</v>
      </c>
      <c r="D437" t="s">
        <v>563</v>
      </c>
      <c r="E437" t="s">
        <v>89</v>
      </c>
      <c r="F437" s="1" t="s">
        <v>693</v>
      </c>
      <c r="G437" s="1" t="s">
        <v>694</v>
      </c>
      <c r="H437" s="9">
        <v>-15.68</v>
      </c>
      <c r="I437" s="9">
        <v>-0.56000000000000005</v>
      </c>
      <c r="J437" s="9">
        <v>0</v>
      </c>
      <c r="K437" s="9">
        <v>0</v>
      </c>
      <c r="L437" s="125">
        <v>-16.239999999999998</v>
      </c>
    </row>
    <row r="438" spans="1:12" ht="13" x14ac:dyDescent="0.3">
      <c r="A438" s="127">
        <v>10500</v>
      </c>
      <c r="B438" s="1" t="s">
        <v>692</v>
      </c>
      <c r="C438" s="1" t="s">
        <v>692</v>
      </c>
      <c r="D438" t="s">
        <v>664</v>
      </c>
      <c r="E438" t="s">
        <v>89</v>
      </c>
      <c r="F438" s="1" t="s">
        <v>693</v>
      </c>
      <c r="G438" s="1" t="s">
        <v>694</v>
      </c>
      <c r="H438" s="9">
        <v>0</v>
      </c>
      <c r="I438" s="9">
        <v>0</v>
      </c>
      <c r="J438" s="9">
        <v>0</v>
      </c>
      <c r="K438" s="9">
        <v>0</v>
      </c>
      <c r="L438" s="125">
        <v>0</v>
      </c>
    </row>
    <row r="439" spans="1:12" ht="13" x14ac:dyDescent="0.3">
      <c r="A439" s="127">
        <v>10500</v>
      </c>
      <c r="B439" s="1" t="s">
        <v>692</v>
      </c>
      <c r="C439" s="1" t="s">
        <v>692</v>
      </c>
      <c r="D439" t="s">
        <v>667</v>
      </c>
      <c r="E439" t="s">
        <v>89</v>
      </c>
      <c r="F439" s="1" t="s">
        <v>693</v>
      </c>
      <c r="G439" s="1" t="s">
        <v>694</v>
      </c>
      <c r="H439" s="9">
        <v>0</v>
      </c>
      <c r="I439" s="9">
        <v>0</v>
      </c>
      <c r="J439" s="9">
        <v>0</v>
      </c>
      <c r="K439" s="9">
        <v>0</v>
      </c>
      <c r="L439" s="125">
        <v>0</v>
      </c>
    </row>
    <row r="440" spans="1:12" ht="13" x14ac:dyDescent="0.3">
      <c r="A440" s="127">
        <v>11500</v>
      </c>
      <c r="B440" s="1" t="s">
        <v>692</v>
      </c>
      <c r="C440" s="1" t="s">
        <v>692</v>
      </c>
      <c r="D440" t="s">
        <v>670</v>
      </c>
      <c r="E440" t="s">
        <v>89</v>
      </c>
      <c r="F440" s="1" t="s">
        <v>693</v>
      </c>
      <c r="G440" s="1" t="s">
        <v>695</v>
      </c>
      <c r="H440" s="9">
        <v>0</v>
      </c>
      <c r="I440" s="9">
        <v>0</v>
      </c>
      <c r="J440" s="9">
        <v>0</v>
      </c>
      <c r="K440" s="9">
        <v>0</v>
      </c>
      <c r="L440" s="125">
        <v>0</v>
      </c>
    </row>
    <row r="441" spans="1:12" ht="13" x14ac:dyDescent="0.3">
      <c r="A441" s="127">
        <v>37400</v>
      </c>
      <c r="B441" s="1" t="s">
        <v>692</v>
      </c>
      <c r="C441" s="1" t="s">
        <v>692</v>
      </c>
      <c r="D441" t="s">
        <v>188</v>
      </c>
      <c r="E441" t="s">
        <v>89</v>
      </c>
      <c r="F441" s="1" t="s">
        <v>693</v>
      </c>
      <c r="G441" s="1" t="s">
        <v>694</v>
      </c>
      <c r="H441" s="9">
        <v>0</v>
      </c>
      <c r="I441" s="9">
        <v>0</v>
      </c>
      <c r="J441" s="9">
        <v>0</v>
      </c>
      <c r="K441" s="9">
        <v>0</v>
      </c>
      <c r="L441" s="125">
        <v>0</v>
      </c>
    </row>
    <row r="442" spans="1:12" ht="13" x14ac:dyDescent="0.3">
      <c r="A442" s="127">
        <v>37400</v>
      </c>
      <c r="B442" s="1" t="s">
        <v>692</v>
      </c>
      <c r="C442" s="1" t="s">
        <v>692</v>
      </c>
      <c r="D442" t="s">
        <v>219</v>
      </c>
      <c r="E442" t="s">
        <v>89</v>
      </c>
      <c r="F442" s="1" t="s">
        <v>693</v>
      </c>
      <c r="G442" s="1" t="s">
        <v>694</v>
      </c>
      <c r="H442" s="9">
        <v>0</v>
      </c>
      <c r="I442" s="9">
        <v>0</v>
      </c>
      <c r="J442" s="9">
        <v>0</v>
      </c>
      <c r="K442" s="9">
        <v>0</v>
      </c>
      <c r="L442" s="125">
        <v>0</v>
      </c>
    </row>
    <row r="443" spans="1:12" ht="13" x14ac:dyDescent="0.3">
      <c r="A443" s="127">
        <v>37400</v>
      </c>
      <c r="B443" s="1" t="s">
        <v>692</v>
      </c>
      <c r="C443" s="1" t="s">
        <v>692</v>
      </c>
      <c r="D443" t="s">
        <v>250</v>
      </c>
      <c r="E443" t="s">
        <v>89</v>
      </c>
      <c r="F443" s="1" t="s">
        <v>693</v>
      </c>
      <c r="G443" s="1" t="s">
        <v>694</v>
      </c>
      <c r="H443" s="9">
        <v>0</v>
      </c>
      <c r="I443" s="9">
        <v>0</v>
      </c>
      <c r="J443" s="9">
        <v>0</v>
      </c>
      <c r="K443" s="9">
        <v>0</v>
      </c>
      <c r="L443" s="125">
        <v>0</v>
      </c>
    </row>
    <row r="444" spans="1:12" ht="13" x14ac:dyDescent="0.3">
      <c r="A444" s="127">
        <v>37400</v>
      </c>
      <c r="B444" s="1" t="s">
        <v>692</v>
      </c>
      <c r="C444" s="1" t="s">
        <v>692</v>
      </c>
      <c r="D444" t="s">
        <v>279</v>
      </c>
      <c r="E444" t="s">
        <v>89</v>
      </c>
      <c r="F444" s="1" t="s">
        <v>693</v>
      </c>
      <c r="G444" s="1" t="s">
        <v>694</v>
      </c>
      <c r="H444" s="9">
        <v>0</v>
      </c>
      <c r="I444" s="9">
        <v>0</v>
      </c>
      <c r="J444" s="9">
        <v>0</v>
      </c>
      <c r="K444" s="9">
        <v>0</v>
      </c>
      <c r="L444" s="125">
        <v>0</v>
      </c>
    </row>
    <row r="445" spans="1:12" ht="13" x14ac:dyDescent="0.3">
      <c r="A445" s="127">
        <v>37400</v>
      </c>
      <c r="B445" s="1" t="s">
        <v>692</v>
      </c>
      <c r="C445" s="1" t="s">
        <v>692</v>
      </c>
      <c r="D445" t="s">
        <v>310</v>
      </c>
      <c r="E445" t="s">
        <v>89</v>
      </c>
      <c r="F445" s="1" t="s">
        <v>693</v>
      </c>
      <c r="G445" s="1" t="s">
        <v>694</v>
      </c>
      <c r="H445" s="9">
        <v>0</v>
      </c>
      <c r="I445" s="9">
        <v>0</v>
      </c>
      <c r="J445" s="9">
        <v>0</v>
      </c>
      <c r="K445" s="9">
        <v>0</v>
      </c>
      <c r="L445" s="125">
        <v>0</v>
      </c>
    </row>
    <row r="446" spans="1:12" ht="13" x14ac:dyDescent="0.3">
      <c r="A446" s="127">
        <v>37400</v>
      </c>
      <c r="B446" s="1" t="s">
        <v>692</v>
      </c>
      <c r="C446" s="1" t="s">
        <v>692</v>
      </c>
      <c r="D446" t="s">
        <v>339</v>
      </c>
      <c r="E446" t="s">
        <v>89</v>
      </c>
      <c r="F446" s="1" t="s">
        <v>693</v>
      </c>
      <c r="G446" s="1" t="s">
        <v>694</v>
      </c>
      <c r="H446" s="9">
        <v>0</v>
      </c>
      <c r="I446" s="9">
        <v>0</v>
      </c>
      <c r="J446" s="9">
        <v>0</v>
      </c>
      <c r="K446" s="9">
        <v>0</v>
      </c>
      <c r="L446" s="125">
        <v>0</v>
      </c>
    </row>
    <row r="447" spans="1:12" ht="13" x14ac:dyDescent="0.3">
      <c r="A447" s="127">
        <v>37400</v>
      </c>
      <c r="B447" s="1" t="s">
        <v>692</v>
      </c>
      <c r="C447" s="1" t="s">
        <v>692</v>
      </c>
      <c r="D447" t="s">
        <v>373</v>
      </c>
      <c r="E447" t="s">
        <v>89</v>
      </c>
      <c r="F447" s="1" t="s">
        <v>693</v>
      </c>
      <c r="G447" s="1" t="s">
        <v>694</v>
      </c>
      <c r="H447" s="9">
        <v>0</v>
      </c>
      <c r="I447" s="9">
        <v>0</v>
      </c>
      <c r="J447" s="9">
        <v>0</v>
      </c>
      <c r="K447" s="9">
        <v>0</v>
      </c>
      <c r="L447" s="125">
        <v>0</v>
      </c>
    </row>
    <row r="448" spans="1:12" ht="13" x14ac:dyDescent="0.3">
      <c r="A448" s="127">
        <v>37400</v>
      </c>
      <c r="B448" s="1" t="s">
        <v>692</v>
      </c>
      <c r="C448" s="1" t="s">
        <v>692</v>
      </c>
      <c r="D448" t="s">
        <v>401</v>
      </c>
      <c r="E448" t="s">
        <v>89</v>
      </c>
      <c r="F448" s="1" t="s">
        <v>693</v>
      </c>
      <c r="G448" s="1" t="s">
        <v>694</v>
      </c>
      <c r="H448" s="9">
        <v>0</v>
      </c>
      <c r="I448" s="9">
        <v>0</v>
      </c>
      <c r="J448" s="9">
        <v>0</v>
      </c>
      <c r="K448" s="9">
        <v>0</v>
      </c>
      <c r="L448" s="125">
        <v>0</v>
      </c>
    </row>
    <row r="449" spans="1:12" ht="13" x14ac:dyDescent="0.3">
      <c r="A449" s="127">
        <v>37400</v>
      </c>
      <c r="B449" s="1" t="s">
        <v>692</v>
      </c>
      <c r="C449" s="1" t="s">
        <v>692</v>
      </c>
      <c r="D449" t="s">
        <v>453</v>
      </c>
      <c r="E449" t="s">
        <v>89</v>
      </c>
      <c r="F449" s="1" t="s">
        <v>693</v>
      </c>
      <c r="G449" s="1" t="s">
        <v>694</v>
      </c>
      <c r="H449" s="9">
        <v>0</v>
      </c>
      <c r="I449" s="9">
        <v>0</v>
      </c>
      <c r="J449" s="9">
        <v>0</v>
      </c>
      <c r="K449" s="9">
        <v>0</v>
      </c>
      <c r="L449" s="125">
        <v>0</v>
      </c>
    </row>
    <row r="450" spans="1:12" ht="13" x14ac:dyDescent="0.3">
      <c r="A450" s="127">
        <v>37400</v>
      </c>
      <c r="B450" s="1" t="s">
        <v>692</v>
      </c>
      <c r="C450" s="1" t="s">
        <v>692</v>
      </c>
      <c r="D450" t="s">
        <v>480</v>
      </c>
      <c r="E450" t="s">
        <v>89</v>
      </c>
      <c r="F450" s="1" t="s">
        <v>693</v>
      </c>
      <c r="G450" s="1" t="s">
        <v>694</v>
      </c>
      <c r="H450" s="9">
        <v>0</v>
      </c>
      <c r="I450" s="9">
        <v>0</v>
      </c>
      <c r="J450" s="9">
        <v>0</v>
      </c>
      <c r="K450" s="9">
        <v>0</v>
      </c>
      <c r="L450" s="125">
        <v>0</v>
      </c>
    </row>
    <row r="451" spans="1:12" ht="13" x14ac:dyDescent="0.3">
      <c r="A451" s="127">
        <v>37400</v>
      </c>
      <c r="B451" s="1" t="s">
        <v>692</v>
      </c>
      <c r="C451" s="1" t="s">
        <v>692</v>
      </c>
      <c r="D451" t="s">
        <v>514</v>
      </c>
      <c r="E451" t="s">
        <v>89</v>
      </c>
      <c r="F451" s="1" t="s">
        <v>693</v>
      </c>
      <c r="G451" s="1" t="s">
        <v>694</v>
      </c>
      <c r="H451" s="9">
        <v>0</v>
      </c>
      <c r="I451" s="9">
        <v>0</v>
      </c>
      <c r="J451" s="9">
        <v>0</v>
      </c>
      <c r="K451" s="9">
        <v>0</v>
      </c>
      <c r="L451" s="125">
        <v>0</v>
      </c>
    </row>
    <row r="452" spans="1:12" ht="13" x14ac:dyDescent="0.3">
      <c r="A452" s="127">
        <v>37400</v>
      </c>
      <c r="B452" s="1" t="s">
        <v>692</v>
      </c>
      <c r="C452" s="1" t="s">
        <v>692</v>
      </c>
      <c r="D452" t="s">
        <v>550</v>
      </c>
      <c r="E452" t="s">
        <v>89</v>
      </c>
      <c r="F452" s="1" t="s">
        <v>693</v>
      </c>
      <c r="G452" s="1" t="s">
        <v>694</v>
      </c>
      <c r="H452" s="9">
        <v>0</v>
      </c>
      <c r="I452" s="9">
        <v>0</v>
      </c>
      <c r="J452" s="9">
        <v>0</v>
      </c>
      <c r="K452" s="9">
        <v>0</v>
      </c>
      <c r="L452" s="125">
        <v>0</v>
      </c>
    </row>
    <row r="453" spans="1:12" ht="13" x14ac:dyDescent="0.3">
      <c r="A453" s="127">
        <v>37400</v>
      </c>
      <c r="B453" s="1" t="s">
        <v>692</v>
      </c>
      <c r="C453" s="1" t="s">
        <v>692</v>
      </c>
      <c r="D453" t="s">
        <v>583</v>
      </c>
      <c r="E453" t="s">
        <v>89</v>
      </c>
      <c r="F453" s="1" t="s">
        <v>693</v>
      </c>
      <c r="G453" s="1" t="s">
        <v>694</v>
      </c>
      <c r="H453" s="9">
        <v>0</v>
      </c>
      <c r="I453" s="9">
        <v>0</v>
      </c>
      <c r="J453" s="9">
        <v>0</v>
      </c>
      <c r="K453" s="9">
        <v>0</v>
      </c>
      <c r="L453" s="125">
        <v>0</v>
      </c>
    </row>
    <row r="454" spans="1:12" ht="13" x14ac:dyDescent="0.3">
      <c r="A454" s="127">
        <v>37400</v>
      </c>
      <c r="B454" s="1" t="s">
        <v>692</v>
      </c>
      <c r="C454" s="1" t="s">
        <v>692</v>
      </c>
      <c r="D454" t="s">
        <v>620</v>
      </c>
      <c r="E454" t="s">
        <v>89</v>
      </c>
      <c r="F454" s="1" t="s">
        <v>693</v>
      </c>
      <c r="G454" s="1" t="s">
        <v>694</v>
      </c>
      <c r="H454" s="9">
        <v>0</v>
      </c>
      <c r="I454" s="9">
        <v>0</v>
      </c>
      <c r="J454" s="9">
        <v>0</v>
      </c>
      <c r="K454" s="9">
        <v>0</v>
      </c>
      <c r="L454" s="125">
        <v>0</v>
      </c>
    </row>
    <row r="455" spans="1:12" ht="13" x14ac:dyDescent="0.3">
      <c r="A455" s="127">
        <v>38602</v>
      </c>
      <c r="B455" s="1" t="s">
        <v>692</v>
      </c>
      <c r="C455" s="1" t="s">
        <v>692</v>
      </c>
      <c r="D455" t="s">
        <v>628</v>
      </c>
      <c r="E455" t="s">
        <v>89</v>
      </c>
      <c r="F455" s="1" t="s">
        <v>693</v>
      </c>
      <c r="G455" s="1" t="s">
        <v>694</v>
      </c>
      <c r="H455" s="9">
        <v>0</v>
      </c>
      <c r="I455" s="9">
        <v>0</v>
      </c>
      <c r="J455" s="9">
        <v>0</v>
      </c>
      <c r="K455" s="9">
        <v>0</v>
      </c>
      <c r="L455" s="125">
        <v>0</v>
      </c>
    </row>
    <row r="456" spans="1:12" ht="13" x14ac:dyDescent="0.3">
      <c r="A456" s="127">
        <v>38608</v>
      </c>
      <c r="B456" s="1" t="s">
        <v>692</v>
      </c>
      <c r="C456" s="1" t="s">
        <v>692</v>
      </c>
      <c r="D456" t="s">
        <v>629</v>
      </c>
      <c r="E456" t="s">
        <v>89</v>
      </c>
      <c r="F456" s="1" t="s">
        <v>693</v>
      </c>
      <c r="G456" s="1" t="s">
        <v>694</v>
      </c>
      <c r="H456" s="9">
        <v>0</v>
      </c>
      <c r="I456" s="9">
        <v>0</v>
      </c>
      <c r="J456" s="9">
        <v>0</v>
      </c>
      <c r="K456" s="9">
        <v>0</v>
      </c>
      <c r="L456" s="125">
        <v>0</v>
      </c>
    </row>
    <row r="457" spans="1:12" ht="13" x14ac:dyDescent="0.3">
      <c r="A457" s="127">
        <v>39002</v>
      </c>
      <c r="B457" s="1" t="s">
        <v>692</v>
      </c>
      <c r="C457" s="1" t="s">
        <v>692</v>
      </c>
      <c r="D457" t="s">
        <v>204</v>
      </c>
      <c r="E457" t="s">
        <v>89</v>
      </c>
      <c r="F457" s="1" t="s">
        <v>693</v>
      </c>
      <c r="G457" s="1" t="s">
        <v>694</v>
      </c>
      <c r="H457" s="9">
        <v>0</v>
      </c>
      <c r="I457" s="9">
        <v>0</v>
      </c>
      <c r="J457" s="9">
        <v>0</v>
      </c>
      <c r="K457" s="9">
        <v>0</v>
      </c>
      <c r="L457" s="125">
        <v>0</v>
      </c>
    </row>
    <row r="458" spans="1:12" ht="13" x14ac:dyDescent="0.3">
      <c r="A458" s="127">
        <v>39002</v>
      </c>
      <c r="B458" s="1" t="s">
        <v>692</v>
      </c>
      <c r="C458" s="1" t="s">
        <v>692</v>
      </c>
      <c r="D458" t="s">
        <v>295</v>
      </c>
      <c r="E458" t="s">
        <v>89</v>
      </c>
      <c r="F458" s="1" t="s">
        <v>693</v>
      </c>
      <c r="G458" s="1" t="s">
        <v>694</v>
      </c>
      <c r="H458" s="9">
        <v>0</v>
      </c>
      <c r="I458" s="9">
        <v>0</v>
      </c>
      <c r="J458" s="9">
        <v>0</v>
      </c>
      <c r="K458" s="9">
        <v>0</v>
      </c>
      <c r="L458" s="125">
        <v>0</v>
      </c>
    </row>
    <row r="459" spans="1:12" ht="13" x14ac:dyDescent="0.3">
      <c r="A459" s="127">
        <v>39002</v>
      </c>
      <c r="B459" s="1" t="s">
        <v>692</v>
      </c>
      <c r="C459" s="1" t="s">
        <v>692</v>
      </c>
      <c r="D459" t="s">
        <v>415</v>
      </c>
      <c r="E459" t="s">
        <v>89</v>
      </c>
      <c r="F459" s="1" t="s">
        <v>693</v>
      </c>
      <c r="G459" s="1" t="s">
        <v>694</v>
      </c>
      <c r="H459" s="9">
        <v>0</v>
      </c>
      <c r="I459" s="9">
        <v>0</v>
      </c>
      <c r="J459" s="9">
        <v>0</v>
      </c>
      <c r="K459" s="9">
        <v>0</v>
      </c>
      <c r="L459" s="125">
        <v>0</v>
      </c>
    </row>
    <row r="460" spans="1:12" ht="13" x14ac:dyDescent="0.3">
      <c r="A460" s="127">
        <v>39002</v>
      </c>
      <c r="B460" s="1" t="s">
        <v>692</v>
      </c>
      <c r="C460" s="1" t="s">
        <v>692</v>
      </c>
      <c r="D460" t="s">
        <v>441</v>
      </c>
      <c r="E460" t="s">
        <v>89</v>
      </c>
      <c r="F460" s="1" t="s">
        <v>693</v>
      </c>
      <c r="G460" s="1" t="s">
        <v>694</v>
      </c>
      <c r="H460" s="9">
        <v>0</v>
      </c>
      <c r="I460" s="9">
        <v>0</v>
      </c>
      <c r="J460" s="9">
        <v>0</v>
      </c>
      <c r="K460" s="9">
        <v>0</v>
      </c>
      <c r="L460" s="125">
        <v>0</v>
      </c>
    </row>
    <row r="461" spans="1:12" ht="13" x14ac:dyDescent="0.3">
      <c r="A461" s="127">
        <v>39002</v>
      </c>
      <c r="B461" s="1" t="s">
        <v>692</v>
      </c>
      <c r="C461" s="1" t="s">
        <v>692</v>
      </c>
      <c r="D461" t="s">
        <v>497</v>
      </c>
      <c r="E461" t="s">
        <v>89</v>
      </c>
      <c r="F461" s="1" t="s">
        <v>693</v>
      </c>
      <c r="G461" s="1" t="s">
        <v>694</v>
      </c>
      <c r="H461" s="9">
        <v>0</v>
      </c>
      <c r="I461" s="9">
        <v>0</v>
      </c>
      <c r="J461" s="9">
        <v>0</v>
      </c>
      <c r="K461" s="9">
        <v>0</v>
      </c>
      <c r="L461" s="125">
        <v>0</v>
      </c>
    </row>
    <row r="462" spans="1:12" ht="13" x14ac:dyDescent="0.3">
      <c r="A462" s="127">
        <v>39002</v>
      </c>
      <c r="B462" s="1" t="s">
        <v>692</v>
      </c>
      <c r="C462" s="1" t="s">
        <v>692</v>
      </c>
      <c r="D462" t="s">
        <v>631</v>
      </c>
      <c r="E462" t="s">
        <v>89</v>
      </c>
      <c r="F462" s="1" t="s">
        <v>693</v>
      </c>
      <c r="G462" s="1" t="s">
        <v>694</v>
      </c>
      <c r="H462" s="9">
        <v>0</v>
      </c>
      <c r="I462" s="9">
        <v>0</v>
      </c>
      <c r="J462" s="9">
        <v>0</v>
      </c>
      <c r="K462" s="9">
        <v>0</v>
      </c>
      <c r="L462" s="125">
        <v>0</v>
      </c>
    </row>
    <row r="463" spans="1:12" ht="13" x14ac:dyDescent="0.3">
      <c r="A463" s="127">
        <v>39103</v>
      </c>
      <c r="B463" s="1" t="s">
        <v>692</v>
      </c>
      <c r="C463" s="1" t="s">
        <v>692</v>
      </c>
      <c r="D463" t="s">
        <v>536</v>
      </c>
      <c r="E463" t="s">
        <v>89</v>
      </c>
      <c r="F463" s="1" t="s">
        <v>693</v>
      </c>
      <c r="G463" s="1" t="s">
        <v>694</v>
      </c>
      <c r="H463" s="9">
        <v>0</v>
      </c>
      <c r="I463" s="9">
        <v>0</v>
      </c>
      <c r="J463" s="9">
        <v>0</v>
      </c>
      <c r="K463" s="9">
        <v>0</v>
      </c>
      <c r="L463" s="125">
        <v>0</v>
      </c>
    </row>
    <row r="464" spans="1:12" ht="13" x14ac:dyDescent="0.3">
      <c r="A464" s="127">
        <v>39103</v>
      </c>
      <c r="B464" s="1" t="s">
        <v>692</v>
      </c>
      <c r="C464" s="1" t="s">
        <v>692</v>
      </c>
      <c r="D464" t="s">
        <v>573</v>
      </c>
      <c r="E464" t="s">
        <v>89</v>
      </c>
      <c r="F464" s="1" t="s">
        <v>693</v>
      </c>
      <c r="G464" s="1" t="s">
        <v>694</v>
      </c>
      <c r="H464" s="9">
        <v>0</v>
      </c>
      <c r="I464" s="9">
        <v>0</v>
      </c>
      <c r="J464" s="9">
        <v>0</v>
      </c>
      <c r="K464" s="9">
        <v>0</v>
      </c>
      <c r="L464" s="125">
        <v>0</v>
      </c>
    </row>
    <row r="465" spans="1:12" ht="13" x14ac:dyDescent="0.3">
      <c r="A465" s="127">
        <v>39900</v>
      </c>
      <c r="B465" s="1" t="s">
        <v>692</v>
      </c>
      <c r="C465" s="1" t="s">
        <v>692</v>
      </c>
      <c r="D465" t="s">
        <v>675</v>
      </c>
      <c r="E465" t="s">
        <v>89</v>
      </c>
      <c r="F465" s="1" t="s">
        <v>693</v>
      </c>
      <c r="G465" s="1" t="s">
        <v>694</v>
      </c>
      <c r="H465" s="9">
        <v>0</v>
      </c>
      <c r="I465" s="9">
        <v>0</v>
      </c>
      <c r="J465" s="9">
        <v>0</v>
      </c>
      <c r="K465" s="9">
        <v>0</v>
      </c>
      <c r="L465" s="125">
        <v>0</v>
      </c>
    </row>
    <row r="466" spans="1:12" ht="13" x14ac:dyDescent="0.3">
      <c r="A466" s="127">
        <v>37901</v>
      </c>
      <c r="B466" s="1" t="s">
        <v>692</v>
      </c>
      <c r="C466" s="1" t="s">
        <v>692</v>
      </c>
      <c r="D466" t="s">
        <v>559</v>
      </c>
      <c r="E466" t="s">
        <v>89</v>
      </c>
      <c r="F466" s="1" t="s">
        <v>693</v>
      </c>
      <c r="G466" s="1" t="s">
        <v>694</v>
      </c>
      <c r="H466" s="9">
        <v>44.8</v>
      </c>
      <c r="I466" s="9">
        <v>1.6</v>
      </c>
      <c r="J466" s="9">
        <v>0</v>
      </c>
      <c r="K466" s="9">
        <v>0</v>
      </c>
      <c r="L466" s="125">
        <v>46.4</v>
      </c>
    </row>
    <row r="467" spans="1:12" ht="13" x14ac:dyDescent="0.3">
      <c r="A467" s="127">
        <v>37901</v>
      </c>
      <c r="B467" s="1" t="s">
        <v>692</v>
      </c>
      <c r="C467" s="1" t="s">
        <v>692</v>
      </c>
      <c r="D467" t="s">
        <v>523</v>
      </c>
      <c r="E467" t="s">
        <v>89</v>
      </c>
      <c r="F467" s="1" t="s">
        <v>693</v>
      </c>
      <c r="G467" s="1" t="s">
        <v>694</v>
      </c>
      <c r="H467" s="9">
        <v>46.76</v>
      </c>
      <c r="I467" s="9">
        <v>1.67</v>
      </c>
      <c r="J467" s="9">
        <v>0</v>
      </c>
      <c r="K467" s="9">
        <v>0</v>
      </c>
      <c r="L467" s="125">
        <v>48.43</v>
      </c>
    </row>
    <row r="468" spans="1:12" ht="13" x14ac:dyDescent="0.3">
      <c r="A468" s="127">
        <v>37801</v>
      </c>
      <c r="B468" s="1" t="s">
        <v>692</v>
      </c>
      <c r="C468" s="1" t="s">
        <v>692</v>
      </c>
      <c r="D468" t="s">
        <v>521</v>
      </c>
      <c r="E468" t="s">
        <v>89</v>
      </c>
      <c r="F468" s="1" t="s">
        <v>693</v>
      </c>
      <c r="G468" s="1" t="s">
        <v>694</v>
      </c>
      <c r="H468" s="9">
        <v>77.56</v>
      </c>
      <c r="I468" s="9">
        <v>2.77</v>
      </c>
      <c r="J468" s="9">
        <v>0</v>
      </c>
      <c r="K468" s="9">
        <v>0</v>
      </c>
      <c r="L468" s="125">
        <v>80.33</v>
      </c>
    </row>
    <row r="469" spans="1:12" ht="13" x14ac:dyDescent="0.3">
      <c r="A469" s="127">
        <v>37801</v>
      </c>
      <c r="B469" s="1" t="s">
        <v>692</v>
      </c>
      <c r="C469" s="1" t="s">
        <v>692</v>
      </c>
      <c r="D469" t="s">
        <v>557</v>
      </c>
      <c r="E469" t="s">
        <v>89</v>
      </c>
      <c r="F469" s="1" t="s">
        <v>693</v>
      </c>
      <c r="G469" s="1" t="s">
        <v>694</v>
      </c>
      <c r="H469" s="9">
        <v>98.56</v>
      </c>
      <c r="I469" s="9">
        <v>3.52</v>
      </c>
      <c r="J469" s="9">
        <v>0</v>
      </c>
      <c r="K469" s="9">
        <v>0</v>
      </c>
      <c r="L469" s="125">
        <v>102.08</v>
      </c>
    </row>
  </sheetData>
  <pageMargins left="0.7" right="0.7" top="0.75" bottom="0.75" header="0.3" footer="0.3"/>
  <customProperties>
    <customPr name="EpmWorksheetKeyString_GUID" r:id="rId1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1015"/>
  <sheetViews>
    <sheetView topLeftCell="A978" workbookViewId="0">
      <selection activeCell="A1014" sqref="A1:D1014"/>
    </sheetView>
  </sheetViews>
  <sheetFormatPr defaultRowHeight="12.5" outlineLevelRow="2" x14ac:dyDescent="0.25"/>
  <cols>
    <col min="3" max="3" width="9.1796875" style="257"/>
    <col min="4" max="4" width="16.26953125" style="212" customWidth="1"/>
    <col min="7" max="7" width="9.1796875" style="90"/>
    <col min="8" max="8" width="16" style="212" bestFit="1" customWidth="1"/>
    <col min="9" max="9" width="30.1796875" style="212" customWidth="1"/>
    <col min="10" max="10" width="17" style="212" bestFit="1" customWidth="1"/>
  </cols>
  <sheetData>
    <row r="1" spans="1:10" x14ac:dyDescent="0.25">
      <c r="A1" t="s">
        <v>1174</v>
      </c>
      <c r="B1" t="s">
        <v>1169</v>
      </c>
      <c r="C1" s="257" t="s">
        <v>1170</v>
      </c>
      <c r="D1" s="212" t="s">
        <v>1171</v>
      </c>
      <c r="E1" t="s">
        <v>1172</v>
      </c>
      <c r="F1" t="s">
        <v>1173</v>
      </c>
      <c r="G1" s="263" t="s">
        <v>1175</v>
      </c>
      <c r="H1" s="238" t="s">
        <v>1176</v>
      </c>
      <c r="I1" s="238" t="s">
        <v>1207</v>
      </c>
      <c r="J1" s="238" t="s">
        <v>1208</v>
      </c>
    </row>
    <row r="2" spans="1:10" outlineLevel="2" x14ac:dyDescent="0.25">
      <c r="A2">
        <v>30300</v>
      </c>
      <c r="B2">
        <v>1997</v>
      </c>
      <c r="C2" s="258">
        <f>2023.5-B2</f>
        <v>26.5</v>
      </c>
      <c r="D2" s="212">
        <v>287968.09000000003</v>
      </c>
      <c r="E2">
        <v>25</v>
      </c>
      <c r="F2">
        <v>0</v>
      </c>
      <c r="G2" s="90">
        <f>'Proposed Rates'!$O$47/100</f>
        <v>0</v>
      </c>
      <c r="H2" s="212">
        <f>+D2*(1-F2/E2)*(1-G2)</f>
        <v>287968.09000000003</v>
      </c>
      <c r="I2" s="212">
        <f>+D2*F2</f>
        <v>0</v>
      </c>
    </row>
    <row r="3" spans="1:10" outlineLevel="2" x14ac:dyDescent="0.25">
      <c r="A3">
        <v>30300</v>
      </c>
      <c r="B3">
        <v>1995</v>
      </c>
      <c r="C3" s="258">
        <f t="shared" ref="C3:C65" si="0">2023.5-B3</f>
        <v>28.5</v>
      </c>
      <c r="D3" s="212">
        <v>246442.67</v>
      </c>
      <c r="E3">
        <v>25</v>
      </c>
      <c r="F3">
        <v>0</v>
      </c>
      <c r="G3" s="90">
        <f>'Proposed Rates'!$O$47/100</f>
        <v>0</v>
      </c>
      <c r="H3" s="212">
        <f t="shared" ref="H3:H4" si="1">+D3*(1-F3/E3)*(1-G3)</f>
        <v>246442.67</v>
      </c>
      <c r="I3" s="212">
        <f t="shared" ref="I3:I65" si="2">+D3*F3</f>
        <v>0</v>
      </c>
    </row>
    <row r="4" spans="1:10" outlineLevel="2" x14ac:dyDescent="0.25">
      <c r="A4">
        <v>30300</v>
      </c>
      <c r="B4">
        <v>1993</v>
      </c>
      <c r="C4" s="258">
        <f t="shared" si="0"/>
        <v>30.5</v>
      </c>
      <c r="D4" s="212">
        <v>280914.31</v>
      </c>
      <c r="E4">
        <v>25</v>
      </c>
      <c r="F4">
        <v>0</v>
      </c>
      <c r="G4" s="90">
        <f>'Proposed Rates'!$O$47/100</f>
        <v>0</v>
      </c>
      <c r="H4" s="212">
        <f t="shared" si="1"/>
        <v>280914.31</v>
      </c>
      <c r="I4" s="212">
        <f t="shared" si="2"/>
        <v>0</v>
      </c>
    </row>
    <row r="5" spans="1:10" ht="13" outlineLevel="1" x14ac:dyDescent="0.3">
      <c r="A5" s="18" t="s">
        <v>1177</v>
      </c>
      <c r="C5" s="258" t="s">
        <v>1229</v>
      </c>
      <c r="D5" s="212">
        <f>SUBTOTAL(9,D2:D4)</f>
        <v>815325.07000000007</v>
      </c>
      <c r="H5" s="212">
        <f>SUBTOTAL(9,H2:H4)</f>
        <v>815325.07000000007</v>
      </c>
      <c r="I5" s="212">
        <f>SUBTOTAL(9,I2:I4)</f>
        <v>0</v>
      </c>
      <c r="J5" s="212">
        <f>+I5/D5</f>
        <v>0</v>
      </c>
    </row>
    <row r="6" spans="1:10" outlineLevel="2" x14ac:dyDescent="0.25">
      <c r="A6">
        <v>30301</v>
      </c>
      <c r="B6">
        <v>2023</v>
      </c>
      <c r="C6" s="258">
        <f t="shared" si="0"/>
        <v>0.5</v>
      </c>
      <c r="D6" s="212">
        <v>48825616.259999998</v>
      </c>
      <c r="E6">
        <v>15</v>
      </c>
      <c r="F6">
        <f t="shared" ref="F6:F20" si="3">+E6-C6</f>
        <v>14.5</v>
      </c>
      <c r="G6" s="90">
        <f>'Proposed Rates'!$O$48/100</f>
        <v>0</v>
      </c>
      <c r="H6" s="212">
        <f t="shared" ref="H6:H27" si="4">+D6*(1-F6/E6)*(1-G6)</f>
        <v>1627520.5419999997</v>
      </c>
      <c r="I6" s="212">
        <f t="shared" si="2"/>
        <v>707971435.76999998</v>
      </c>
    </row>
    <row r="7" spans="1:10" outlineLevel="2" x14ac:dyDescent="0.25">
      <c r="A7">
        <v>30301</v>
      </c>
      <c r="B7">
        <v>2022</v>
      </c>
      <c r="C7" s="258">
        <f t="shared" si="0"/>
        <v>1.5</v>
      </c>
      <c r="D7" s="212">
        <v>6856246.5999999996</v>
      </c>
      <c r="E7">
        <v>15</v>
      </c>
      <c r="F7">
        <f t="shared" si="3"/>
        <v>13.5</v>
      </c>
      <c r="G7" s="90">
        <f>'Proposed Rates'!$O$48/100</f>
        <v>0</v>
      </c>
      <c r="H7" s="212">
        <f t="shared" si="4"/>
        <v>685624.6599999998</v>
      </c>
      <c r="I7" s="212">
        <f t="shared" si="2"/>
        <v>92559329.099999994</v>
      </c>
    </row>
    <row r="8" spans="1:10" outlineLevel="2" x14ac:dyDescent="0.25">
      <c r="A8">
        <v>30301</v>
      </c>
      <c r="B8">
        <v>2021</v>
      </c>
      <c r="C8" s="258">
        <f t="shared" si="0"/>
        <v>2.5</v>
      </c>
      <c r="D8" s="212">
        <v>6333965.1600000001</v>
      </c>
      <c r="E8">
        <v>15</v>
      </c>
      <c r="F8">
        <f t="shared" si="3"/>
        <v>12.5</v>
      </c>
      <c r="G8" s="90">
        <f>'Proposed Rates'!$O$48/100</f>
        <v>0</v>
      </c>
      <c r="H8" s="212">
        <f t="shared" ref="H8" si="5">+D8*(1-F8/E8)*(1-G8)</f>
        <v>1055660.8599999999</v>
      </c>
      <c r="I8" s="212">
        <f t="shared" ref="I8" si="6">+D8*F8</f>
        <v>79174564.5</v>
      </c>
    </row>
    <row r="9" spans="1:10" outlineLevel="2" x14ac:dyDescent="0.25">
      <c r="A9">
        <v>30301</v>
      </c>
      <c r="B9">
        <v>2020</v>
      </c>
      <c r="C9" s="258">
        <f t="shared" si="0"/>
        <v>3.5</v>
      </c>
      <c r="D9" s="212">
        <v>16288279.029999999</v>
      </c>
      <c r="E9">
        <v>15</v>
      </c>
      <c r="F9">
        <f t="shared" ref="F9:F17" si="7">+E9-C9</f>
        <v>11.5</v>
      </c>
      <c r="G9" s="90">
        <f>'Proposed Rates'!$O$48/100</f>
        <v>0</v>
      </c>
      <c r="H9" s="212">
        <f t="shared" ref="H9:H17" si="8">+D9*(1-F9/E9)*(1-G9)</f>
        <v>3800598.4403333324</v>
      </c>
      <c r="I9" s="212">
        <f t="shared" ref="I9:I17" si="9">+D9*F9</f>
        <v>187315208.845</v>
      </c>
    </row>
    <row r="10" spans="1:10" outlineLevel="2" x14ac:dyDescent="0.25">
      <c r="A10">
        <v>30301</v>
      </c>
      <c r="B10">
        <v>2019</v>
      </c>
      <c r="C10" s="258">
        <f t="shared" si="0"/>
        <v>4.5</v>
      </c>
      <c r="D10" s="212">
        <v>2714500.03</v>
      </c>
      <c r="E10">
        <v>15</v>
      </c>
      <c r="F10">
        <f t="shared" si="7"/>
        <v>10.5</v>
      </c>
      <c r="G10" s="90">
        <f>'Proposed Rates'!$O$48/100</f>
        <v>0</v>
      </c>
      <c r="H10" s="212">
        <f t="shared" si="8"/>
        <v>814350.00900000008</v>
      </c>
      <c r="I10" s="212">
        <f t="shared" si="9"/>
        <v>28502250.314999998</v>
      </c>
    </row>
    <row r="11" spans="1:10" outlineLevel="2" x14ac:dyDescent="0.25">
      <c r="A11">
        <v>30301</v>
      </c>
      <c r="B11">
        <v>2018</v>
      </c>
      <c r="C11" s="258">
        <f t="shared" si="0"/>
        <v>5.5</v>
      </c>
      <c r="D11" s="212">
        <v>2495160.7200000002</v>
      </c>
      <c r="E11">
        <v>15</v>
      </c>
      <c r="F11">
        <f t="shared" si="7"/>
        <v>9.5</v>
      </c>
      <c r="G11" s="90">
        <f>'Proposed Rates'!$O$48/100</f>
        <v>0</v>
      </c>
      <c r="H11" s="212">
        <f t="shared" si="8"/>
        <v>914892.2640000002</v>
      </c>
      <c r="I11" s="212">
        <f t="shared" si="9"/>
        <v>23704026.840000004</v>
      </c>
    </row>
    <row r="12" spans="1:10" outlineLevel="2" x14ac:dyDescent="0.25">
      <c r="A12">
        <v>30301</v>
      </c>
      <c r="B12">
        <v>2017</v>
      </c>
      <c r="C12" s="258">
        <f t="shared" si="0"/>
        <v>6.5</v>
      </c>
      <c r="D12" s="212">
        <v>404501.34</v>
      </c>
      <c r="E12">
        <v>15</v>
      </c>
      <c r="F12">
        <f t="shared" si="7"/>
        <v>8.5</v>
      </c>
      <c r="G12" s="90">
        <f>'Proposed Rates'!$O$48/100</f>
        <v>0</v>
      </c>
      <c r="H12" s="212">
        <f t="shared" si="8"/>
        <v>175283.91400000002</v>
      </c>
      <c r="I12" s="212">
        <f t="shared" si="9"/>
        <v>3438261.39</v>
      </c>
    </row>
    <row r="13" spans="1:10" outlineLevel="2" x14ac:dyDescent="0.25">
      <c r="A13">
        <v>30301</v>
      </c>
      <c r="B13">
        <v>2016</v>
      </c>
      <c r="C13" s="258">
        <f t="shared" si="0"/>
        <v>7.5</v>
      </c>
      <c r="D13" s="212">
        <v>1962769.57</v>
      </c>
      <c r="E13">
        <v>15</v>
      </c>
      <c r="F13">
        <f t="shared" si="7"/>
        <v>7.5</v>
      </c>
      <c r="G13" s="90">
        <f>'Proposed Rates'!$O$48/100</f>
        <v>0</v>
      </c>
      <c r="H13" s="212">
        <f t="shared" si="8"/>
        <v>981384.78500000003</v>
      </c>
      <c r="I13" s="212">
        <f t="shared" si="9"/>
        <v>14720771.775</v>
      </c>
    </row>
    <row r="14" spans="1:10" outlineLevel="2" x14ac:dyDescent="0.25">
      <c r="A14">
        <v>30301</v>
      </c>
      <c r="B14">
        <v>2015</v>
      </c>
      <c r="C14" s="258">
        <f t="shared" si="0"/>
        <v>8.5</v>
      </c>
      <c r="D14" s="212">
        <v>4290931.54</v>
      </c>
      <c r="E14">
        <v>15</v>
      </c>
      <c r="F14">
        <f t="shared" si="7"/>
        <v>6.5</v>
      </c>
      <c r="G14" s="90">
        <f>'Proposed Rates'!$O$48/100</f>
        <v>0</v>
      </c>
      <c r="H14" s="212">
        <f t="shared" si="8"/>
        <v>2431527.8726666667</v>
      </c>
      <c r="I14" s="212">
        <f t="shared" si="9"/>
        <v>27891055.010000002</v>
      </c>
    </row>
    <row r="15" spans="1:10" outlineLevel="2" x14ac:dyDescent="0.25">
      <c r="A15">
        <v>30301</v>
      </c>
      <c r="B15">
        <v>2014</v>
      </c>
      <c r="C15" s="258">
        <f t="shared" si="0"/>
        <v>9.5</v>
      </c>
      <c r="D15" s="212">
        <v>1362236.89</v>
      </c>
      <c r="E15">
        <v>15</v>
      </c>
      <c r="F15">
        <f t="shared" si="7"/>
        <v>5.5</v>
      </c>
      <c r="G15" s="90">
        <f>'Proposed Rates'!$O$48/100</f>
        <v>0</v>
      </c>
      <c r="H15" s="212">
        <f t="shared" si="8"/>
        <v>862750.03033333318</v>
      </c>
      <c r="I15" s="212">
        <f t="shared" si="9"/>
        <v>7492302.8949999996</v>
      </c>
    </row>
    <row r="16" spans="1:10" outlineLevel="2" x14ac:dyDescent="0.25">
      <c r="A16">
        <v>30301</v>
      </c>
      <c r="B16">
        <v>2013</v>
      </c>
      <c r="C16" s="258">
        <f t="shared" si="0"/>
        <v>10.5</v>
      </c>
      <c r="D16" s="212">
        <v>720847.71</v>
      </c>
      <c r="E16">
        <v>15</v>
      </c>
      <c r="F16">
        <f t="shared" si="7"/>
        <v>4.5</v>
      </c>
      <c r="G16" s="90">
        <f>'Proposed Rates'!$O$48/100</f>
        <v>0</v>
      </c>
      <c r="H16" s="212">
        <f t="shared" si="8"/>
        <v>504593.39699999994</v>
      </c>
      <c r="I16" s="212">
        <f t="shared" si="9"/>
        <v>3243814.6949999998</v>
      </c>
    </row>
    <row r="17" spans="1:10" outlineLevel="2" x14ac:dyDescent="0.25">
      <c r="A17">
        <v>30301</v>
      </c>
      <c r="B17">
        <v>2012</v>
      </c>
      <c r="C17" s="258">
        <f t="shared" si="0"/>
        <v>11.5</v>
      </c>
      <c r="D17" s="212">
        <v>7542446.6799999997</v>
      </c>
      <c r="E17">
        <v>15</v>
      </c>
      <c r="F17">
        <f t="shared" si="7"/>
        <v>3.5</v>
      </c>
      <c r="G17" s="90">
        <f>'Proposed Rates'!$O$48/100</f>
        <v>0</v>
      </c>
      <c r="H17" s="212">
        <f t="shared" si="8"/>
        <v>5782542.4546666658</v>
      </c>
      <c r="I17" s="212">
        <f t="shared" si="9"/>
        <v>26398563.379999999</v>
      </c>
    </row>
    <row r="18" spans="1:10" outlineLevel="2" x14ac:dyDescent="0.25">
      <c r="A18">
        <v>30301</v>
      </c>
      <c r="B18">
        <v>2011</v>
      </c>
      <c r="C18" s="258">
        <f t="shared" si="0"/>
        <v>12.5</v>
      </c>
      <c r="D18" s="212">
        <v>2758629.14</v>
      </c>
      <c r="E18">
        <v>15</v>
      </c>
      <c r="F18">
        <f t="shared" si="3"/>
        <v>2.5</v>
      </c>
      <c r="G18" s="90">
        <f>'Proposed Rates'!$O$48/100</f>
        <v>0</v>
      </c>
      <c r="H18" s="212">
        <f t="shared" si="4"/>
        <v>2298857.6166666667</v>
      </c>
      <c r="I18" s="212">
        <f t="shared" si="2"/>
        <v>6896572.8500000006</v>
      </c>
    </row>
    <row r="19" spans="1:10" outlineLevel="2" x14ac:dyDescent="0.25">
      <c r="A19">
        <v>30301</v>
      </c>
      <c r="B19">
        <v>2010</v>
      </c>
      <c r="C19" s="258">
        <f t="shared" si="0"/>
        <v>13.5</v>
      </c>
      <c r="D19" s="212">
        <v>1703606.7</v>
      </c>
      <c r="E19">
        <v>15</v>
      </c>
      <c r="F19">
        <f t="shared" si="3"/>
        <v>1.5</v>
      </c>
      <c r="G19" s="90">
        <f>'Proposed Rates'!$O$48/100</f>
        <v>0</v>
      </c>
      <c r="H19" s="212">
        <f t="shared" si="4"/>
        <v>1533246.03</v>
      </c>
      <c r="I19" s="212">
        <f t="shared" si="2"/>
        <v>2555410.0499999998</v>
      </c>
    </row>
    <row r="20" spans="1:10" outlineLevel="2" x14ac:dyDescent="0.25">
      <c r="A20">
        <v>30301</v>
      </c>
      <c r="B20">
        <v>2009</v>
      </c>
      <c r="C20" s="258">
        <f t="shared" si="0"/>
        <v>14.5</v>
      </c>
      <c r="D20" s="212">
        <v>3203016.29</v>
      </c>
      <c r="E20">
        <v>15</v>
      </c>
      <c r="F20">
        <f t="shared" si="3"/>
        <v>0.5</v>
      </c>
      <c r="G20" s="90">
        <f>'Proposed Rates'!$O$48/100</f>
        <v>0</v>
      </c>
      <c r="H20" s="212">
        <f t="shared" si="4"/>
        <v>3096249.0803333335</v>
      </c>
      <c r="I20" s="212">
        <f t="shared" si="2"/>
        <v>1601508.145</v>
      </c>
    </row>
    <row r="21" spans="1:10" outlineLevel="2" x14ac:dyDescent="0.25">
      <c r="A21">
        <v>30301</v>
      </c>
      <c r="B21">
        <v>2007</v>
      </c>
      <c r="C21" s="258">
        <f t="shared" si="0"/>
        <v>16.5</v>
      </c>
      <c r="D21" s="212">
        <v>122538.29</v>
      </c>
      <c r="E21">
        <v>15</v>
      </c>
      <c r="F21">
        <v>0</v>
      </c>
      <c r="G21" s="90">
        <f>'Proposed Rates'!$O$48/100</f>
        <v>0</v>
      </c>
      <c r="H21" s="212">
        <f t="shared" si="4"/>
        <v>122538.29</v>
      </c>
      <c r="I21" s="212">
        <f t="shared" si="2"/>
        <v>0</v>
      </c>
    </row>
    <row r="22" spans="1:10" outlineLevel="2" x14ac:dyDescent="0.25">
      <c r="A22">
        <v>30301</v>
      </c>
      <c r="B22">
        <v>2006</v>
      </c>
      <c r="C22" s="258">
        <f t="shared" si="0"/>
        <v>17.5</v>
      </c>
      <c r="D22" s="212">
        <v>371049.12</v>
      </c>
      <c r="E22">
        <v>15</v>
      </c>
      <c r="F22">
        <v>0</v>
      </c>
      <c r="G22" s="90">
        <f>'Proposed Rates'!$O$48/100</f>
        <v>0</v>
      </c>
      <c r="H22" s="212">
        <f t="shared" si="4"/>
        <v>371049.12</v>
      </c>
      <c r="I22" s="212">
        <f t="shared" si="2"/>
        <v>0</v>
      </c>
    </row>
    <row r="23" spans="1:10" outlineLevel="2" x14ac:dyDescent="0.25">
      <c r="A23">
        <v>30301</v>
      </c>
      <c r="B23">
        <v>2005</v>
      </c>
      <c r="C23" s="258">
        <f t="shared" si="0"/>
        <v>18.5</v>
      </c>
      <c r="D23" s="212">
        <v>173913.05</v>
      </c>
      <c r="E23">
        <v>15</v>
      </c>
      <c r="F23">
        <v>0</v>
      </c>
      <c r="G23" s="90">
        <f>'Proposed Rates'!$O$48/100</f>
        <v>0</v>
      </c>
      <c r="H23" s="212">
        <f t="shared" si="4"/>
        <v>173913.05</v>
      </c>
      <c r="I23" s="212">
        <f t="shared" si="2"/>
        <v>0</v>
      </c>
    </row>
    <row r="24" spans="1:10" outlineLevel="2" x14ac:dyDescent="0.25">
      <c r="A24">
        <v>30301</v>
      </c>
      <c r="B24">
        <v>2004</v>
      </c>
      <c r="C24" s="258">
        <f t="shared" si="0"/>
        <v>19.5</v>
      </c>
      <c r="D24" s="212">
        <v>130041.41</v>
      </c>
      <c r="E24">
        <v>15</v>
      </c>
      <c r="F24">
        <v>0</v>
      </c>
      <c r="G24" s="90">
        <f>'Proposed Rates'!$O$48/100</f>
        <v>0</v>
      </c>
      <c r="H24" s="212">
        <f t="shared" si="4"/>
        <v>130041.41</v>
      </c>
      <c r="I24" s="212">
        <f t="shared" si="2"/>
        <v>0</v>
      </c>
    </row>
    <row r="25" spans="1:10" outlineLevel="2" x14ac:dyDescent="0.25">
      <c r="A25">
        <v>30301</v>
      </c>
      <c r="B25">
        <v>2003</v>
      </c>
      <c r="C25" s="258">
        <f t="shared" si="0"/>
        <v>20.5</v>
      </c>
      <c r="D25" s="212">
        <v>29233.07</v>
      </c>
      <c r="E25">
        <v>15</v>
      </c>
      <c r="F25">
        <v>0</v>
      </c>
      <c r="G25" s="90">
        <f>'Proposed Rates'!$O$48/100</f>
        <v>0</v>
      </c>
      <c r="H25" s="212">
        <f t="shared" si="4"/>
        <v>29233.07</v>
      </c>
      <c r="I25" s="212">
        <f t="shared" si="2"/>
        <v>0</v>
      </c>
    </row>
    <row r="26" spans="1:10" outlineLevel="2" x14ac:dyDescent="0.25">
      <c r="A26">
        <v>30301</v>
      </c>
      <c r="B26">
        <v>2002</v>
      </c>
      <c r="C26" s="258">
        <f t="shared" si="0"/>
        <v>21.5</v>
      </c>
      <c r="D26" s="212">
        <v>1434764.12</v>
      </c>
      <c r="E26">
        <v>15</v>
      </c>
      <c r="F26">
        <v>0</v>
      </c>
      <c r="G26" s="90">
        <f>'Proposed Rates'!$O$48/100</f>
        <v>0</v>
      </c>
      <c r="H26" s="212">
        <f t="shared" si="4"/>
        <v>1434764.12</v>
      </c>
      <c r="I26" s="212">
        <f t="shared" si="2"/>
        <v>0</v>
      </c>
    </row>
    <row r="27" spans="1:10" outlineLevel="2" x14ac:dyDescent="0.25">
      <c r="A27">
        <v>30301</v>
      </c>
      <c r="B27">
        <v>2001</v>
      </c>
      <c r="C27" s="258">
        <f t="shared" si="0"/>
        <v>22.5</v>
      </c>
      <c r="D27" s="212">
        <v>802351.27</v>
      </c>
      <c r="E27">
        <v>15</v>
      </c>
      <c r="F27">
        <v>0</v>
      </c>
      <c r="G27" s="90">
        <f>'Proposed Rates'!$O$48/100</f>
        <v>0</v>
      </c>
      <c r="H27" s="212">
        <f t="shared" si="4"/>
        <v>802351.27</v>
      </c>
      <c r="I27" s="212">
        <f t="shared" si="2"/>
        <v>0</v>
      </c>
    </row>
    <row r="28" spans="1:10" ht="13" outlineLevel="1" x14ac:dyDescent="0.3">
      <c r="A28" s="18" t="s">
        <v>1178</v>
      </c>
      <c r="C28" s="258" t="s">
        <v>1229</v>
      </c>
      <c r="D28" s="212">
        <f>SUBTOTAL(9,D6:D27)</f>
        <v>110526643.99000001</v>
      </c>
      <c r="H28" s="212">
        <f>SUBTOTAL(9,H6:H27)</f>
        <v>29628972.286000002</v>
      </c>
      <c r="I28" s="212">
        <f>SUBTOTAL(9,I6:I27)</f>
        <v>1213465075.5599999</v>
      </c>
      <c r="J28" s="212">
        <f>+I28/D28</f>
        <v>10.978937130035263</v>
      </c>
    </row>
    <row r="29" spans="1:10" outlineLevel="2" x14ac:dyDescent="0.25">
      <c r="A29">
        <v>37402</v>
      </c>
      <c r="B29">
        <v>2018</v>
      </c>
      <c r="C29" s="258">
        <f t="shared" si="0"/>
        <v>5.5</v>
      </c>
      <c r="D29" s="212">
        <v>60540.78</v>
      </c>
      <c r="E29">
        <v>75</v>
      </c>
      <c r="F29">
        <v>69.5</v>
      </c>
      <c r="G29" s="90">
        <f>'Proposed Rates'!$O$16/100</f>
        <v>0</v>
      </c>
      <c r="H29" s="212">
        <f t="shared" ref="H29:H65" si="10">+D29*(1-F29/E29)*(1-G29)</f>
        <v>4439.6572000000015</v>
      </c>
      <c r="I29" s="212">
        <f t="shared" si="2"/>
        <v>4207584.21</v>
      </c>
    </row>
    <row r="30" spans="1:10" outlineLevel="2" x14ac:dyDescent="0.25">
      <c r="A30">
        <v>37402</v>
      </c>
      <c r="B30">
        <v>2017</v>
      </c>
      <c r="C30" s="258">
        <f t="shared" si="0"/>
        <v>6.5</v>
      </c>
      <c r="D30" s="212">
        <v>311775.23</v>
      </c>
      <c r="E30">
        <v>75</v>
      </c>
      <c r="F30">
        <v>68.5</v>
      </c>
      <c r="G30" s="90">
        <f>'Proposed Rates'!$O$16/100</f>
        <v>0</v>
      </c>
      <c r="H30" s="212">
        <f t="shared" si="10"/>
        <v>27020.519933333333</v>
      </c>
      <c r="I30" s="212">
        <f t="shared" si="2"/>
        <v>21356603.254999999</v>
      </c>
    </row>
    <row r="31" spans="1:10" outlineLevel="2" x14ac:dyDescent="0.25">
      <c r="A31">
        <v>37402</v>
      </c>
      <c r="B31">
        <v>2016</v>
      </c>
      <c r="C31" s="258">
        <f t="shared" si="0"/>
        <v>7.5</v>
      </c>
      <c r="D31" s="212">
        <v>1072853.7</v>
      </c>
      <c r="E31">
        <v>75</v>
      </c>
      <c r="F31">
        <v>67.5</v>
      </c>
      <c r="G31" s="90">
        <f>'Proposed Rates'!$O$16/100</f>
        <v>0</v>
      </c>
      <c r="H31" s="212">
        <f t="shared" si="10"/>
        <v>107285.36999999997</v>
      </c>
      <c r="I31" s="212">
        <f t="shared" si="2"/>
        <v>72417624.75</v>
      </c>
    </row>
    <row r="32" spans="1:10" outlineLevel="2" x14ac:dyDescent="0.25">
      <c r="A32">
        <v>37402</v>
      </c>
      <c r="B32">
        <v>2015</v>
      </c>
      <c r="C32" s="258">
        <f t="shared" si="0"/>
        <v>8.5</v>
      </c>
      <c r="D32" s="212">
        <v>895642.5</v>
      </c>
      <c r="E32">
        <v>75</v>
      </c>
      <c r="F32">
        <v>66.5</v>
      </c>
      <c r="G32" s="90">
        <f>'Proposed Rates'!$O$16/100</f>
        <v>0</v>
      </c>
      <c r="H32" s="212">
        <f t="shared" si="10"/>
        <v>101506.14999999995</v>
      </c>
      <c r="I32" s="212">
        <f t="shared" si="2"/>
        <v>59560226.25</v>
      </c>
    </row>
    <row r="33" spans="1:9" outlineLevel="2" x14ac:dyDescent="0.25">
      <c r="A33">
        <v>37402</v>
      </c>
      <c r="B33">
        <v>2014</v>
      </c>
      <c r="C33" s="258">
        <f t="shared" si="0"/>
        <v>9.5</v>
      </c>
      <c r="D33" s="212">
        <v>267914.88</v>
      </c>
      <c r="E33">
        <v>75</v>
      </c>
      <c r="F33">
        <v>65.5</v>
      </c>
      <c r="G33" s="90">
        <f>'Proposed Rates'!$O$16/100</f>
        <v>0</v>
      </c>
      <c r="H33" s="212">
        <f t="shared" si="10"/>
        <v>33935.884800000014</v>
      </c>
      <c r="I33" s="212">
        <f t="shared" si="2"/>
        <v>17548424.640000001</v>
      </c>
    </row>
    <row r="34" spans="1:9" outlineLevel="2" x14ac:dyDescent="0.25">
      <c r="A34">
        <v>37402</v>
      </c>
      <c r="B34">
        <v>2013</v>
      </c>
      <c r="C34" s="258">
        <f t="shared" si="0"/>
        <v>10.5</v>
      </c>
      <c r="D34" s="212">
        <v>30114.25</v>
      </c>
      <c r="E34">
        <v>75</v>
      </c>
      <c r="F34">
        <v>64.5</v>
      </c>
      <c r="G34" s="90">
        <f>'Proposed Rates'!$O$16/100</f>
        <v>0</v>
      </c>
      <c r="H34" s="212">
        <f t="shared" si="10"/>
        <v>4215.9950000000008</v>
      </c>
      <c r="I34" s="212">
        <f t="shared" si="2"/>
        <v>1942369.125</v>
      </c>
    </row>
    <row r="35" spans="1:9" outlineLevel="2" x14ac:dyDescent="0.25">
      <c r="A35">
        <v>37402</v>
      </c>
      <c r="B35">
        <v>2012</v>
      </c>
      <c r="C35" s="258">
        <f t="shared" si="0"/>
        <v>11.5</v>
      </c>
      <c r="D35" s="212">
        <v>70879.62</v>
      </c>
      <c r="E35">
        <v>75</v>
      </c>
      <c r="F35">
        <v>63.5</v>
      </c>
      <c r="G35" s="90">
        <f>'Proposed Rates'!$O$16/100</f>
        <v>0</v>
      </c>
      <c r="H35" s="212">
        <f t="shared" si="10"/>
        <v>10868.208399999998</v>
      </c>
      <c r="I35" s="212">
        <f t="shared" si="2"/>
        <v>4500855.87</v>
      </c>
    </row>
    <row r="36" spans="1:9" outlineLevel="2" x14ac:dyDescent="0.25">
      <c r="A36">
        <v>37402</v>
      </c>
      <c r="B36">
        <v>2010</v>
      </c>
      <c r="C36" s="258">
        <f t="shared" si="0"/>
        <v>13.5</v>
      </c>
      <c r="D36" s="212">
        <v>67325.5</v>
      </c>
      <c r="E36">
        <v>75</v>
      </c>
      <c r="F36">
        <v>61.5</v>
      </c>
      <c r="G36" s="90">
        <f>'Proposed Rates'!$O$16/100</f>
        <v>0</v>
      </c>
      <c r="H36" s="212">
        <f t="shared" si="10"/>
        <v>12118.590000000004</v>
      </c>
      <c r="I36" s="212">
        <f t="shared" si="2"/>
        <v>4140518.25</v>
      </c>
    </row>
    <row r="37" spans="1:9" outlineLevel="2" x14ac:dyDescent="0.25">
      <c r="A37">
        <v>37402</v>
      </c>
      <c r="B37">
        <v>2009</v>
      </c>
      <c r="C37" s="258">
        <f t="shared" si="0"/>
        <v>14.5</v>
      </c>
      <c r="D37" s="212">
        <v>121055.42</v>
      </c>
      <c r="E37">
        <v>75</v>
      </c>
      <c r="F37">
        <v>60.5</v>
      </c>
      <c r="G37" s="90">
        <f>'Proposed Rates'!$O$16/100</f>
        <v>0</v>
      </c>
      <c r="H37" s="212">
        <f t="shared" si="10"/>
        <v>23404.047866666668</v>
      </c>
      <c r="I37" s="212">
        <f t="shared" si="2"/>
        <v>7323852.9100000001</v>
      </c>
    </row>
    <row r="38" spans="1:9" outlineLevel="2" x14ac:dyDescent="0.25">
      <c r="A38">
        <v>37402</v>
      </c>
      <c r="B38">
        <v>2008</v>
      </c>
      <c r="C38" s="258">
        <f t="shared" si="0"/>
        <v>15.5</v>
      </c>
      <c r="D38" s="212">
        <v>54867.33</v>
      </c>
      <c r="E38">
        <v>75</v>
      </c>
      <c r="F38">
        <v>59.5</v>
      </c>
      <c r="G38" s="90">
        <f>'Proposed Rates'!$O$16/100</f>
        <v>0</v>
      </c>
      <c r="H38" s="212">
        <f t="shared" si="10"/>
        <v>11339.2482</v>
      </c>
      <c r="I38" s="212">
        <f t="shared" si="2"/>
        <v>3264606.1350000002</v>
      </c>
    </row>
    <row r="39" spans="1:9" outlineLevel="2" x14ac:dyDescent="0.25">
      <c r="A39">
        <v>37402</v>
      </c>
      <c r="B39">
        <v>2006</v>
      </c>
      <c r="C39" s="258">
        <f t="shared" si="0"/>
        <v>17.5</v>
      </c>
      <c r="D39" s="212">
        <v>12725.4</v>
      </c>
      <c r="E39">
        <v>75</v>
      </c>
      <c r="F39">
        <v>57.5</v>
      </c>
      <c r="G39" s="90">
        <f>'Proposed Rates'!$O$16/100</f>
        <v>0</v>
      </c>
      <c r="H39" s="212">
        <f t="shared" si="10"/>
        <v>2969.2599999999993</v>
      </c>
      <c r="I39" s="212">
        <f t="shared" si="2"/>
        <v>731710.5</v>
      </c>
    </row>
    <row r="40" spans="1:9" outlineLevel="2" x14ac:dyDescent="0.25">
      <c r="A40">
        <v>37402</v>
      </c>
      <c r="B40">
        <v>2005</v>
      </c>
      <c r="C40" s="258">
        <f t="shared" si="0"/>
        <v>18.5</v>
      </c>
      <c r="D40" s="212">
        <v>46539.37</v>
      </c>
      <c r="E40">
        <v>75</v>
      </c>
      <c r="F40">
        <v>56.5</v>
      </c>
      <c r="G40" s="90">
        <f>'Proposed Rates'!$O$16/100</f>
        <v>0</v>
      </c>
      <c r="H40" s="212">
        <f t="shared" si="10"/>
        <v>11479.711266666669</v>
      </c>
      <c r="I40" s="212">
        <f t="shared" si="2"/>
        <v>2629474.4050000003</v>
      </c>
    </row>
    <row r="41" spans="1:9" outlineLevel="2" x14ac:dyDescent="0.25">
      <c r="A41">
        <v>37402</v>
      </c>
      <c r="B41">
        <v>2004</v>
      </c>
      <c r="C41" s="258">
        <f t="shared" si="0"/>
        <v>19.5</v>
      </c>
      <c r="D41" s="212">
        <v>109828.54</v>
      </c>
      <c r="E41">
        <v>75</v>
      </c>
      <c r="F41">
        <v>55.5</v>
      </c>
      <c r="G41" s="90">
        <f>'Proposed Rates'!$O$16/100</f>
        <v>0</v>
      </c>
      <c r="H41" s="212">
        <f t="shared" si="10"/>
        <v>28555.420399999999</v>
      </c>
      <c r="I41" s="212">
        <f t="shared" si="2"/>
        <v>6095483.9699999997</v>
      </c>
    </row>
    <row r="42" spans="1:9" outlineLevel="2" x14ac:dyDescent="0.25">
      <c r="A42">
        <v>37402</v>
      </c>
      <c r="B42">
        <v>2002</v>
      </c>
      <c r="C42" s="258">
        <f t="shared" si="0"/>
        <v>21.5</v>
      </c>
      <c r="D42" s="212">
        <v>62802.66</v>
      </c>
      <c r="E42">
        <v>75</v>
      </c>
      <c r="F42">
        <v>53.5</v>
      </c>
      <c r="G42" s="90">
        <f>'Proposed Rates'!$O$16/100</f>
        <v>0</v>
      </c>
      <c r="H42" s="212">
        <f t="shared" si="10"/>
        <v>18003.429199999999</v>
      </c>
      <c r="I42" s="212">
        <f t="shared" si="2"/>
        <v>3359942.31</v>
      </c>
    </row>
    <row r="43" spans="1:9" outlineLevel="2" x14ac:dyDescent="0.25">
      <c r="A43">
        <v>37402</v>
      </c>
      <c r="B43">
        <v>2000</v>
      </c>
      <c r="C43" s="258">
        <f t="shared" si="0"/>
        <v>23.5</v>
      </c>
      <c r="D43" s="212">
        <v>16248.02</v>
      </c>
      <c r="E43">
        <v>75</v>
      </c>
      <c r="F43">
        <v>51.5</v>
      </c>
      <c r="G43" s="90">
        <f>'Proposed Rates'!$O$16/100</f>
        <v>0</v>
      </c>
      <c r="H43" s="212">
        <f t="shared" si="10"/>
        <v>5091.0462666666672</v>
      </c>
      <c r="I43" s="212">
        <f t="shared" si="2"/>
        <v>836773.03</v>
      </c>
    </row>
    <row r="44" spans="1:9" outlineLevel="2" x14ac:dyDescent="0.25">
      <c r="A44">
        <v>37402</v>
      </c>
      <c r="B44">
        <v>1999</v>
      </c>
      <c r="C44" s="258">
        <f t="shared" si="0"/>
        <v>24.5</v>
      </c>
      <c r="D44" s="212">
        <v>122559.84</v>
      </c>
      <c r="E44">
        <v>75</v>
      </c>
      <c r="F44">
        <v>50.5</v>
      </c>
      <c r="G44" s="90">
        <f>'Proposed Rates'!$O$16/100</f>
        <v>0</v>
      </c>
      <c r="H44" s="212">
        <f t="shared" si="10"/>
        <v>40036.214399999997</v>
      </c>
      <c r="I44" s="212">
        <f t="shared" si="2"/>
        <v>6189271.9199999999</v>
      </c>
    </row>
    <row r="45" spans="1:9" outlineLevel="2" x14ac:dyDescent="0.25">
      <c r="A45">
        <v>37402</v>
      </c>
      <c r="B45">
        <v>1996</v>
      </c>
      <c r="C45" s="258">
        <f t="shared" si="0"/>
        <v>27.5</v>
      </c>
      <c r="D45" s="212">
        <v>227583.17</v>
      </c>
      <c r="E45">
        <v>75</v>
      </c>
      <c r="F45">
        <v>47.5</v>
      </c>
      <c r="G45" s="90">
        <f>'Proposed Rates'!$O$16/100</f>
        <v>0</v>
      </c>
      <c r="H45" s="212">
        <f t="shared" si="10"/>
        <v>83447.162333333341</v>
      </c>
      <c r="I45" s="212">
        <f t="shared" si="2"/>
        <v>10810200.575000001</v>
      </c>
    </row>
    <row r="46" spans="1:9" outlineLevel="2" x14ac:dyDescent="0.25">
      <c r="A46">
        <v>37402</v>
      </c>
      <c r="B46">
        <v>1994</v>
      </c>
      <c r="C46" s="258">
        <f t="shared" si="0"/>
        <v>29.5</v>
      </c>
      <c r="D46" s="212">
        <v>6611.77</v>
      </c>
      <c r="E46">
        <v>75</v>
      </c>
      <c r="F46">
        <v>45.5</v>
      </c>
      <c r="G46" s="90">
        <f>'Proposed Rates'!$O$16/100</f>
        <v>0</v>
      </c>
      <c r="H46" s="212">
        <f t="shared" si="10"/>
        <v>2600.6295333333333</v>
      </c>
      <c r="I46" s="212">
        <f t="shared" si="2"/>
        <v>300835.53500000003</v>
      </c>
    </row>
    <row r="47" spans="1:9" outlineLevel="2" x14ac:dyDescent="0.25">
      <c r="A47">
        <v>37402</v>
      </c>
      <c r="B47">
        <v>1993</v>
      </c>
      <c r="C47" s="258">
        <f t="shared" si="0"/>
        <v>30.5</v>
      </c>
      <c r="D47" s="212">
        <v>12037.5</v>
      </c>
      <c r="E47">
        <v>75</v>
      </c>
      <c r="F47">
        <v>44.5</v>
      </c>
      <c r="G47" s="90">
        <f>'Proposed Rates'!$O$16/100</f>
        <v>0</v>
      </c>
      <c r="H47" s="212">
        <f t="shared" si="10"/>
        <v>4895.2499999999991</v>
      </c>
      <c r="I47" s="212">
        <f t="shared" si="2"/>
        <v>535668.75</v>
      </c>
    </row>
    <row r="48" spans="1:9" outlineLevel="2" x14ac:dyDescent="0.25">
      <c r="A48">
        <v>37402</v>
      </c>
      <c r="B48">
        <v>1991</v>
      </c>
      <c r="C48" s="258">
        <f t="shared" si="0"/>
        <v>32.5</v>
      </c>
      <c r="D48" s="212">
        <v>12084.68</v>
      </c>
      <c r="E48">
        <v>75</v>
      </c>
      <c r="F48">
        <v>42.5</v>
      </c>
      <c r="G48" s="90">
        <f>'Proposed Rates'!$O$16/100</f>
        <v>0</v>
      </c>
      <c r="H48" s="212">
        <f t="shared" si="10"/>
        <v>5236.6946666666672</v>
      </c>
      <c r="I48" s="212">
        <f t="shared" si="2"/>
        <v>513598.9</v>
      </c>
    </row>
    <row r="49" spans="1:9" outlineLevel="2" x14ac:dyDescent="0.25">
      <c r="A49">
        <v>37402</v>
      </c>
      <c r="B49">
        <v>1981</v>
      </c>
      <c r="C49" s="258">
        <f t="shared" si="0"/>
        <v>42.5</v>
      </c>
      <c r="D49" s="212">
        <v>54.26</v>
      </c>
      <c r="E49">
        <v>75</v>
      </c>
      <c r="F49">
        <v>32.5</v>
      </c>
      <c r="G49" s="90">
        <f>'Proposed Rates'!$O$16/100</f>
        <v>0</v>
      </c>
      <c r="H49" s="212">
        <f t="shared" si="10"/>
        <v>30.74733333333333</v>
      </c>
      <c r="I49" s="212">
        <f t="shared" si="2"/>
        <v>1763.45</v>
      </c>
    </row>
    <row r="50" spans="1:9" outlineLevel="2" x14ac:dyDescent="0.25">
      <c r="A50">
        <v>37402</v>
      </c>
      <c r="B50">
        <v>1975</v>
      </c>
      <c r="C50" s="258">
        <f t="shared" si="0"/>
        <v>48.5</v>
      </c>
      <c r="D50" s="212">
        <v>10955.04</v>
      </c>
      <c r="E50">
        <v>75</v>
      </c>
      <c r="F50">
        <v>26.5</v>
      </c>
      <c r="G50" s="90">
        <f>'Proposed Rates'!$O$16/100</f>
        <v>0</v>
      </c>
      <c r="H50" s="212">
        <f t="shared" si="10"/>
        <v>7084.2592000000013</v>
      </c>
      <c r="I50" s="212">
        <f t="shared" si="2"/>
        <v>290308.56</v>
      </c>
    </row>
    <row r="51" spans="1:9" outlineLevel="2" x14ac:dyDescent="0.25">
      <c r="A51">
        <v>37402</v>
      </c>
      <c r="B51">
        <v>1974</v>
      </c>
      <c r="C51" s="258">
        <f t="shared" si="0"/>
        <v>49.5</v>
      </c>
      <c r="D51" s="212">
        <v>14682.24</v>
      </c>
      <c r="E51">
        <v>75</v>
      </c>
      <c r="F51">
        <v>25.5</v>
      </c>
      <c r="G51" s="90">
        <f>'Proposed Rates'!$O$16/100</f>
        <v>0</v>
      </c>
      <c r="H51" s="212">
        <f t="shared" si="10"/>
        <v>9690.2783999999992</v>
      </c>
      <c r="I51" s="212">
        <f t="shared" si="2"/>
        <v>374397.12</v>
      </c>
    </row>
    <row r="52" spans="1:9" outlineLevel="2" x14ac:dyDescent="0.25">
      <c r="A52">
        <v>37402</v>
      </c>
      <c r="B52">
        <v>1973</v>
      </c>
      <c r="C52" s="258">
        <f t="shared" si="0"/>
        <v>50.5</v>
      </c>
      <c r="D52" s="212">
        <v>15101.53</v>
      </c>
      <c r="E52">
        <v>75</v>
      </c>
      <c r="F52">
        <v>24.5</v>
      </c>
      <c r="G52" s="90">
        <f>'Proposed Rates'!$O$16/100</f>
        <v>0</v>
      </c>
      <c r="H52" s="212">
        <f t="shared" si="10"/>
        <v>10168.363533333333</v>
      </c>
      <c r="I52" s="212">
        <f t="shared" si="2"/>
        <v>369987.48500000004</v>
      </c>
    </row>
    <row r="53" spans="1:9" outlineLevel="2" x14ac:dyDescent="0.25">
      <c r="A53">
        <v>37402</v>
      </c>
      <c r="B53">
        <v>1972</v>
      </c>
      <c r="C53" s="258">
        <f t="shared" si="0"/>
        <v>51.5</v>
      </c>
      <c r="D53" s="212">
        <v>124757.77</v>
      </c>
      <c r="E53">
        <v>75</v>
      </c>
      <c r="F53">
        <v>23.5</v>
      </c>
      <c r="G53" s="90">
        <f>'Proposed Rates'!$O$16/100</f>
        <v>0</v>
      </c>
      <c r="H53" s="212">
        <f t="shared" si="10"/>
        <v>85667.002066666668</v>
      </c>
      <c r="I53" s="212">
        <f t="shared" si="2"/>
        <v>2931807.5950000002</v>
      </c>
    </row>
    <row r="54" spans="1:9" outlineLevel="2" x14ac:dyDescent="0.25">
      <c r="A54">
        <v>37402</v>
      </c>
      <c r="B54">
        <v>1971</v>
      </c>
      <c r="C54" s="258">
        <f t="shared" si="0"/>
        <v>52.5</v>
      </c>
      <c r="D54" s="212">
        <v>98904.72</v>
      </c>
      <c r="E54">
        <v>75</v>
      </c>
      <c r="F54">
        <v>22.5</v>
      </c>
      <c r="G54" s="90">
        <f>'Proposed Rates'!$O$16/100</f>
        <v>0</v>
      </c>
      <c r="H54" s="212">
        <f t="shared" si="10"/>
        <v>69233.303999999989</v>
      </c>
      <c r="I54" s="212">
        <f t="shared" si="2"/>
        <v>2225356.2000000002</v>
      </c>
    </row>
    <row r="55" spans="1:9" outlineLevel="2" x14ac:dyDescent="0.25">
      <c r="A55">
        <v>37402</v>
      </c>
      <c r="B55">
        <v>1970</v>
      </c>
      <c r="C55" s="258">
        <f t="shared" si="0"/>
        <v>53.5</v>
      </c>
      <c r="D55" s="212">
        <v>116665.02</v>
      </c>
      <c r="E55">
        <v>75</v>
      </c>
      <c r="F55">
        <v>21.5</v>
      </c>
      <c r="G55" s="90">
        <f>'Proposed Rates'!$O$16/100</f>
        <v>0</v>
      </c>
      <c r="H55" s="212">
        <f t="shared" si="10"/>
        <v>83221.047600000005</v>
      </c>
      <c r="I55" s="212">
        <f t="shared" si="2"/>
        <v>2508297.9300000002</v>
      </c>
    </row>
    <row r="56" spans="1:9" outlineLevel="2" x14ac:dyDescent="0.25">
      <c r="A56">
        <v>37402</v>
      </c>
      <c r="B56">
        <v>1969</v>
      </c>
      <c r="C56" s="258">
        <f t="shared" si="0"/>
        <v>54.5</v>
      </c>
      <c r="D56" s="212">
        <v>127678.07</v>
      </c>
      <c r="E56">
        <v>75</v>
      </c>
      <c r="F56">
        <v>20.5</v>
      </c>
      <c r="G56" s="90">
        <f>'Proposed Rates'!$O$16/100</f>
        <v>0</v>
      </c>
      <c r="H56" s="212">
        <f t="shared" si="10"/>
        <v>92779.397533333336</v>
      </c>
      <c r="I56" s="212">
        <f t="shared" si="2"/>
        <v>2617400.4350000001</v>
      </c>
    </row>
    <row r="57" spans="1:9" outlineLevel="2" x14ac:dyDescent="0.25">
      <c r="A57">
        <v>37402</v>
      </c>
      <c r="B57">
        <v>1968</v>
      </c>
      <c r="C57" s="258">
        <f t="shared" si="0"/>
        <v>55.5</v>
      </c>
      <c r="D57" s="212">
        <v>76841.25</v>
      </c>
      <c r="E57">
        <v>75</v>
      </c>
      <c r="F57">
        <v>19.5</v>
      </c>
      <c r="G57" s="90">
        <f>'Proposed Rates'!$O$16/100</f>
        <v>0</v>
      </c>
      <c r="H57" s="212">
        <f t="shared" si="10"/>
        <v>56862.525000000001</v>
      </c>
      <c r="I57" s="212">
        <f t="shared" si="2"/>
        <v>1498404.375</v>
      </c>
    </row>
    <row r="58" spans="1:9" outlineLevel="2" x14ac:dyDescent="0.25">
      <c r="A58">
        <v>37402</v>
      </c>
      <c r="B58">
        <v>1967</v>
      </c>
      <c r="C58" s="258">
        <f t="shared" si="0"/>
        <v>56.5</v>
      </c>
      <c r="D58" s="212">
        <v>27128.87</v>
      </c>
      <c r="E58">
        <v>75</v>
      </c>
      <c r="F58">
        <v>18.5</v>
      </c>
      <c r="G58" s="90">
        <f>'Proposed Rates'!$O$16/100</f>
        <v>0</v>
      </c>
      <c r="H58" s="212">
        <f t="shared" si="10"/>
        <v>20437.082066666666</v>
      </c>
      <c r="I58" s="212">
        <f t="shared" si="2"/>
        <v>501884.09499999997</v>
      </c>
    </row>
    <row r="59" spans="1:9" outlineLevel="2" x14ac:dyDescent="0.25">
      <c r="A59">
        <v>37402</v>
      </c>
      <c r="B59">
        <v>1966</v>
      </c>
      <c r="C59" s="258">
        <f t="shared" si="0"/>
        <v>57.5</v>
      </c>
      <c r="D59" s="212">
        <v>10891.57</v>
      </c>
      <c r="E59">
        <v>75</v>
      </c>
      <c r="F59">
        <v>17.5</v>
      </c>
      <c r="G59" s="90">
        <f>'Proposed Rates'!$O$16/100</f>
        <v>0</v>
      </c>
      <c r="H59" s="212">
        <f t="shared" si="10"/>
        <v>8350.2036666666663</v>
      </c>
      <c r="I59" s="212">
        <f t="shared" si="2"/>
        <v>190602.47500000001</v>
      </c>
    </row>
    <row r="60" spans="1:9" outlineLevel="2" x14ac:dyDescent="0.25">
      <c r="A60">
        <v>37402</v>
      </c>
      <c r="B60">
        <v>1965</v>
      </c>
      <c r="C60" s="258">
        <f t="shared" si="0"/>
        <v>58.5</v>
      </c>
      <c r="D60" s="212">
        <v>35291.61</v>
      </c>
      <c r="E60">
        <v>75</v>
      </c>
      <c r="F60">
        <v>16.5</v>
      </c>
      <c r="G60" s="90">
        <f>'Proposed Rates'!$O$16/100</f>
        <v>0</v>
      </c>
      <c r="H60" s="212">
        <f t="shared" si="10"/>
        <v>27527.4558</v>
      </c>
      <c r="I60" s="212">
        <f t="shared" si="2"/>
        <v>582311.56500000006</v>
      </c>
    </row>
    <row r="61" spans="1:9" outlineLevel="2" x14ac:dyDescent="0.25">
      <c r="A61">
        <v>37402</v>
      </c>
      <c r="B61">
        <v>1964</v>
      </c>
      <c r="C61" s="258">
        <f t="shared" si="0"/>
        <v>59.5</v>
      </c>
      <c r="D61" s="212">
        <v>8772.19</v>
      </c>
      <c r="E61">
        <v>75</v>
      </c>
      <c r="F61">
        <v>15.5</v>
      </c>
      <c r="G61" s="90">
        <f>'Proposed Rates'!$O$16/100</f>
        <v>0</v>
      </c>
      <c r="H61" s="212">
        <f t="shared" si="10"/>
        <v>6959.2707333333337</v>
      </c>
      <c r="I61" s="212">
        <f t="shared" si="2"/>
        <v>135968.94500000001</v>
      </c>
    </row>
    <row r="62" spans="1:9" outlineLevel="2" x14ac:dyDescent="0.25">
      <c r="A62">
        <v>37402</v>
      </c>
      <c r="B62">
        <v>1963</v>
      </c>
      <c r="C62" s="258">
        <f t="shared" si="0"/>
        <v>60.5</v>
      </c>
      <c r="D62" s="212">
        <v>8082.6</v>
      </c>
      <c r="E62">
        <v>75</v>
      </c>
      <c r="F62">
        <v>14.5</v>
      </c>
      <c r="G62" s="90">
        <f>'Proposed Rates'!$O$16/100</f>
        <v>0</v>
      </c>
      <c r="H62" s="212">
        <f t="shared" si="10"/>
        <v>6519.9639999999999</v>
      </c>
      <c r="I62" s="212">
        <f t="shared" si="2"/>
        <v>117197.70000000001</v>
      </c>
    </row>
    <row r="63" spans="1:9" outlineLevel="2" x14ac:dyDescent="0.25">
      <c r="A63">
        <v>37402</v>
      </c>
      <c r="B63">
        <v>1962</v>
      </c>
      <c r="C63" s="258">
        <f t="shared" si="0"/>
        <v>61.5</v>
      </c>
      <c r="D63" s="212">
        <v>1233.71</v>
      </c>
      <c r="E63">
        <v>75</v>
      </c>
      <c r="F63">
        <v>13.5</v>
      </c>
      <c r="G63" s="90">
        <f>'Proposed Rates'!$O$16/100</f>
        <v>0</v>
      </c>
      <c r="H63" s="212">
        <f t="shared" si="10"/>
        <v>1011.6422000000001</v>
      </c>
      <c r="I63" s="212">
        <f t="shared" si="2"/>
        <v>16655.084999999999</v>
      </c>
    </row>
    <row r="64" spans="1:9" outlineLevel="2" x14ac:dyDescent="0.25">
      <c r="A64">
        <v>37402</v>
      </c>
      <c r="B64">
        <v>1960</v>
      </c>
      <c r="C64" s="258">
        <f t="shared" si="0"/>
        <v>63.5</v>
      </c>
      <c r="D64" s="212">
        <v>1079.04</v>
      </c>
      <c r="E64">
        <v>75</v>
      </c>
      <c r="F64">
        <v>11.5</v>
      </c>
      <c r="G64" s="90">
        <f>'Proposed Rates'!$O$16/100</f>
        <v>0</v>
      </c>
      <c r="H64" s="212">
        <f t="shared" si="10"/>
        <v>913.58719999999994</v>
      </c>
      <c r="I64" s="212">
        <f t="shared" si="2"/>
        <v>12408.96</v>
      </c>
    </row>
    <row r="65" spans="1:10" outlineLevel="2" x14ac:dyDescent="0.25">
      <c r="A65">
        <v>37402</v>
      </c>
      <c r="B65">
        <v>1959</v>
      </c>
      <c r="C65" s="258">
        <f t="shared" si="0"/>
        <v>64.5</v>
      </c>
      <c r="D65" s="212">
        <v>8763.01</v>
      </c>
      <c r="E65">
        <v>75</v>
      </c>
      <c r="F65">
        <v>10.5</v>
      </c>
      <c r="G65" s="90">
        <f>'Proposed Rates'!$O$16/100</f>
        <v>0</v>
      </c>
      <c r="H65" s="212">
        <f t="shared" si="10"/>
        <v>7536.1886000000004</v>
      </c>
      <c r="I65" s="212">
        <f t="shared" si="2"/>
        <v>92011.604999999996</v>
      </c>
    </row>
    <row r="66" spans="1:10" ht="13" outlineLevel="1" x14ac:dyDescent="0.3">
      <c r="A66" s="18" t="s">
        <v>1179</v>
      </c>
      <c r="C66" s="258"/>
      <c r="D66" s="212">
        <f>SUBTOTAL(9,D29:D65)</f>
        <v>4268872.66</v>
      </c>
      <c r="H66" s="212">
        <f>SUBTOTAL(9,H29:H65)</f>
        <v>1032440.8083999999</v>
      </c>
      <c r="I66" s="212">
        <f>SUBTOTAL(9,I29:I65)</f>
        <v>242732388.86999997</v>
      </c>
      <c r="J66" s="212">
        <f>+I66/D66</f>
        <v>56.861004813856397</v>
      </c>
    </row>
    <row r="67" spans="1:10" outlineLevel="2" x14ac:dyDescent="0.25">
      <c r="A67">
        <v>37500</v>
      </c>
      <c r="B67">
        <v>2023</v>
      </c>
      <c r="C67" s="258">
        <v>0.5</v>
      </c>
      <c r="D67" s="212">
        <v>5278050.99</v>
      </c>
      <c r="E67">
        <v>33</v>
      </c>
      <c r="F67">
        <v>32.574646999999999</v>
      </c>
      <c r="G67" s="90">
        <f>'Proposed Rates'!$O$17/100</f>
        <v>0</v>
      </c>
      <c r="H67" s="212">
        <f t="shared" ref="H67:H68" si="11">+D67*(1-F67/E67)*(1-G67)</f>
        <v>68031.358265135437</v>
      </c>
      <c r="I67" s="212">
        <f t="shared" ref="I67:I68" si="12">+D67*F67</f>
        <v>171930647.84725052</v>
      </c>
    </row>
    <row r="68" spans="1:10" outlineLevel="2" x14ac:dyDescent="0.25">
      <c r="A68">
        <v>37500</v>
      </c>
      <c r="B68">
        <v>2022</v>
      </c>
      <c r="C68" s="258">
        <v>1.5</v>
      </c>
      <c r="D68" s="212">
        <v>706644.96</v>
      </c>
      <c r="E68">
        <v>33</v>
      </c>
      <c r="F68">
        <v>31.817478999999999</v>
      </c>
      <c r="G68" s="90">
        <f>'Proposed Rates'!$O$17/100</f>
        <v>0</v>
      </c>
      <c r="H68" s="212">
        <f t="shared" si="11"/>
        <v>25321.894083156381</v>
      </c>
      <c r="I68" s="212">
        <f t="shared" si="12"/>
        <v>22483661.175255839</v>
      </c>
    </row>
    <row r="69" spans="1:10" outlineLevel="2" x14ac:dyDescent="0.25">
      <c r="A69">
        <v>37500</v>
      </c>
      <c r="B69">
        <v>2021</v>
      </c>
      <c r="C69" s="258">
        <v>2.5</v>
      </c>
      <c r="D69" s="212">
        <v>275473.39</v>
      </c>
      <c r="E69">
        <v>33</v>
      </c>
      <c r="F69">
        <v>31.136454000000001</v>
      </c>
      <c r="G69" s="90">
        <f>'Proposed Rates'!$O$17/100</f>
        <v>0</v>
      </c>
      <c r="H69" s="212">
        <f t="shared" ref="H69:H119" si="13">+D69*(1-F69/E69)*(1-G69)</f>
        <v>15556.282849725441</v>
      </c>
      <c r="I69" s="212">
        <f t="shared" ref="I69:I119" si="14">+D69*F69</f>
        <v>8577264.5359590612</v>
      </c>
    </row>
    <row r="70" spans="1:10" outlineLevel="2" x14ac:dyDescent="0.25">
      <c r="A70">
        <v>37500</v>
      </c>
      <c r="B70">
        <v>2020</v>
      </c>
      <c r="C70" s="258">
        <v>3.5</v>
      </c>
      <c r="D70" s="212">
        <v>317815.46999999997</v>
      </c>
      <c r="E70">
        <v>33</v>
      </c>
      <c r="F70">
        <v>30.507490000000001</v>
      </c>
      <c r="G70" s="90">
        <f>'Proposed Rates'!$O$17/100</f>
        <v>0</v>
      </c>
      <c r="H70" s="212">
        <f t="shared" si="13"/>
        <v>24004.795064536349</v>
      </c>
      <c r="I70" s="212">
        <f t="shared" si="14"/>
        <v>9695752.2728702985</v>
      </c>
    </row>
    <row r="71" spans="1:10" outlineLevel="2" x14ac:dyDescent="0.25">
      <c r="A71">
        <v>37500</v>
      </c>
      <c r="B71">
        <v>2019</v>
      </c>
      <c r="C71" s="258">
        <v>4.5</v>
      </c>
      <c r="D71" s="212">
        <v>1536081.73</v>
      </c>
      <c r="E71">
        <v>33</v>
      </c>
      <c r="F71">
        <v>29.918714000000001</v>
      </c>
      <c r="G71" s="90">
        <f>'Proposed Rates'!$O$17/100</f>
        <v>0</v>
      </c>
      <c r="H71" s="212">
        <f t="shared" si="13"/>
        <v>143427.48877287202</v>
      </c>
      <c r="I71" s="212">
        <f t="shared" si="14"/>
        <v>45957589.960495219</v>
      </c>
    </row>
    <row r="72" spans="1:10" outlineLevel="2" x14ac:dyDescent="0.25">
      <c r="A72">
        <v>37500</v>
      </c>
      <c r="B72">
        <v>2018</v>
      </c>
      <c r="C72" s="258">
        <v>5.5</v>
      </c>
      <c r="D72" s="212">
        <v>488977.42</v>
      </c>
      <c r="E72">
        <v>33</v>
      </c>
      <c r="F72">
        <v>29.362749999999998</v>
      </c>
      <c r="G72" s="90">
        <f>'Proposed Rates'!$O$17/100</f>
        <v>0</v>
      </c>
      <c r="H72" s="212">
        <f t="shared" si="13"/>
        <v>53894.943057424265</v>
      </c>
      <c r="I72" s="212">
        <f t="shared" si="14"/>
        <v>14357721.739104999</v>
      </c>
    </row>
    <row r="73" spans="1:10" outlineLevel="2" x14ac:dyDescent="0.25">
      <c r="A73">
        <v>37500</v>
      </c>
      <c r="B73">
        <v>2017</v>
      </c>
      <c r="C73" s="258">
        <v>6.5</v>
      </c>
      <c r="D73" s="212">
        <v>980589.42</v>
      </c>
      <c r="E73">
        <v>33</v>
      </c>
      <c r="F73">
        <v>28.834486999999999</v>
      </c>
      <c r="G73" s="90">
        <f>'Proposed Rates'!$O$17/100</f>
        <v>0</v>
      </c>
      <c r="H73" s="212">
        <f t="shared" si="13"/>
        <v>123777.51444462007</v>
      </c>
      <c r="I73" s="212">
        <f t="shared" si="14"/>
        <v>28274792.88332754</v>
      </c>
    </row>
    <row r="74" spans="1:10" outlineLevel="2" x14ac:dyDescent="0.25">
      <c r="A74">
        <v>37500</v>
      </c>
      <c r="B74">
        <v>2016</v>
      </c>
      <c r="C74" s="258">
        <v>7.5</v>
      </c>
      <c r="D74" s="212">
        <v>6223006.5800000001</v>
      </c>
      <c r="E74">
        <v>33</v>
      </c>
      <c r="F74">
        <v>28.330116</v>
      </c>
      <c r="G74" s="90">
        <f>'Proposed Rates'!$O$17/100</f>
        <v>0</v>
      </c>
      <c r="H74" s="212">
        <f t="shared" si="13"/>
        <v>880627.84423747659</v>
      </c>
      <c r="I74" s="212">
        <f t="shared" si="14"/>
        <v>176298498.28016329</v>
      </c>
    </row>
    <row r="75" spans="1:10" outlineLevel="2" x14ac:dyDescent="0.25">
      <c r="A75">
        <v>37500</v>
      </c>
      <c r="B75">
        <v>2015</v>
      </c>
      <c r="C75" s="258">
        <v>8.5</v>
      </c>
      <c r="D75" s="212">
        <v>415971.22</v>
      </c>
      <c r="E75">
        <v>33</v>
      </c>
      <c r="F75">
        <v>27.846672000000002</v>
      </c>
      <c r="G75" s="90">
        <f>'Proposed Rates'!$O$17/100</f>
        <v>0</v>
      </c>
      <c r="H75" s="212">
        <f t="shared" si="13"/>
        <v>64958.670764247247</v>
      </c>
      <c r="I75" s="212">
        <f t="shared" si="14"/>
        <v>11583414.124779839</v>
      </c>
    </row>
    <row r="76" spans="1:10" outlineLevel="2" x14ac:dyDescent="0.25">
      <c r="A76">
        <v>37500</v>
      </c>
      <c r="B76">
        <v>2014</v>
      </c>
      <c r="C76" s="258">
        <v>9.5</v>
      </c>
      <c r="D76" s="212">
        <v>100117.9</v>
      </c>
      <c r="E76">
        <v>33</v>
      </c>
      <c r="F76">
        <v>27.381727999999999</v>
      </c>
      <c r="G76" s="90">
        <f>'Proposed Rates'!$O$17/100</f>
        <v>0</v>
      </c>
      <c r="H76" s="212">
        <f t="shared" si="13"/>
        <v>17045.139220266665</v>
      </c>
      <c r="I76" s="212">
        <f t="shared" si="14"/>
        <v>2741401.1057312</v>
      </c>
    </row>
    <row r="77" spans="1:10" outlineLevel="2" x14ac:dyDescent="0.25">
      <c r="A77">
        <v>37500</v>
      </c>
      <c r="B77">
        <v>2013</v>
      </c>
      <c r="C77" s="258">
        <v>10.5</v>
      </c>
      <c r="D77" s="212">
        <v>27683.14</v>
      </c>
      <c r="E77">
        <v>33</v>
      </c>
      <c r="F77">
        <v>26.933252</v>
      </c>
      <c r="G77" s="90">
        <f>'Proposed Rates'!$O$17/100</f>
        <v>0</v>
      </c>
      <c r="H77" s="212">
        <f t="shared" si="13"/>
        <v>5089.2919463248491</v>
      </c>
      <c r="I77" s="212">
        <f t="shared" si="14"/>
        <v>745596.98577128001</v>
      </c>
    </row>
    <row r="78" spans="1:10" outlineLevel="2" x14ac:dyDescent="0.25">
      <c r="A78">
        <v>37500</v>
      </c>
      <c r="B78">
        <v>2012</v>
      </c>
      <c r="C78" s="258">
        <v>11.5</v>
      </c>
      <c r="D78" s="212">
        <v>130812.33</v>
      </c>
      <c r="E78">
        <v>33</v>
      </c>
      <c r="F78">
        <v>26.499455000000001</v>
      </c>
      <c r="G78" s="90">
        <f>'Proposed Rates'!$O$17/100</f>
        <v>0</v>
      </c>
      <c r="H78" s="212">
        <f t="shared" si="13"/>
        <v>25768.22538544999</v>
      </c>
      <c r="I78" s="212">
        <f t="shared" si="14"/>
        <v>3466455.4522801503</v>
      </c>
    </row>
    <row r="79" spans="1:10" outlineLevel="2" x14ac:dyDescent="0.25">
      <c r="A79">
        <v>37500</v>
      </c>
      <c r="B79">
        <v>2011</v>
      </c>
      <c r="C79" s="258">
        <v>12.5</v>
      </c>
      <c r="D79" s="212">
        <v>197577.82</v>
      </c>
      <c r="E79">
        <v>33</v>
      </c>
      <c r="F79">
        <v>26.078728999999999</v>
      </c>
      <c r="G79" s="90">
        <f>'Proposed Rates'!$O$17/100</f>
        <v>0</v>
      </c>
      <c r="H79" s="212">
        <f t="shared" si="13"/>
        <v>41439.079873006682</v>
      </c>
      <c r="I79" s="212">
        <f t="shared" si="14"/>
        <v>5152578.4241907801</v>
      </c>
    </row>
    <row r="80" spans="1:10" outlineLevel="2" x14ac:dyDescent="0.25">
      <c r="A80">
        <v>37500</v>
      </c>
      <c r="B80">
        <v>2010</v>
      </c>
      <c r="C80" s="258">
        <v>13.5</v>
      </c>
      <c r="D80" s="212">
        <v>964875.45</v>
      </c>
      <c r="E80">
        <v>33</v>
      </c>
      <c r="F80">
        <v>25.669581999999998</v>
      </c>
      <c r="G80" s="90">
        <f>'Proposed Rates'!$O$17/100</f>
        <v>0</v>
      </c>
      <c r="H80" s="212">
        <f t="shared" si="13"/>
        <v>214331.52625570004</v>
      </c>
      <c r="I80" s="212">
        <f t="shared" si="14"/>
        <v>24767949.483561896</v>
      </c>
    </row>
    <row r="81" spans="1:9" outlineLevel="2" x14ac:dyDescent="0.25">
      <c r="A81">
        <v>37500</v>
      </c>
      <c r="B81">
        <v>2009</v>
      </c>
      <c r="C81" s="258">
        <v>14.5</v>
      </c>
      <c r="D81" s="212">
        <v>397892.62</v>
      </c>
      <c r="E81">
        <v>33</v>
      </c>
      <c r="F81">
        <v>25.270565000000001</v>
      </c>
      <c r="G81" s="90">
        <f>'Proposed Rates'!$O$17/100</f>
        <v>0</v>
      </c>
      <c r="H81" s="212">
        <f t="shared" si="13"/>
        <v>93196.519493021187</v>
      </c>
      <c r="I81" s="212">
        <f t="shared" si="14"/>
        <v>10054971.3167303</v>
      </c>
    </row>
    <row r="82" spans="1:9" outlineLevel="2" x14ac:dyDescent="0.25">
      <c r="A82">
        <v>37500</v>
      </c>
      <c r="B82">
        <v>2008</v>
      </c>
      <c r="C82" s="258">
        <v>15.5</v>
      </c>
      <c r="D82" s="212">
        <v>260913.77</v>
      </c>
      <c r="E82">
        <v>33</v>
      </c>
      <c r="F82">
        <v>24.880234000000002</v>
      </c>
      <c r="G82" s="90">
        <f>'Proposed Rates'!$O$17/100</f>
        <v>0</v>
      </c>
      <c r="H82" s="212">
        <f t="shared" si="13"/>
        <v>64198.75025993392</v>
      </c>
      <c r="I82" s="212">
        <f t="shared" si="14"/>
        <v>6491595.6514221802</v>
      </c>
    </row>
    <row r="83" spans="1:9" outlineLevel="2" x14ac:dyDescent="0.25">
      <c r="A83">
        <v>37500</v>
      </c>
      <c r="B83">
        <v>2007</v>
      </c>
      <c r="C83" s="258">
        <v>16.5</v>
      </c>
      <c r="D83" s="212">
        <v>1060829.8999999999</v>
      </c>
      <c r="E83">
        <v>33</v>
      </c>
      <c r="F83">
        <v>24.497122000000001</v>
      </c>
      <c r="G83" s="90">
        <f>'Proposed Rates'!$O$17/100</f>
        <v>0</v>
      </c>
      <c r="H83" s="212">
        <f t="shared" si="13"/>
        <v>273336.58237733936</v>
      </c>
      <c r="I83" s="212">
        <f t="shared" si="14"/>
        <v>25987279.481547799</v>
      </c>
    </row>
    <row r="84" spans="1:9" outlineLevel="2" x14ac:dyDescent="0.25">
      <c r="A84">
        <v>37500</v>
      </c>
      <c r="B84">
        <v>2006</v>
      </c>
      <c r="C84" s="258">
        <v>17.5</v>
      </c>
      <c r="D84" s="212">
        <v>1110118.6499999999</v>
      </c>
      <c r="E84">
        <v>33</v>
      </c>
      <c r="F84">
        <v>24.120087000000002</v>
      </c>
      <c r="G84" s="90">
        <f>'Proposed Rates'!$O$17/100</f>
        <v>0</v>
      </c>
      <c r="H84" s="212">
        <f t="shared" si="13"/>
        <v>298719.91005083168</v>
      </c>
      <c r="I84" s="212">
        <f t="shared" si="14"/>
        <v>26776158.418322548</v>
      </c>
    </row>
    <row r="85" spans="1:9" outlineLevel="2" x14ac:dyDescent="0.25">
      <c r="A85">
        <v>37500</v>
      </c>
      <c r="B85">
        <v>2005</v>
      </c>
      <c r="C85" s="258">
        <v>18.5</v>
      </c>
      <c r="D85" s="212">
        <v>113895.84</v>
      </c>
      <c r="E85">
        <v>33</v>
      </c>
      <c r="F85">
        <v>23.748901</v>
      </c>
      <c r="G85" s="90">
        <f>'Proposed Rates'!$O$17/100</f>
        <v>0</v>
      </c>
      <c r="H85" s="212">
        <f t="shared" si="13"/>
        <v>31929.142167519996</v>
      </c>
      <c r="I85" s="212">
        <f t="shared" si="14"/>
        <v>2704901.0284718401</v>
      </c>
    </row>
    <row r="86" spans="1:9" outlineLevel="2" x14ac:dyDescent="0.25">
      <c r="A86">
        <v>37500</v>
      </c>
      <c r="B86">
        <v>2004</v>
      </c>
      <c r="C86" s="258">
        <v>19.5</v>
      </c>
      <c r="D86" s="212">
        <v>87478.33</v>
      </c>
      <c r="E86">
        <v>33</v>
      </c>
      <c r="F86">
        <v>23.383455000000001</v>
      </c>
      <c r="G86" s="90">
        <f>'Proposed Rates'!$O$17/100</f>
        <v>0</v>
      </c>
      <c r="H86" s="212">
        <f t="shared" si="13"/>
        <v>25492.099908177275</v>
      </c>
      <c r="I86" s="212">
        <f t="shared" si="14"/>
        <v>2045545.5930301503</v>
      </c>
    </row>
    <row r="87" spans="1:9" outlineLevel="2" x14ac:dyDescent="0.25">
      <c r="A87">
        <v>37500</v>
      </c>
      <c r="B87">
        <v>2003</v>
      </c>
      <c r="C87" s="258">
        <v>20.5</v>
      </c>
      <c r="D87" s="212">
        <v>1299753.9099999999</v>
      </c>
      <c r="E87">
        <v>33</v>
      </c>
      <c r="F87">
        <v>23.023641999999999</v>
      </c>
      <c r="G87" s="90">
        <f>'Proposed Rates'!$O$17/100</f>
        <v>0</v>
      </c>
      <c r="H87" s="212">
        <f t="shared" si="13"/>
        <v>392933.64600181155</v>
      </c>
      <c r="I87" s="212">
        <f t="shared" si="14"/>
        <v>29925068.711940218</v>
      </c>
    </row>
    <row r="88" spans="1:9" outlineLevel="2" x14ac:dyDescent="0.25">
      <c r="A88">
        <v>37500</v>
      </c>
      <c r="B88">
        <v>2002</v>
      </c>
      <c r="C88" s="258">
        <v>21.5</v>
      </c>
      <c r="D88" s="212">
        <v>1449154.67</v>
      </c>
      <c r="E88">
        <v>33</v>
      </c>
      <c r="F88">
        <v>22.669356000000001</v>
      </c>
      <c r="G88" s="90">
        <f>'Proposed Rates'!$O$17/100</f>
        <v>0</v>
      </c>
      <c r="H88" s="212">
        <f t="shared" si="13"/>
        <v>453657.60596083273</v>
      </c>
      <c r="I88" s="212">
        <f t="shared" si="14"/>
        <v>32851403.113292519</v>
      </c>
    </row>
    <row r="89" spans="1:9" outlineLevel="2" x14ac:dyDescent="0.25">
      <c r="A89">
        <v>37500</v>
      </c>
      <c r="B89">
        <v>2001</v>
      </c>
      <c r="C89" s="258">
        <v>22.5</v>
      </c>
      <c r="D89" s="212">
        <v>2041211.79</v>
      </c>
      <c r="E89">
        <v>33</v>
      </c>
      <c r="F89">
        <v>22.320491000000001</v>
      </c>
      <c r="G89" s="90">
        <f>'Proposed Rates'!$O$17/100</f>
        <v>0</v>
      </c>
      <c r="H89" s="212">
        <f t="shared" si="13"/>
        <v>660579.99037003366</v>
      </c>
      <c r="I89" s="212">
        <f t="shared" si="14"/>
        <v>45560849.387788892</v>
      </c>
    </row>
    <row r="90" spans="1:9" outlineLevel="2" x14ac:dyDescent="0.25">
      <c r="A90">
        <v>37500</v>
      </c>
      <c r="B90">
        <v>2000</v>
      </c>
      <c r="C90" s="258">
        <v>23.5</v>
      </c>
      <c r="D90" s="212">
        <v>451653.38</v>
      </c>
      <c r="E90">
        <v>33</v>
      </c>
      <c r="F90">
        <v>21.976942999999999</v>
      </c>
      <c r="G90" s="90">
        <f>'Proposed Rates'!$O$17/100</f>
        <v>0</v>
      </c>
      <c r="H90" s="212">
        <f t="shared" si="13"/>
        <v>150866.69551462607</v>
      </c>
      <c r="I90" s="212">
        <f t="shared" si="14"/>
        <v>9925960.5880173389</v>
      </c>
    </row>
    <row r="91" spans="1:9" outlineLevel="2" x14ac:dyDescent="0.25">
      <c r="A91">
        <v>37500</v>
      </c>
      <c r="B91">
        <v>1999</v>
      </c>
      <c r="C91" s="258">
        <v>24.5</v>
      </c>
      <c r="D91" s="212">
        <v>385489.97</v>
      </c>
      <c r="E91">
        <v>33</v>
      </c>
      <c r="F91">
        <v>21.638612999999999</v>
      </c>
      <c r="G91" s="90">
        <f>'Proposed Rates'!$O$17/100</f>
        <v>0</v>
      </c>
      <c r="H91" s="212">
        <f t="shared" si="13"/>
        <v>132718.20405419363</v>
      </c>
      <c r="I91" s="212">
        <f t="shared" si="14"/>
        <v>8341468.2762116091</v>
      </c>
    </row>
    <row r="92" spans="1:9" outlineLevel="2" x14ac:dyDescent="0.25">
      <c r="A92">
        <v>37500</v>
      </c>
      <c r="B92">
        <v>1998</v>
      </c>
      <c r="C92" s="258">
        <v>25.5</v>
      </c>
      <c r="D92" s="212">
        <v>50657.11</v>
      </c>
      <c r="E92">
        <v>33</v>
      </c>
      <c r="F92">
        <v>21.305396999999999</v>
      </c>
      <c r="G92" s="90">
        <f>'Proposed Rates'!$O$17/100</f>
        <v>0</v>
      </c>
      <c r="H92" s="212">
        <f t="shared" si="13"/>
        <v>17951.963350828184</v>
      </c>
      <c r="I92" s="212">
        <f t="shared" si="14"/>
        <v>1079269.83942267</v>
      </c>
    </row>
    <row r="93" spans="1:9" outlineLevel="2" x14ac:dyDescent="0.25">
      <c r="A93">
        <v>37500</v>
      </c>
      <c r="B93">
        <v>1997</v>
      </c>
      <c r="C93" s="258">
        <v>26.5</v>
      </c>
      <c r="D93" s="212">
        <v>195678.27</v>
      </c>
      <c r="E93">
        <v>33</v>
      </c>
      <c r="F93">
        <v>20.977198999999999</v>
      </c>
      <c r="G93" s="90">
        <f>'Proposed Rates'!$O$17/100</f>
        <v>0</v>
      </c>
      <c r="H93" s="212">
        <f t="shared" si="13"/>
        <v>71290.93637073545</v>
      </c>
      <c r="I93" s="212">
        <f t="shared" si="14"/>
        <v>4104782.0097657298</v>
      </c>
    </row>
    <row r="94" spans="1:9" outlineLevel="2" x14ac:dyDescent="0.25">
      <c r="A94">
        <v>37500</v>
      </c>
      <c r="B94">
        <v>1996</v>
      </c>
      <c r="C94" s="258">
        <v>27.5</v>
      </c>
      <c r="D94" s="212">
        <v>124991.81</v>
      </c>
      <c r="E94">
        <v>33</v>
      </c>
      <c r="F94">
        <v>20.653915000000001</v>
      </c>
      <c r="G94" s="90">
        <f>'Proposed Rates'!$O$17/100</f>
        <v>0</v>
      </c>
      <c r="H94" s="212">
        <f t="shared" si="13"/>
        <v>46762.409411025757</v>
      </c>
      <c r="I94" s="212">
        <f t="shared" si="14"/>
        <v>2581570.21943615</v>
      </c>
    </row>
    <row r="95" spans="1:9" outlineLevel="2" x14ac:dyDescent="0.25">
      <c r="A95">
        <v>37500</v>
      </c>
      <c r="B95">
        <v>1995</v>
      </c>
      <c r="C95" s="258">
        <v>28.5</v>
      </c>
      <c r="D95" s="212">
        <v>198793.97</v>
      </c>
      <c r="E95">
        <v>33</v>
      </c>
      <c r="F95">
        <v>20.335456000000001</v>
      </c>
      <c r="G95" s="90">
        <f>'Proposed Rates'!$O$17/100</f>
        <v>0</v>
      </c>
      <c r="H95" s="212">
        <f t="shared" si="13"/>
        <v>76291.96909089938</v>
      </c>
      <c r="I95" s="212">
        <f t="shared" si="14"/>
        <v>4042566.0300003202</v>
      </c>
    </row>
    <row r="96" spans="1:9" outlineLevel="2" x14ac:dyDescent="0.25">
      <c r="A96">
        <v>37500</v>
      </c>
      <c r="B96">
        <v>1994</v>
      </c>
      <c r="C96" s="258">
        <v>29.5</v>
      </c>
      <c r="D96" s="212">
        <v>522640.75</v>
      </c>
      <c r="E96">
        <v>33</v>
      </c>
      <c r="F96">
        <v>20.021718</v>
      </c>
      <c r="G96" s="90">
        <f>'Proposed Rates'!$O$17/100</f>
        <v>0</v>
      </c>
      <c r="H96" s="212">
        <f t="shared" si="13"/>
        <v>205544.81933913639</v>
      </c>
      <c r="I96" s="212">
        <f t="shared" si="14"/>
        <v>10464165.711808501</v>
      </c>
    </row>
    <row r="97" spans="1:9" outlineLevel="2" x14ac:dyDescent="0.25">
      <c r="A97">
        <v>37500</v>
      </c>
      <c r="B97">
        <v>1993</v>
      </c>
      <c r="C97" s="258">
        <v>30.5</v>
      </c>
      <c r="D97" s="212">
        <v>579915.72</v>
      </c>
      <c r="E97">
        <v>33</v>
      </c>
      <c r="F97">
        <v>19.712613999999999</v>
      </c>
      <c r="G97" s="90">
        <f>'Proposed Rates'!$O$17/100</f>
        <v>0</v>
      </c>
      <c r="H97" s="212">
        <f t="shared" si="13"/>
        <v>233501.93997296726</v>
      </c>
      <c r="I97" s="212">
        <f t="shared" si="14"/>
        <v>11431654.740892079</v>
      </c>
    </row>
    <row r="98" spans="1:9" outlineLevel="2" x14ac:dyDescent="0.25">
      <c r="A98">
        <v>37500</v>
      </c>
      <c r="B98">
        <v>1992</v>
      </c>
      <c r="C98" s="258">
        <v>31.5</v>
      </c>
      <c r="D98" s="212">
        <v>74776.08</v>
      </c>
      <c r="E98">
        <v>33</v>
      </c>
      <c r="F98">
        <v>19.408051</v>
      </c>
      <c r="G98" s="90">
        <f>'Proposed Rates'!$O$17/100</f>
        <v>0</v>
      </c>
      <c r="H98" s="212">
        <f t="shared" si="13"/>
        <v>30798.565629694545</v>
      </c>
      <c r="I98" s="212">
        <f t="shared" si="14"/>
        <v>1451257.9742200801</v>
      </c>
    </row>
    <row r="99" spans="1:9" outlineLevel="2" x14ac:dyDescent="0.25">
      <c r="A99">
        <v>37500</v>
      </c>
      <c r="B99">
        <v>1991</v>
      </c>
      <c r="C99" s="258">
        <v>32.5</v>
      </c>
      <c r="D99" s="212">
        <v>34420.61</v>
      </c>
      <c r="E99">
        <v>33</v>
      </c>
      <c r="F99">
        <v>19.107937</v>
      </c>
      <c r="G99" s="90">
        <f>'Proposed Rates'!$O$17/100</f>
        <v>0</v>
      </c>
      <c r="H99" s="212">
        <f t="shared" si="13"/>
        <v>14490.099473285756</v>
      </c>
      <c r="I99" s="212">
        <f t="shared" si="14"/>
        <v>657706.84738157003</v>
      </c>
    </row>
    <row r="100" spans="1:9" outlineLevel="2" x14ac:dyDescent="0.25">
      <c r="A100">
        <v>37500</v>
      </c>
      <c r="B100">
        <v>1990</v>
      </c>
      <c r="C100" s="258">
        <v>33.5</v>
      </c>
      <c r="D100" s="212">
        <v>261229.83</v>
      </c>
      <c r="E100">
        <v>33</v>
      </c>
      <c r="F100">
        <v>18.812183000000001</v>
      </c>
      <c r="G100" s="90">
        <f>'Proposed Rates'!$O$17/100</f>
        <v>0</v>
      </c>
      <c r="H100" s="212">
        <f t="shared" si="13"/>
        <v>112311.54615094273</v>
      </c>
      <c r="I100" s="212">
        <f t="shared" si="14"/>
        <v>4914303.3670188896</v>
      </c>
    </row>
    <row r="101" spans="1:9" outlineLevel="2" x14ac:dyDescent="0.25">
      <c r="A101">
        <v>37500</v>
      </c>
      <c r="B101">
        <v>1989</v>
      </c>
      <c r="C101" s="258">
        <v>34.5</v>
      </c>
      <c r="D101" s="212">
        <v>10310.76</v>
      </c>
      <c r="E101">
        <v>33</v>
      </c>
      <c r="F101">
        <v>18.520697999999999</v>
      </c>
      <c r="G101" s="90">
        <f>'Proposed Rates'!$O$17/100</f>
        <v>0</v>
      </c>
      <c r="H101" s="212">
        <f t="shared" si="13"/>
        <v>4524.0184208945457</v>
      </c>
      <c r="I101" s="212">
        <f t="shared" si="14"/>
        <v>190962.47211048001</v>
      </c>
    </row>
    <row r="102" spans="1:9" outlineLevel="2" x14ac:dyDescent="0.25">
      <c r="A102">
        <v>37500</v>
      </c>
      <c r="B102">
        <v>1988</v>
      </c>
      <c r="C102" s="258">
        <v>35.5</v>
      </c>
      <c r="D102" s="212">
        <v>44231.55</v>
      </c>
      <c r="E102">
        <v>33</v>
      </c>
      <c r="F102">
        <v>18.233405000000001</v>
      </c>
      <c r="G102" s="90">
        <f>'Proposed Rates'!$O$17/100</f>
        <v>0</v>
      </c>
      <c r="H102" s="212">
        <f t="shared" si="13"/>
        <v>19792.405608249999</v>
      </c>
      <c r="I102" s="212">
        <f t="shared" si="14"/>
        <v>806491.7649277501</v>
      </c>
    </row>
    <row r="103" spans="1:9" outlineLevel="2" x14ac:dyDescent="0.25">
      <c r="A103">
        <v>37500</v>
      </c>
      <c r="B103">
        <v>1987</v>
      </c>
      <c r="C103" s="258">
        <v>36.5</v>
      </c>
      <c r="D103" s="212">
        <v>60992.18</v>
      </c>
      <c r="E103">
        <v>33</v>
      </c>
      <c r="F103">
        <v>17.950209999999998</v>
      </c>
      <c r="G103" s="90">
        <f>'Proposed Rates'!$O$17/100</f>
        <v>0</v>
      </c>
      <c r="H103" s="212">
        <f t="shared" si="13"/>
        <v>27815.742443703031</v>
      </c>
      <c r="I103" s="212">
        <f t="shared" si="14"/>
        <v>1094822.4393577999</v>
      </c>
    </row>
    <row r="104" spans="1:9" outlineLevel="2" x14ac:dyDescent="0.25">
      <c r="A104">
        <v>37500</v>
      </c>
      <c r="B104">
        <v>1986</v>
      </c>
      <c r="C104" s="258">
        <v>37.5</v>
      </c>
      <c r="D104" s="212">
        <v>2014205.16</v>
      </c>
      <c r="E104">
        <v>33</v>
      </c>
      <c r="F104">
        <v>17.671036999999998</v>
      </c>
      <c r="G104" s="90">
        <f>'Proposed Rates'!$O$17/100</f>
        <v>0</v>
      </c>
      <c r="H104" s="212">
        <f t="shared" si="13"/>
        <v>935626.55672876013</v>
      </c>
      <c r="I104" s="212">
        <f t="shared" si="14"/>
        <v>35593093.907950915</v>
      </c>
    </row>
    <row r="105" spans="1:9" outlineLevel="2" x14ac:dyDescent="0.25">
      <c r="A105">
        <v>37500</v>
      </c>
      <c r="B105">
        <v>1985</v>
      </c>
      <c r="C105" s="258">
        <v>38.5</v>
      </c>
      <c r="D105" s="212">
        <v>94469.78</v>
      </c>
      <c r="E105">
        <v>33</v>
      </c>
      <c r="F105">
        <v>17.395799</v>
      </c>
      <c r="G105" s="90">
        <f>'Proposed Rates'!$O$17/100</f>
        <v>0</v>
      </c>
      <c r="H105" s="212">
        <f t="shared" si="13"/>
        <v>44670.46774381151</v>
      </c>
      <c r="I105" s="212">
        <f t="shared" si="14"/>
        <v>1643377.30445422</v>
      </c>
    </row>
    <row r="106" spans="1:9" outlineLevel="2" x14ac:dyDescent="0.25">
      <c r="A106">
        <v>37500</v>
      </c>
      <c r="B106">
        <v>1984</v>
      </c>
      <c r="C106" s="258">
        <v>39.5</v>
      </c>
      <c r="D106" s="212">
        <v>190895.62</v>
      </c>
      <c r="E106">
        <v>33</v>
      </c>
      <c r="F106">
        <v>17.124421000000002</v>
      </c>
      <c r="G106" s="90">
        <f>'Proposed Rates'!$O$17/100</f>
        <v>0</v>
      </c>
      <c r="H106" s="212">
        <f t="shared" si="13"/>
        <v>91835.712001938766</v>
      </c>
      <c r="I106" s="212">
        <f t="shared" si="14"/>
        <v>3268976.9639360202</v>
      </c>
    </row>
    <row r="107" spans="1:9" outlineLevel="2" x14ac:dyDescent="0.25">
      <c r="A107">
        <v>37500</v>
      </c>
      <c r="B107">
        <v>1983</v>
      </c>
      <c r="C107" s="258">
        <v>40.5</v>
      </c>
      <c r="D107" s="212">
        <v>43012.57</v>
      </c>
      <c r="E107">
        <v>33</v>
      </c>
      <c r="F107">
        <v>16.856822000000001</v>
      </c>
      <c r="G107" s="90">
        <f>'Proposed Rates'!$O$17/100</f>
        <v>0</v>
      </c>
      <c r="H107" s="212">
        <f t="shared" si="13"/>
        <v>21041.199204468481</v>
      </c>
      <c r="I107" s="212">
        <f t="shared" si="14"/>
        <v>725055.23625254002</v>
      </c>
    </row>
    <row r="108" spans="1:9" outlineLevel="2" x14ac:dyDescent="0.25">
      <c r="A108">
        <v>37500</v>
      </c>
      <c r="B108">
        <v>1982</v>
      </c>
      <c r="C108" s="258">
        <v>41.5</v>
      </c>
      <c r="D108" s="212">
        <v>1324.83</v>
      </c>
      <c r="E108">
        <v>33</v>
      </c>
      <c r="F108">
        <v>16.592929000000002</v>
      </c>
      <c r="G108" s="90">
        <f>'Proposed Rates'!$O$17/100</f>
        <v>0</v>
      </c>
      <c r="H108" s="212">
        <f t="shared" si="13"/>
        <v>658.68423857363632</v>
      </c>
      <c r="I108" s="212">
        <f t="shared" si="14"/>
        <v>21982.810127070003</v>
      </c>
    </row>
    <row r="109" spans="1:9" outlineLevel="2" x14ac:dyDescent="0.25">
      <c r="A109">
        <v>37500</v>
      </c>
      <c r="B109">
        <v>1981</v>
      </c>
      <c r="C109" s="258">
        <v>42.5</v>
      </c>
      <c r="D109" s="212">
        <v>152191.20000000001</v>
      </c>
      <c r="E109">
        <v>33</v>
      </c>
      <c r="F109">
        <v>16.332657999999999</v>
      </c>
      <c r="G109" s="90">
        <f>'Proposed Rates'!$O$17/100</f>
        <v>0</v>
      </c>
      <c r="H109" s="212">
        <f t="shared" si="13"/>
        <v>76867.356963345461</v>
      </c>
      <c r="I109" s="212">
        <f t="shared" si="14"/>
        <v>2485686.8202096</v>
      </c>
    </row>
    <row r="110" spans="1:9" outlineLevel="2" x14ac:dyDescent="0.25">
      <c r="A110">
        <v>37500</v>
      </c>
      <c r="B110">
        <v>1980</v>
      </c>
      <c r="C110" s="258">
        <v>43.5</v>
      </c>
      <c r="D110" s="212">
        <v>9583.74</v>
      </c>
      <c r="E110">
        <v>33</v>
      </c>
      <c r="F110">
        <v>16.075945000000001</v>
      </c>
      <c r="G110" s="90">
        <f>'Proposed Rates'!$O$17/100</f>
        <v>0</v>
      </c>
      <c r="H110" s="212">
        <f t="shared" si="13"/>
        <v>4915.0225110818183</v>
      </c>
      <c r="I110" s="212">
        <f t="shared" si="14"/>
        <v>154067.6771343</v>
      </c>
    </row>
    <row r="111" spans="1:9" outlineLevel="2" x14ac:dyDescent="0.25">
      <c r="A111">
        <v>37500</v>
      </c>
      <c r="B111">
        <v>1978</v>
      </c>
      <c r="C111" s="258">
        <v>45.5</v>
      </c>
      <c r="D111" s="212">
        <v>195399.03</v>
      </c>
      <c r="E111">
        <v>33</v>
      </c>
      <c r="F111">
        <v>15.572895000000001</v>
      </c>
      <c r="G111" s="90">
        <f>'Proposed Rates'!$O$17/100</f>
        <v>0</v>
      </c>
      <c r="H111" s="212">
        <f t="shared" si="13"/>
        <v>103189.07311236818</v>
      </c>
      <c r="I111" s="212">
        <f t="shared" si="14"/>
        <v>3042928.57729185</v>
      </c>
    </row>
    <row r="112" spans="1:9" outlineLevel="2" x14ac:dyDescent="0.25">
      <c r="A112">
        <v>37500</v>
      </c>
      <c r="B112">
        <v>1976</v>
      </c>
      <c r="C112" s="258">
        <v>47.5</v>
      </c>
      <c r="D112" s="212">
        <v>10471.11</v>
      </c>
      <c r="E112">
        <v>33</v>
      </c>
      <c r="F112">
        <v>15.083209999999999</v>
      </c>
      <c r="G112" s="90">
        <f>'Proposed Rates'!$O$17/100</f>
        <v>0</v>
      </c>
      <c r="H112" s="212">
        <f t="shared" si="13"/>
        <v>5685.1114829363642</v>
      </c>
      <c r="I112" s="212">
        <f t="shared" si="14"/>
        <v>157937.95106310002</v>
      </c>
    </row>
    <row r="113" spans="1:10" outlineLevel="2" x14ac:dyDescent="0.25">
      <c r="A113">
        <v>37500</v>
      </c>
      <c r="B113">
        <v>1975</v>
      </c>
      <c r="C113" s="258">
        <v>48.5</v>
      </c>
      <c r="D113" s="212">
        <v>20476.77</v>
      </c>
      <c r="E113">
        <v>33</v>
      </c>
      <c r="F113">
        <v>14.843220000000001</v>
      </c>
      <c r="G113" s="90">
        <f>'Proposed Rates'!$O$17/100</f>
        <v>0</v>
      </c>
      <c r="H113" s="212">
        <f t="shared" si="13"/>
        <v>11266.430545472727</v>
      </c>
      <c r="I113" s="212">
        <f t="shared" si="14"/>
        <v>303941.20199940004</v>
      </c>
    </row>
    <row r="114" spans="1:10" outlineLevel="2" x14ac:dyDescent="0.25">
      <c r="A114">
        <v>37500</v>
      </c>
      <c r="B114">
        <v>1974</v>
      </c>
      <c r="C114" s="258">
        <v>49.5</v>
      </c>
      <c r="D114" s="212">
        <v>168528.22</v>
      </c>
      <c r="E114">
        <v>33</v>
      </c>
      <c r="F114">
        <v>14.606366</v>
      </c>
      <c r="G114" s="90">
        <f>'Proposed Rates'!$O$17/100</f>
        <v>0</v>
      </c>
      <c r="H114" s="212">
        <f t="shared" si="13"/>
        <v>93934.739313681202</v>
      </c>
      <c r="I114" s="212">
        <f t="shared" si="14"/>
        <v>2461584.8626485202</v>
      </c>
    </row>
    <row r="115" spans="1:10" outlineLevel="2" x14ac:dyDescent="0.25">
      <c r="A115">
        <v>37500</v>
      </c>
      <c r="B115">
        <v>1973</v>
      </c>
      <c r="C115" s="258">
        <v>50.5</v>
      </c>
      <c r="D115" s="212">
        <v>1173.7</v>
      </c>
      <c r="E115">
        <v>33</v>
      </c>
      <c r="F115">
        <v>14.372507000000001</v>
      </c>
      <c r="G115" s="90">
        <f>'Proposed Rates'!$O$17/100</f>
        <v>0</v>
      </c>
      <c r="H115" s="212">
        <f t="shared" si="13"/>
        <v>662.51783436666665</v>
      </c>
      <c r="I115" s="212">
        <f t="shared" si="14"/>
        <v>16869.011465900003</v>
      </c>
    </row>
    <row r="116" spans="1:10" outlineLevel="2" x14ac:dyDescent="0.25">
      <c r="A116">
        <v>37500</v>
      </c>
      <c r="B116">
        <v>1971</v>
      </c>
      <c r="C116" s="258">
        <v>52.5</v>
      </c>
      <c r="D116" s="212">
        <v>437.9</v>
      </c>
      <c r="E116">
        <v>33</v>
      </c>
      <c r="F116">
        <v>13.913748</v>
      </c>
      <c r="G116" s="90">
        <f>'Proposed Rates'!$O$17/100</f>
        <v>0</v>
      </c>
      <c r="H116" s="212">
        <f t="shared" si="13"/>
        <v>253.26878032727271</v>
      </c>
      <c r="I116" s="212">
        <f t="shared" si="14"/>
        <v>6092.8302491999993</v>
      </c>
    </row>
    <row r="117" spans="1:10" outlineLevel="2" x14ac:dyDescent="0.25">
      <c r="A117">
        <v>37500</v>
      </c>
      <c r="B117">
        <v>1969</v>
      </c>
      <c r="C117" s="258">
        <v>54.5</v>
      </c>
      <c r="D117" s="212">
        <v>234</v>
      </c>
      <c r="E117">
        <v>33</v>
      </c>
      <c r="F117">
        <v>13.466525000000001</v>
      </c>
      <c r="G117" s="90">
        <f>'Proposed Rates'!$O$17/100</f>
        <v>0</v>
      </c>
      <c r="H117" s="212">
        <f t="shared" si="13"/>
        <v>138.51009545454548</v>
      </c>
      <c r="I117" s="212">
        <f t="shared" si="14"/>
        <v>3151.1668500000001</v>
      </c>
    </row>
    <row r="118" spans="1:10" outlineLevel="2" x14ac:dyDescent="0.25">
      <c r="A118">
        <v>37500</v>
      </c>
      <c r="B118">
        <v>1967</v>
      </c>
      <c r="C118" s="258">
        <v>56.5</v>
      </c>
      <c r="D118" s="212">
        <v>21241.06</v>
      </c>
      <c r="E118">
        <v>33</v>
      </c>
      <c r="F118">
        <v>13.030372</v>
      </c>
      <c r="G118" s="90">
        <f>'Proposed Rates'!$O$17/100</f>
        <v>0</v>
      </c>
      <c r="H118" s="212">
        <f t="shared" si="13"/>
        <v>12853.82019774788</v>
      </c>
      <c r="I118" s="212">
        <f t="shared" si="14"/>
        <v>276778.91347432003</v>
      </c>
    </row>
    <row r="119" spans="1:10" outlineLevel="2" x14ac:dyDescent="0.25">
      <c r="A119">
        <v>37500</v>
      </c>
      <c r="B119">
        <v>1966</v>
      </c>
      <c r="C119" s="258">
        <v>57.5</v>
      </c>
      <c r="D119" s="212">
        <v>2326.0500000000002</v>
      </c>
      <c r="E119">
        <v>33</v>
      </c>
      <c r="F119">
        <v>12.81631</v>
      </c>
      <c r="G119" s="90">
        <f>'Proposed Rates'!$O$17/100</f>
        <v>0</v>
      </c>
      <c r="H119" s="212">
        <f t="shared" si="13"/>
        <v>1422.6749128636366</v>
      </c>
      <c r="I119" s="212">
        <f t="shared" si="14"/>
        <v>29811.377875500002</v>
      </c>
    </row>
    <row r="120" spans="1:10" ht="13" outlineLevel="1" x14ac:dyDescent="0.3">
      <c r="A120" s="18" t="s">
        <v>1180</v>
      </c>
      <c r="C120" s="258" t="s">
        <v>1229</v>
      </c>
      <c r="D120" s="212">
        <f>SUBTOTAL(9,D67:D119)</f>
        <v>31386680.029999983</v>
      </c>
      <c r="H120" s="212">
        <f>SUBTOTAL(9,H67:H119)</f>
        <v>6547000.7613078225</v>
      </c>
      <c r="I120" s="212">
        <f>SUBTOTAL(9,I67:I119)</f>
        <v>819709415.86684155</v>
      </c>
      <c r="J120" s="212">
        <f>+I120/D120</f>
        <v>26.1164740929384</v>
      </c>
    </row>
    <row r="121" spans="1:10" outlineLevel="2" x14ac:dyDescent="0.25">
      <c r="A121">
        <v>37600</v>
      </c>
      <c r="B121">
        <v>2023</v>
      </c>
      <c r="C121" s="258">
        <v>0.5</v>
      </c>
      <c r="D121" s="212">
        <v>91298946.5</v>
      </c>
      <c r="E121">
        <v>65</v>
      </c>
      <c r="F121">
        <v>64.588004999999995</v>
      </c>
      <c r="G121" s="90">
        <f>'Proposed Rates'!$O$18/100</f>
        <v>-0.6</v>
      </c>
      <c r="H121" s="212">
        <f>+D121*(1-F121/E121)*(1-G121)</f>
        <v>925900.54063429183</v>
      </c>
      <c r="I121" s="212">
        <f>+D121*F121</f>
        <v>5896816813.0367317</v>
      </c>
    </row>
    <row r="122" spans="1:10" outlineLevel="2" x14ac:dyDescent="0.25">
      <c r="A122">
        <v>37600</v>
      </c>
      <c r="B122">
        <v>2022</v>
      </c>
      <c r="C122" s="258">
        <v>1.5</v>
      </c>
      <c r="D122" s="212">
        <v>59588526.219999999</v>
      </c>
      <c r="E122">
        <v>65</v>
      </c>
      <c r="F122">
        <v>63.766305000000003</v>
      </c>
      <c r="G122" s="90">
        <f>'Proposed Rates'!$O$18/100</f>
        <v>-0.6</v>
      </c>
      <c r="H122" s="212">
        <f>+D122*(1-F122/E122)*(1-G122)</f>
        <v>1809577.0302765034</v>
      </c>
      <c r="I122" s="212">
        <f>+D122*F122</f>
        <v>3799740137.4450173</v>
      </c>
    </row>
    <row r="123" spans="1:10" outlineLevel="2" x14ac:dyDescent="0.25">
      <c r="A123">
        <v>37600</v>
      </c>
      <c r="B123">
        <v>2021</v>
      </c>
      <c r="C123" s="258">
        <v>2.5</v>
      </c>
      <c r="D123" s="212">
        <v>106265901.90000001</v>
      </c>
      <c r="E123">
        <v>65</v>
      </c>
      <c r="F123">
        <v>62.947991000000002</v>
      </c>
      <c r="G123" s="90">
        <f>'Proposed Rates'!$O$18/100</f>
        <v>-0.6</v>
      </c>
      <c r="H123" s="212">
        <f t="shared" ref="H123:H126" si="15">+D123*(1-F123/E123)*(1-G123)</f>
        <v>5367595.989954886</v>
      </c>
      <c r="I123" s="212">
        <f t="shared" ref="I123:I141" si="16">+D123*F123</f>
        <v>6689225036.4080839</v>
      </c>
    </row>
    <row r="124" spans="1:10" outlineLevel="2" x14ac:dyDescent="0.25">
      <c r="A124">
        <v>37600</v>
      </c>
      <c r="B124">
        <v>2020</v>
      </c>
      <c r="C124" s="258">
        <v>3.5</v>
      </c>
      <c r="D124" s="212">
        <v>84148547.469999999</v>
      </c>
      <c r="E124">
        <v>65</v>
      </c>
      <c r="F124">
        <v>62.133426</v>
      </c>
      <c r="G124" s="90">
        <f>'Proposed Rates'!$O$18/100</f>
        <v>-0.6</v>
      </c>
      <c r="H124" s="212">
        <f t="shared" si="15"/>
        <v>5937674.7892989069</v>
      </c>
      <c r="I124" s="212">
        <f t="shared" si="16"/>
        <v>5228437547.2347317</v>
      </c>
    </row>
    <row r="125" spans="1:10" outlineLevel="2" x14ac:dyDescent="0.25">
      <c r="A125">
        <v>37600</v>
      </c>
      <c r="B125">
        <v>2019</v>
      </c>
      <c r="C125" s="258">
        <v>4.5</v>
      </c>
      <c r="D125" s="212">
        <v>29404985.100000001</v>
      </c>
      <c r="E125">
        <v>65</v>
      </c>
      <c r="F125">
        <v>61.322082999999999</v>
      </c>
      <c r="G125" s="90">
        <f>'Proposed Rates'!$O$18/100</f>
        <v>-0.6</v>
      </c>
      <c r="H125" s="212">
        <f t="shared" si="15"/>
        <v>2662131.5589916753</v>
      </c>
      <c r="I125" s="212">
        <f t="shared" si="16"/>
        <v>1803174936.9159634</v>
      </c>
    </row>
    <row r="126" spans="1:10" outlineLevel="2" x14ac:dyDescent="0.25">
      <c r="A126">
        <v>37600</v>
      </c>
      <c r="B126">
        <v>2018</v>
      </c>
      <c r="C126" s="258">
        <v>5.5</v>
      </c>
      <c r="D126" s="212">
        <v>24548208.260000002</v>
      </c>
      <c r="E126">
        <v>65</v>
      </c>
      <c r="F126">
        <v>60.514690999999999</v>
      </c>
      <c r="G126" s="90">
        <f>'Proposed Rates'!$O$18/100</f>
        <v>-0.6</v>
      </c>
      <c r="H126" s="212">
        <f t="shared" si="15"/>
        <v>2710308.9093526751</v>
      </c>
      <c r="I126" s="212">
        <f t="shared" si="16"/>
        <v>1485527237.4575477</v>
      </c>
    </row>
    <row r="127" spans="1:10" outlineLevel="2" x14ac:dyDescent="0.25">
      <c r="A127">
        <v>37600</v>
      </c>
      <c r="B127">
        <v>2017</v>
      </c>
      <c r="C127" s="258">
        <v>6.5</v>
      </c>
      <c r="D127" s="212">
        <v>25014029.719999999</v>
      </c>
      <c r="E127">
        <v>65</v>
      </c>
      <c r="F127">
        <v>59.710365000000003</v>
      </c>
      <c r="G127" s="90">
        <f>'Proposed Rates'!$O$18/100</f>
        <v>-0.6</v>
      </c>
      <c r="H127" s="212">
        <f t="shared" ref="H127:H183" si="17">+D127*(1-F127/E127)*(1-G127)</f>
        <v>3256986.759334207</v>
      </c>
      <c r="I127" s="212">
        <f t="shared" si="16"/>
        <v>1493596844.7020478</v>
      </c>
    </row>
    <row r="128" spans="1:10" outlineLevel="2" x14ac:dyDescent="0.25">
      <c r="A128">
        <v>37600</v>
      </c>
      <c r="B128">
        <v>2016</v>
      </c>
      <c r="C128" s="258">
        <v>7.5</v>
      </c>
      <c r="D128" s="212">
        <v>29365010.199999999</v>
      </c>
      <c r="E128">
        <v>65</v>
      </c>
      <c r="F128">
        <v>58.910193</v>
      </c>
      <c r="G128" s="90">
        <f>'Proposed Rates'!$O$18/100</f>
        <v>-0.6</v>
      </c>
      <c r="H128" s="212">
        <f t="shared" ref="H128:H135" si="18">+D128*(1-F128/E128)*(1-G128)</f>
        <v>4401901.407286928</v>
      </c>
      <c r="I128" s="212">
        <f t="shared" ref="I128:I135" si="19">+D128*F128</f>
        <v>1729898418.3289685</v>
      </c>
    </row>
    <row r="129" spans="1:9" outlineLevel="2" x14ac:dyDescent="0.25">
      <c r="A129">
        <v>37600</v>
      </c>
      <c r="B129">
        <v>2015</v>
      </c>
      <c r="C129" s="258">
        <v>8.5</v>
      </c>
      <c r="D129" s="212">
        <v>8681159</v>
      </c>
      <c r="E129">
        <v>65</v>
      </c>
      <c r="F129">
        <v>58.113104999999997</v>
      </c>
      <c r="G129" s="90">
        <f>'Proposed Rates'!$O$18/100</f>
        <v>-0.6</v>
      </c>
      <c r="H129" s="212">
        <f t="shared" si="18"/>
        <v>1471661.0587398156</v>
      </c>
      <c r="I129" s="212">
        <f t="shared" si="19"/>
        <v>504489104.48869497</v>
      </c>
    </row>
    <row r="130" spans="1:9" outlineLevel="2" x14ac:dyDescent="0.25">
      <c r="A130">
        <v>37600</v>
      </c>
      <c r="B130">
        <v>2014</v>
      </c>
      <c r="C130" s="258">
        <v>9.5</v>
      </c>
      <c r="D130" s="212">
        <v>16693976.66</v>
      </c>
      <c r="E130">
        <v>65</v>
      </c>
      <c r="F130">
        <v>57.320014999999998</v>
      </c>
      <c r="G130" s="90">
        <f>'Proposed Rates'!$O$18/100</f>
        <v>-0.6</v>
      </c>
      <c r="H130" s="212">
        <f t="shared" si="18"/>
        <v>3155925.9160406198</v>
      </c>
      <c r="I130" s="212">
        <f t="shared" si="19"/>
        <v>956898992.56084991</v>
      </c>
    </row>
    <row r="131" spans="1:9" outlineLevel="2" x14ac:dyDescent="0.25">
      <c r="A131">
        <v>37600</v>
      </c>
      <c r="B131">
        <v>2013</v>
      </c>
      <c r="C131" s="258">
        <v>10.5</v>
      </c>
      <c r="D131" s="212">
        <v>36108503.880000003</v>
      </c>
      <c r="E131">
        <v>65</v>
      </c>
      <c r="F131">
        <v>56.530209999999997</v>
      </c>
      <c r="G131" s="90">
        <f>'Proposed Rates'!$O$18/100</f>
        <v>-0.6</v>
      </c>
      <c r="H131" s="212">
        <f t="shared" si="18"/>
        <v>7528158.6480685594</v>
      </c>
      <c r="I131" s="212">
        <f t="shared" si="19"/>
        <v>2041221307.1222148</v>
      </c>
    </row>
    <row r="132" spans="1:9" outlineLevel="2" x14ac:dyDescent="0.25">
      <c r="A132">
        <v>37600</v>
      </c>
      <c r="B132">
        <v>2012</v>
      </c>
      <c r="C132" s="258">
        <v>11.5</v>
      </c>
      <c r="D132" s="212">
        <v>14835653.58</v>
      </c>
      <c r="E132">
        <v>65</v>
      </c>
      <c r="F132">
        <v>55.744242999999997</v>
      </c>
      <c r="G132" s="90">
        <f>'Proposed Rates'!$O$18/100</f>
        <v>-0.6</v>
      </c>
      <c r="H132" s="212">
        <f t="shared" si="18"/>
        <v>3380066.5716347117</v>
      </c>
      <c r="I132" s="212">
        <f t="shared" si="19"/>
        <v>827002278.22733986</v>
      </c>
    </row>
    <row r="133" spans="1:9" outlineLevel="2" x14ac:dyDescent="0.25">
      <c r="A133">
        <v>37600</v>
      </c>
      <c r="B133">
        <v>2011</v>
      </c>
      <c r="C133" s="258">
        <v>12.5</v>
      </c>
      <c r="D133" s="212">
        <v>12473481.300000001</v>
      </c>
      <c r="E133">
        <v>65</v>
      </c>
      <c r="F133">
        <v>54.961753000000002</v>
      </c>
      <c r="G133" s="90">
        <f>'Proposed Rates'!$O$18/100</f>
        <v>-0.6</v>
      </c>
      <c r="H133" s="212">
        <f t="shared" si="18"/>
        <v>3082138.7381976899</v>
      </c>
      <c r="I133" s="212">
        <f t="shared" si="19"/>
        <v>685564398.26071894</v>
      </c>
    </row>
    <row r="134" spans="1:9" outlineLevel="2" x14ac:dyDescent="0.25">
      <c r="A134">
        <v>37600</v>
      </c>
      <c r="B134">
        <v>2010</v>
      </c>
      <c r="C134" s="258">
        <v>13.5</v>
      </c>
      <c r="D134" s="212">
        <v>27833077.359999999</v>
      </c>
      <c r="E134">
        <v>65</v>
      </c>
      <c r="F134">
        <v>54.182948000000003</v>
      </c>
      <c r="G134" s="90">
        <f>'Proposed Rates'!$O$18/100</f>
        <v>-0.6</v>
      </c>
      <c r="H134" s="212">
        <f t="shared" si="18"/>
        <v>7410999.2645696644</v>
      </c>
      <c r="I134" s="212">
        <f t="shared" si="19"/>
        <v>1508078183.2768574</v>
      </c>
    </row>
    <row r="135" spans="1:9" outlineLevel="2" x14ac:dyDescent="0.25">
      <c r="A135">
        <v>37600</v>
      </c>
      <c r="B135">
        <v>2009</v>
      </c>
      <c r="C135" s="258">
        <v>14.5</v>
      </c>
      <c r="D135" s="212">
        <v>26291133.809999999</v>
      </c>
      <c r="E135">
        <v>65</v>
      </c>
      <c r="F135">
        <v>53.407832999999997</v>
      </c>
      <c r="G135" s="90">
        <f>'Proposed Rates'!$O$18/100</f>
        <v>-0.6</v>
      </c>
      <c r="H135" s="212">
        <f t="shared" si="18"/>
        <v>7502060.6460274793</v>
      </c>
      <c r="I135" s="212">
        <f t="shared" si="19"/>
        <v>1404152483.9051335</v>
      </c>
    </row>
    <row r="136" spans="1:9" outlineLevel="2" x14ac:dyDescent="0.25">
      <c r="A136">
        <v>37600</v>
      </c>
      <c r="B136">
        <v>2008</v>
      </c>
      <c r="C136" s="258">
        <v>15.5</v>
      </c>
      <c r="D136" s="212">
        <v>5045352.28</v>
      </c>
      <c r="E136">
        <v>65</v>
      </c>
      <c r="F136">
        <v>52.636218999999997</v>
      </c>
      <c r="G136" s="90">
        <f>'Proposed Rates'!$O$18/100</f>
        <v>-0.6</v>
      </c>
      <c r="H136" s="212">
        <f t="shared" si="17"/>
        <v>1535498.6008066633</v>
      </c>
      <c r="I136" s="212">
        <f t="shared" si="16"/>
        <v>265568267.54222932</v>
      </c>
    </row>
    <row r="137" spans="1:9" outlineLevel="2" x14ac:dyDescent="0.25">
      <c r="A137">
        <v>37600</v>
      </c>
      <c r="B137">
        <v>2007</v>
      </c>
      <c r="C137" s="258">
        <v>16.5</v>
      </c>
      <c r="D137" s="212">
        <v>4182324.87</v>
      </c>
      <c r="E137">
        <v>65</v>
      </c>
      <c r="F137">
        <v>51.868518999999999</v>
      </c>
      <c r="G137" s="90">
        <f>'Proposed Rates'!$O$18/100</f>
        <v>-0.6</v>
      </c>
      <c r="H137" s="212">
        <f t="shared" si="17"/>
        <v>1351879.8662457224</v>
      </c>
      <c r="I137" s="212">
        <f t="shared" si="16"/>
        <v>216930996.98376754</v>
      </c>
    </row>
    <row r="138" spans="1:9" outlineLevel="2" x14ac:dyDescent="0.25">
      <c r="A138">
        <v>37600</v>
      </c>
      <c r="B138">
        <v>2006</v>
      </c>
      <c r="C138" s="258">
        <v>17.5</v>
      </c>
      <c r="D138" s="212">
        <v>5975408.9100000001</v>
      </c>
      <c r="E138">
        <v>65</v>
      </c>
      <c r="F138">
        <v>51.104140999999998</v>
      </c>
      <c r="G138" s="90">
        <f>'Proposed Rates'!$O$18/100</f>
        <v>-0.6</v>
      </c>
      <c r="H138" s="212">
        <f t="shared" si="17"/>
        <v>2043900.0536788609</v>
      </c>
      <c r="I138" s="212">
        <f t="shared" si="16"/>
        <v>305368139.46929634</v>
      </c>
    </row>
    <row r="139" spans="1:9" outlineLevel="2" x14ac:dyDescent="0.25">
      <c r="A139">
        <v>37600</v>
      </c>
      <c r="B139">
        <v>2005</v>
      </c>
      <c r="C139" s="258">
        <v>18.5</v>
      </c>
      <c r="D139" s="212">
        <v>3502683.06</v>
      </c>
      <c r="E139">
        <v>65</v>
      </c>
      <c r="F139">
        <v>50.343901000000002</v>
      </c>
      <c r="G139" s="90">
        <f>'Proposed Rates'!$O$18/100</f>
        <v>-0.6</v>
      </c>
      <c r="H139" s="212">
        <f t="shared" si="17"/>
        <v>1263647.2539811188</v>
      </c>
      <c r="I139" s="212">
        <f t="shared" si="16"/>
        <v>176338729.20701706</v>
      </c>
    </row>
    <row r="140" spans="1:9" outlineLevel="2" x14ac:dyDescent="0.25">
      <c r="A140">
        <v>37600</v>
      </c>
      <c r="B140">
        <v>2004</v>
      </c>
      <c r="C140" s="258">
        <v>19.5</v>
      </c>
      <c r="D140" s="212">
        <v>3582034.99</v>
      </c>
      <c r="E140">
        <v>65</v>
      </c>
      <c r="F140">
        <v>49.586813999999997</v>
      </c>
      <c r="G140" s="90">
        <f>'Proposed Rates'!$O$18/100</f>
        <v>-0.6</v>
      </c>
      <c r="H140" s="212">
        <f t="shared" si="17"/>
        <v>1359029.4537693085</v>
      </c>
      <c r="I140" s="212">
        <f t="shared" si="16"/>
        <v>177621702.79062185</v>
      </c>
    </row>
    <row r="141" spans="1:9" outlineLevel="2" x14ac:dyDescent="0.25">
      <c r="A141">
        <v>37600</v>
      </c>
      <c r="B141">
        <v>2003</v>
      </c>
      <c r="C141" s="258">
        <v>20.5</v>
      </c>
      <c r="D141" s="212">
        <v>6676236.9100000001</v>
      </c>
      <c r="E141">
        <v>65</v>
      </c>
      <c r="F141">
        <v>48.834133999999999</v>
      </c>
      <c r="G141" s="90">
        <f>'Proposed Rates'!$O$18/100</f>
        <v>-0.6</v>
      </c>
      <c r="H141" s="212">
        <f t="shared" si="17"/>
        <v>2656668.3389861928</v>
      </c>
      <c r="I141" s="212">
        <f t="shared" si="16"/>
        <v>326028247.87868595</v>
      </c>
    </row>
    <row r="142" spans="1:9" outlineLevel="2" x14ac:dyDescent="0.25">
      <c r="A142">
        <v>37600</v>
      </c>
      <c r="B142">
        <v>2002</v>
      </c>
      <c r="C142" s="258">
        <v>21.5</v>
      </c>
      <c r="D142" s="212">
        <v>7192891.7000000002</v>
      </c>
      <c r="E142">
        <v>65</v>
      </c>
      <c r="F142">
        <v>48.084708999999997</v>
      </c>
      <c r="G142" s="90">
        <f>'Proposed Rates'!$O$18/100</f>
        <v>-0.6</v>
      </c>
      <c r="H142" s="212">
        <f t="shared" si="17"/>
        <v>2994950.3073719316</v>
      </c>
      <c r="I142" s="212">
        <f t="shared" ref="I142:I183" si="20">+D142*F142</f>
        <v>345868104.26301527</v>
      </c>
    </row>
    <row r="143" spans="1:9" outlineLevel="2" x14ac:dyDescent="0.25">
      <c r="A143">
        <v>37600</v>
      </c>
      <c r="B143">
        <v>2001</v>
      </c>
      <c r="C143" s="258">
        <v>22.5</v>
      </c>
      <c r="D143" s="212">
        <v>18221210.969999999</v>
      </c>
      <c r="E143">
        <v>65</v>
      </c>
      <c r="F143">
        <v>47.339655999999998</v>
      </c>
      <c r="G143" s="90">
        <f>'Proposed Rates'!$O$18/100</f>
        <v>-0.6</v>
      </c>
      <c r="H143" s="212">
        <f t="shared" si="17"/>
        <v>7921054.8634282742</v>
      </c>
      <c r="I143" s="212">
        <f t="shared" si="20"/>
        <v>862585859.22322619</v>
      </c>
    </row>
    <row r="144" spans="1:9" outlineLevel="2" x14ac:dyDescent="0.25">
      <c r="A144">
        <v>37600</v>
      </c>
      <c r="B144">
        <v>2000</v>
      </c>
      <c r="C144" s="258">
        <v>23.5</v>
      </c>
      <c r="D144" s="212">
        <v>17050968.489999998</v>
      </c>
      <c r="E144">
        <v>65</v>
      </c>
      <c r="F144">
        <v>46.598218000000003</v>
      </c>
      <c r="G144" s="90">
        <f>'Proposed Rates'!$O$18/100</f>
        <v>-0.6</v>
      </c>
      <c r="H144" s="212">
        <f t="shared" si="17"/>
        <v>7723525.0471839774</v>
      </c>
      <c r="I144" s="212">
        <f t="shared" si="20"/>
        <v>794544746.80815077</v>
      </c>
    </row>
    <row r="145" spans="1:9" outlineLevel="2" x14ac:dyDescent="0.25">
      <c r="A145">
        <v>37600</v>
      </c>
      <c r="B145">
        <v>1999</v>
      </c>
      <c r="C145" s="258">
        <v>24.5</v>
      </c>
      <c r="D145" s="212">
        <v>28143824.899999999</v>
      </c>
      <c r="E145">
        <v>65</v>
      </c>
      <c r="F145">
        <v>45.861151</v>
      </c>
      <c r="G145" s="90">
        <f>'Proposed Rates'!$O$18/100</f>
        <v>-0.6</v>
      </c>
      <c r="H145" s="212">
        <f t="shared" si="17"/>
        <v>13258840.98568714</v>
      </c>
      <c r="I145" s="212">
        <f t="shared" si="20"/>
        <v>1290708203.4564598</v>
      </c>
    </row>
    <row r="146" spans="1:9" outlineLevel="2" x14ac:dyDescent="0.25">
      <c r="A146">
        <v>37600</v>
      </c>
      <c r="B146">
        <v>1998</v>
      </c>
      <c r="C146" s="258">
        <v>25.5</v>
      </c>
      <c r="D146" s="212">
        <v>12946362.83</v>
      </c>
      <c r="E146">
        <v>65</v>
      </c>
      <c r="F146">
        <v>45.128126999999999</v>
      </c>
      <c r="G146" s="90">
        <f>'Proposed Rates'!$O$18/100</f>
        <v>-0.6</v>
      </c>
      <c r="H146" s="212">
        <f t="shared" si="17"/>
        <v>6332762.5346382931</v>
      </c>
      <c r="I146" s="212">
        <f t="shared" si="20"/>
        <v>584245105.98031938</v>
      </c>
    </row>
    <row r="147" spans="1:9" outlineLevel="2" x14ac:dyDescent="0.25">
      <c r="A147">
        <v>37600</v>
      </c>
      <c r="B147">
        <v>1997</v>
      </c>
      <c r="C147" s="258">
        <v>26.5</v>
      </c>
      <c r="D147" s="212">
        <v>5123444.37</v>
      </c>
      <c r="E147">
        <v>65</v>
      </c>
      <c r="F147">
        <v>44.399478000000002</v>
      </c>
      <c r="G147" s="90">
        <f>'Proposed Rates'!$O$18/100</f>
        <v>-0.6</v>
      </c>
      <c r="H147" s="212">
        <f t="shared" si="17"/>
        <v>2598046.2390144281</v>
      </c>
      <c r="I147" s="212">
        <f t="shared" si="20"/>
        <v>227478255.59003887</v>
      </c>
    </row>
    <row r="148" spans="1:9" outlineLevel="2" x14ac:dyDescent="0.25">
      <c r="A148">
        <v>37600</v>
      </c>
      <c r="B148">
        <v>1996</v>
      </c>
      <c r="C148" s="258">
        <v>27.5</v>
      </c>
      <c r="D148" s="212">
        <v>3389592.79</v>
      </c>
      <c r="E148">
        <v>65</v>
      </c>
      <c r="F148">
        <v>43.675336999999999</v>
      </c>
      <c r="G148" s="90">
        <f>'Proposed Rates'!$O$18/100</f>
        <v>-0.6</v>
      </c>
      <c r="H148" s="212">
        <f t="shared" si="17"/>
        <v>1779247.3588671945</v>
      </c>
      <c r="I148" s="212">
        <f t="shared" si="20"/>
        <v>148041607.39602023</v>
      </c>
    </row>
    <row r="149" spans="1:9" outlineLevel="2" x14ac:dyDescent="0.25">
      <c r="A149">
        <v>37600</v>
      </c>
      <c r="B149">
        <v>1995</v>
      </c>
      <c r="C149" s="258">
        <v>28.5</v>
      </c>
      <c r="D149" s="212">
        <v>7665962.3799999999</v>
      </c>
      <c r="E149">
        <v>65</v>
      </c>
      <c r="F149">
        <v>42.955582</v>
      </c>
      <c r="G149" s="90">
        <f>'Proposed Rates'!$O$18/100</f>
        <v>-0.6</v>
      </c>
      <c r="H149" s="212">
        <f t="shared" si="17"/>
        <v>4159795.1772798728</v>
      </c>
      <c r="I149" s="212">
        <f t="shared" si="20"/>
        <v>329295875.62300515</v>
      </c>
    </row>
    <row r="150" spans="1:9" outlineLevel="2" x14ac:dyDescent="0.25">
      <c r="A150">
        <v>37600</v>
      </c>
      <c r="B150">
        <v>1994</v>
      </c>
      <c r="C150" s="258">
        <v>29.5</v>
      </c>
      <c r="D150" s="212">
        <v>3643372.72</v>
      </c>
      <c r="E150">
        <v>65</v>
      </c>
      <c r="F150">
        <v>42.240839999999999</v>
      </c>
      <c r="G150" s="90">
        <f>'Proposed Rates'!$O$18/100</f>
        <v>-0.6</v>
      </c>
      <c r="H150" s="212">
        <f t="shared" si="17"/>
        <v>2041110.2196705285</v>
      </c>
      <c r="I150" s="212">
        <f t="shared" si="20"/>
        <v>153899124.1258848</v>
      </c>
    </row>
    <row r="151" spans="1:9" outlineLevel="2" x14ac:dyDescent="0.25">
      <c r="A151">
        <v>37600</v>
      </c>
      <c r="B151">
        <v>1993</v>
      </c>
      <c r="C151" s="258">
        <v>30.5</v>
      </c>
      <c r="D151" s="212">
        <v>3468298.06</v>
      </c>
      <c r="E151">
        <v>65</v>
      </c>
      <c r="F151">
        <v>41.530476999999998</v>
      </c>
      <c r="G151" s="90">
        <f>'Proposed Rates'!$O$18/100</f>
        <v>-0.6</v>
      </c>
      <c r="H151" s="212">
        <f t="shared" si="17"/>
        <v>2003675.1037544711</v>
      </c>
      <c r="I151" s="212">
        <f t="shared" si="20"/>
        <v>144040072.80997461</v>
      </c>
    </row>
    <row r="152" spans="1:9" outlineLevel="2" x14ac:dyDescent="0.25">
      <c r="A152">
        <v>37600</v>
      </c>
      <c r="B152">
        <v>1992</v>
      </c>
      <c r="C152" s="258">
        <v>31.5</v>
      </c>
      <c r="D152" s="212">
        <v>3164410.09</v>
      </c>
      <c r="E152">
        <v>65</v>
      </c>
      <c r="F152">
        <v>40.825656000000002</v>
      </c>
      <c r="G152" s="90">
        <f>'Proposed Rates'!$O$18/100</f>
        <v>-0.6</v>
      </c>
      <c r="H152" s="212">
        <f t="shared" si="17"/>
        <v>1883016.3217903003</v>
      </c>
      <c r="I152" s="212">
        <f t="shared" si="20"/>
        <v>129189117.77726904</v>
      </c>
    </row>
    <row r="153" spans="1:9" outlineLevel="2" x14ac:dyDescent="0.25">
      <c r="A153">
        <v>37600</v>
      </c>
      <c r="B153">
        <v>1991</v>
      </c>
      <c r="C153" s="258">
        <v>32.5</v>
      </c>
      <c r="D153" s="212">
        <v>13714329.25</v>
      </c>
      <c r="E153">
        <v>65</v>
      </c>
      <c r="F153">
        <v>40.125197999999997</v>
      </c>
      <c r="G153" s="90">
        <f>'Proposed Rates'!$O$18/100</f>
        <v>-0.6</v>
      </c>
      <c r="H153" s="212">
        <f t="shared" si="17"/>
        <v>8397322.4530845191</v>
      </c>
      <c r="I153" s="212">
        <f t="shared" si="20"/>
        <v>550290176.59344149</v>
      </c>
    </row>
    <row r="154" spans="1:9" outlineLevel="2" x14ac:dyDescent="0.25">
      <c r="A154">
        <v>37600</v>
      </c>
      <c r="B154">
        <v>1990</v>
      </c>
      <c r="C154" s="258">
        <v>33.5</v>
      </c>
      <c r="D154" s="212">
        <v>3606303.17</v>
      </c>
      <c r="E154">
        <v>65</v>
      </c>
      <c r="F154">
        <v>39.430827000000001</v>
      </c>
      <c r="G154" s="90">
        <f>'Proposed Rates'!$O$18/100</f>
        <v>-0.6</v>
      </c>
      <c r="H154" s="212">
        <f t="shared" si="17"/>
        <v>2269789.283549007</v>
      </c>
      <c r="I154" s="212">
        <f t="shared" si="20"/>
        <v>142199516.40582159</v>
      </c>
    </row>
    <row r="155" spans="1:9" outlineLevel="2" x14ac:dyDescent="0.25">
      <c r="A155">
        <v>37600</v>
      </c>
      <c r="B155">
        <v>1989</v>
      </c>
      <c r="C155" s="258">
        <v>34.5</v>
      </c>
      <c r="D155" s="212">
        <v>3272556.61</v>
      </c>
      <c r="E155">
        <v>65</v>
      </c>
      <c r="F155">
        <v>38.741067999999999</v>
      </c>
      <c r="G155" s="90">
        <f>'Proposed Rates'!$O$18/100</f>
        <v>-0.6</v>
      </c>
      <c r="H155" s="212">
        <f t="shared" si="17"/>
        <v>2115294.5597080747</v>
      </c>
      <c r="I155" s="212">
        <f t="shared" si="20"/>
        <v>126782338.16185947</v>
      </c>
    </row>
    <row r="156" spans="1:9" outlineLevel="2" x14ac:dyDescent="0.25">
      <c r="A156">
        <v>37600</v>
      </c>
      <c r="B156">
        <v>1988</v>
      </c>
      <c r="C156" s="258">
        <v>35.5</v>
      </c>
      <c r="D156" s="212">
        <v>5462988.1200000001</v>
      </c>
      <c r="E156">
        <v>65</v>
      </c>
      <c r="F156">
        <v>38.057411999999999</v>
      </c>
      <c r="G156" s="90">
        <f>'Proposed Rates'!$O$18/100</f>
        <v>-0.6</v>
      </c>
      <c r="H156" s="212">
        <f t="shared" si="17"/>
        <v>3623065.5548567274</v>
      </c>
      <c r="I156" s="212">
        <f t="shared" si="20"/>
        <v>207907189.63394544</v>
      </c>
    </row>
    <row r="157" spans="1:9" outlineLevel="2" x14ac:dyDescent="0.25">
      <c r="A157">
        <v>37600</v>
      </c>
      <c r="B157">
        <v>1987</v>
      </c>
      <c r="C157" s="258">
        <v>36.5</v>
      </c>
      <c r="D157" s="212">
        <v>2781812.57</v>
      </c>
      <c r="E157">
        <v>65</v>
      </c>
      <c r="F157">
        <v>37.378881</v>
      </c>
      <c r="G157" s="90">
        <f>'Proposed Rates'!$O$18/100</f>
        <v>-0.6</v>
      </c>
      <c r="H157" s="212">
        <f t="shared" si="17"/>
        <v>1891366.7946256204</v>
      </c>
      <c r="I157" s="212">
        <f t="shared" si="20"/>
        <v>103981041.01833417</v>
      </c>
    </row>
    <row r="158" spans="1:9" outlineLevel="2" x14ac:dyDescent="0.25">
      <c r="A158">
        <v>37600</v>
      </c>
      <c r="B158">
        <v>1986</v>
      </c>
      <c r="C158" s="258">
        <v>37.5</v>
      </c>
      <c r="D158" s="212">
        <v>7785582.6200000001</v>
      </c>
      <c r="E158">
        <v>65</v>
      </c>
      <c r="F158">
        <v>36.706448000000002</v>
      </c>
      <c r="G158" s="90">
        <f>'Proposed Rates'!$O$18/100</f>
        <v>-0.6</v>
      </c>
      <c r="H158" s="212">
        <f t="shared" si="17"/>
        <v>5422320.9036127077</v>
      </c>
      <c r="I158" s="212">
        <f t="shared" si="20"/>
        <v>285781083.59073377</v>
      </c>
    </row>
    <row r="159" spans="1:9" outlineLevel="2" x14ac:dyDescent="0.25">
      <c r="A159">
        <v>37600</v>
      </c>
      <c r="B159">
        <v>1985</v>
      </c>
      <c r="C159" s="258">
        <v>38.5</v>
      </c>
      <c r="D159" s="212">
        <v>2225592.44</v>
      </c>
      <c r="E159">
        <v>65</v>
      </c>
      <c r="F159">
        <v>36.039669000000004</v>
      </c>
      <c r="G159" s="90">
        <f>'Proposed Rates'!$O$18/100</f>
        <v>-0.6</v>
      </c>
      <c r="H159" s="212">
        <f t="shared" si="17"/>
        <v>1586557.3842091723</v>
      </c>
      <c r="I159" s="212">
        <f t="shared" si="20"/>
        <v>80209614.86650236</v>
      </c>
    </row>
    <row r="160" spans="1:9" outlineLevel="2" x14ac:dyDescent="0.25">
      <c r="A160">
        <v>37600</v>
      </c>
      <c r="B160">
        <v>1984</v>
      </c>
      <c r="C160" s="258">
        <v>39.5</v>
      </c>
      <c r="D160" s="212">
        <v>2912319.08</v>
      </c>
      <c r="E160">
        <v>65</v>
      </c>
      <c r="F160">
        <v>35.378954999999998</v>
      </c>
      <c r="G160" s="90">
        <f>'Proposed Rates'!$O$18/100</f>
        <v>-0.6</v>
      </c>
      <c r="H160" s="212">
        <f t="shared" si="17"/>
        <v>2123469.1574901813</v>
      </c>
      <c r="I160" s="212">
        <f t="shared" si="20"/>
        <v>103034805.67696139</v>
      </c>
    </row>
    <row r="161" spans="1:9" outlineLevel="2" x14ac:dyDescent="0.25">
      <c r="A161">
        <v>37600</v>
      </c>
      <c r="B161">
        <v>1983</v>
      </c>
      <c r="C161" s="258">
        <v>40.5</v>
      </c>
      <c r="D161" s="212">
        <v>2577191.7599999998</v>
      </c>
      <c r="E161">
        <v>65</v>
      </c>
      <c r="F161">
        <v>34.724437000000002</v>
      </c>
      <c r="G161" s="90">
        <f>'Proposed Rates'!$O$18/100</f>
        <v>-0.6</v>
      </c>
      <c r="H161" s="212">
        <f t="shared" si="17"/>
        <v>1920638.3136728832</v>
      </c>
      <c r="I161" s="212">
        <f t="shared" si="20"/>
        <v>89491532.907039121</v>
      </c>
    </row>
    <row r="162" spans="1:9" outlineLevel="2" x14ac:dyDescent="0.25">
      <c r="A162">
        <v>37600</v>
      </c>
      <c r="B162">
        <v>1982</v>
      </c>
      <c r="C162" s="258">
        <v>41.5</v>
      </c>
      <c r="D162" s="212">
        <v>2316681.39</v>
      </c>
      <c r="E162">
        <v>65</v>
      </c>
      <c r="F162">
        <v>34.075933999999997</v>
      </c>
      <c r="G162" s="90">
        <f>'Proposed Rates'!$O$18/100</f>
        <v>-0.6</v>
      </c>
      <c r="H162" s="212">
        <f t="shared" si="17"/>
        <v>1763475.8942850893</v>
      </c>
      <c r="I162" s="212">
        <f t="shared" si="20"/>
        <v>78943082.144668251</v>
      </c>
    </row>
    <row r="163" spans="1:9" outlineLevel="2" x14ac:dyDescent="0.25">
      <c r="A163">
        <v>37600</v>
      </c>
      <c r="B163">
        <v>1981</v>
      </c>
      <c r="C163" s="258">
        <v>42.5</v>
      </c>
      <c r="D163" s="212">
        <v>4298462.59</v>
      </c>
      <c r="E163">
        <v>65</v>
      </c>
      <c r="F163">
        <v>33.434171999999997</v>
      </c>
      <c r="G163" s="90">
        <f>'Proposed Rates'!$O$18/100</f>
        <v>-0.6</v>
      </c>
      <c r="H163" s="212">
        <f t="shared" si="17"/>
        <v>3339926.9115169118</v>
      </c>
      <c r="I163" s="212">
        <f t="shared" si="20"/>
        <v>143715537.56962547</v>
      </c>
    </row>
    <row r="164" spans="1:9" outlineLevel="2" x14ac:dyDescent="0.25">
      <c r="A164">
        <v>37600</v>
      </c>
      <c r="B164">
        <v>1980</v>
      </c>
      <c r="C164" s="258">
        <v>43.5</v>
      </c>
      <c r="D164" s="212">
        <v>2603156.4300000002</v>
      </c>
      <c r="E164">
        <v>65</v>
      </c>
      <c r="F164">
        <v>32.798347999999997</v>
      </c>
      <c r="G164" s="90">
        <f>'Proposed Rates'!$O$18/100</f>
        <v>-0.6</v>
      </c>
      <c r="H164" s="212">
        <f t="shared" si="17"/>
        <v>2063407.6913334739</v>
      </c>
      <c r="I164" s="212">
        <f t="shared" si="20"/>
        <v>85379230.489577636</v>
      </c>
    </row>
    <row r="165" spans="1:9" outlineLevel="2" x14ac:dyDescent="0.25">
      <c r="A165">
        <v>37600</v>
      </c>
      <c r="B165">
        <v>1979</v>
      </c>
      <c r="C165" s="258">
        <v>44.5</v>
      </c>
      <c r="D165" s="212">
        <v>3198732.22</v>
      </c>
      <c r="E165">
        <v>65</v>
      </c>
      <c r="F165">
        <v>32.169825000000003</v>
      </c>
      <c r="G165" s="90">
        <f>'Proposed Rates'!$O$18/100</f>
        <v>-0.6</v>
      </c>
      <c r="H165" s="212">
        <f t="shared" si="17"/>
        <v>2584983.1030335631</v>
      </c>
      <c r="I165" s="212">
        <f t="shared" si="20"/>
        <v>102902655.73926152</v>
      </c>
    </row>
    <row r="166" spans="1:9" outlineLevel="2" x14ac:dyDescent="0.25">
      <c r="A166">
        <v>37600</v>
      </c>
      <c r="B166">
        <v>1978</v>
      </c>
      <c r="C166" s="258">
        <v>45.5</v>
      </c>
      <c r="D166" s="212">
        <v>3089228.06</v>
      </c>
      <c r="E166">
        <v>65</v>
      </c>
      <c r="F166">
        <v>31.547146999999999</v>
      </c>
      <c r="G166" s="90">
        <f>'Proposed Rates'!$O$18/100</f>
        <v>-0.6</v>
      </c>
      <c r="H166" s="212">
        <f t="shared" si="17"/>
        <v>2543839.8073761277</v>
      </c>
      <c r="I166" s="212">
        <f t="shared" si="20"/>
        <v>97456331.725344822</v>
      </c>
    </row>
    <row r="167" spans="1:9" outlineLevel="2" x14ac:dyDescent="0.25">
      <c r="A167">
        <v>37600</v>
      </c>
      <c r="B167">
        <v>1977</v>
      </c>
      <c r="C167" s="258">
        <v>46.5</v>
      </c>
      <c r="D167" s="212">
        <v>1523530.52</v>
      </c>
      <c r="E167">
        <v>65</v>
      </c>
      <c r="F167">
        <v>30.932313000000001</v>
      </c>
      <c r="G167" s="90">
        <f>'Proposed Rates'!$O$18/100</f>
        <v>-0.6</v>
      </c>
      <c r="H167" s="212">
        <f t="shared" si="17"/>
        <v>1277616.2680691015</v>
      </c>
      <c r="I167" s="212">
        <f t="shared" si="20"/>
        <v>47126322.909692764</v>
      </c>
    </row>
    <row r="168" spans="1:9" outlineLevel="2" x14ac:dyDescent="0.25">
      <c r="A168">
        <v>37600</v>
      </c>
      <c r="B168">
        <v>1976</v>
      </c>
      <c r="C168" s="258">
        <v>47.5</v>
      </c>
      <c r="D168" s="212">
        <v>1782562.2</v>
      </c>
      <c r="E168">
        <v>65</v>
      </c>
      <c r="F168">
        <v>30.323542</v>
      </c>
      <c r="G168" s="90">
        <f>'Proposed Rates'!$O$18/100</f>
        <v>-0.6</v>
      </c>
      <c r="H168" s="212">
        <f t="shared" si="17"/>
        <v>1521549.3725707717</v>
      </c>
      <c r="I168" s="212">
        <f t="shared" si="20"/>
        <v>54053599.739312395</v>
      </c>
    </row>
    <row r="169" spans="1:9" outlineLevel="2" x14ac:dyDescent="0.25">
      <c r="A169">
        <v>37600</v>
      </c>
      <c r="B169">
        <v>1975</v>
      </c>
      <c r="C169" s="258">
        <v>48.5</v>
      </c>
      <c r="D169" s="212">
        <v>2327388</v>
      </c>
      <c r="E169">
        <v>65</v>
      </c>
      <c r="F169">
        <v>29.722524</v>
      </c>
      <c r="G169" s="90">
        <f>'Proposed Rates'!$O$18/100</f>
        <v>-0.6</v>
      </c>
      <c r="H169" s="212">
        <f t="shared" si="17"/>
        <v>2021030.7523123198</v>
      </c>
      <c r="I169" s="212">
        <f t="shared" si="20"/>
        <v>69175845.687312007</v>
      </c>
    </row>
    <row r="170" spans="1:9" outlineLevel="2" x14ac:dyDescent="0.25">
      <c r="A170">
        <v>37600</v>
      </c>
      <c r="B170">
        <v>1974</v>
      </c>
      <c r="C170" s="258">
        <v>49.5</v>
      </c>
      <c r="D170" s="212">
        <v>3379567.11</v>
      </c>
      <c r="E170">
        <v>65</v>
      </c>
      <c r="F170">
        <v>29.12809</v>
      </c>
      <c r="G170" s="90">
        <f>'Proposed Rates'!$O$18/100</f>
        <v>-0.6</v>
      </c>
      <c r="H170" s="212">
        <f t="shared" si="17"/>
        <v>2984160.6697570486</v>
      </c>
      <c r="I170" s="212">
        <f t="shared" si="20"/>
        <v>98440334.941119894</v>
      </c>
    </row>
    <row r="171" spans="1:9" outlineLevel="2" x14ac:dyDescent="0.25">
      <c r="A171">
        <v>37600</v>
      </c>
      <c r="B171">
        <v>1973</v>
      </c>
      <c r="C171" s="258">
        <v>50.5</v>
      </c>
      <c r="D171" s="212">
        <v>2967031.95</v>
      </c>
      <c r="E171">
        <v>65</v>
      </c>
      <c r="F171">
        <v>28.541291000000001</v>
      </c>
      <c r="G171" s="90">
        <f>'Proposed Rates'!$O$18/100</f>
        <v>-0.6</v>
      </c>
      <c r="H171" s="212">
        <f t="shared" si="17"/>
        <v>2662748.417446217</v>
      </c>
      <c r="I171" s="212">
        <f t="shared" si="20"/>
        <v>84682922.291247457</v>
      </c>
    </row>
    <row r="172" spans="1:9" outlineLevel="2" x14ac:dyDescent="0.25">
      <c r="A172">
        <v>37600</v>
      </c>
      <c r="B172">
        <v>1972</v>
      </c>
      <c r="C172" s="258">
        <v>51.5</v>
      </c>
      <c r="D172" s="212">
        <v>1826425.84</v>
      </c>
      <c r="E172">
        <v>65</v>
      </c>
      <c r="F172">
        <v>27.961589</v>
      </c>
      <c r="G172" s="90">
        <f>'Proposed Rates'!$O$18/100</f>
        <v>-0.6</v>
      </c>
      <c r="H172" s="212">
        <f t="shared" si="17"/>
        <v>1665179.3457954521</v>
      </c>
      <c r="I172" s="212">
        <f t="shared" si="20"/>
        <v>51069768.677059762</v>
      </c>
    </row>
    <row r="173" spans="1:9" outlineLevel="2" x14ac:dyDescent="0.25">
      <c r="A173">
        <v>37600</v>
      </c>
      <c r="B173">
        <v>1971</v>
      </c>
      <c r="C173" s="258">
        <v>52.5</v>
      </c>
      <c r="D173" s="212">
        <v>1731354.86</v>
      </c>
      <c r="E173">
        <v>65</v>
      </c>
      <c r="F173">
        <v>27.389392000000001</v>
      </c>
      <c r="G173" s="90">
        <f>'Proposed Rates'!$O$18/100</f>
        <v>-0.6</v>
      </c>
      <c r="H173" s="212">
        <f t="shared" si="17"/>
        <v>1602887.6048825816</v>
      </c>
      <c r="I173" s="212">
        <f t="shared" si="20"/>
        <v>47420756.951645121</v>
      </c>
    </row>
    <row r="174" spans="1:9" outlineLevel="2" x14ac:dyDescent="0.25">
      <c r="A174">
        <v>37600</v>
      </c>
      <c r="B174">
        <v>1970</v>
      </c>
      <c r="C174" s="258">
        <v>53.5</v>
      </c>
      <c r="D174" s="212">
        <v>2280716.86</v>
      </c>
      <c r="E174">
        <v>65</v>
      </c>
      <c r="F174">
        <v>26.824791000000001</v>
      </c>
      <c r="G174" s="90">
        <f>'Proposed Rates'!$O$18/100</f>
        <v>-0.6</v>
      </c>
      <c r="H174" s="212">
        <f t="shared" si="17"/>
        <v>2143183.8227771996</v>
      </c>
      <c r="I174" s="212">
        <f t="shared" si="20"/>
        <v>61179753.099676259</v>
      </c>
    </row>
    <row r="175" spans="1:9" outlineLevel="2" x14ac:dyDescent="0.25">
      <c r="A175">
        <v>37600</v>
      </c>
      <c r="B175">
        <v>1969</v>
      </c>
      <c r="C175" s="258">
        <v>54.5</v>
      </c>
      <c r="D175" s="212">
        <v>1680713.46</v>
      </c>
      <c r="E175">
        <v>65</v>
      </c>
      <c r="F175">
        <v>26.267551000000001</v>
      </c>
      <c r="G175" s="90">
        <f>'Proposed Rates'!$O$18/100</f>
        <v>-0.6</v>
      </c>
      <c r="H175" s="212">
        <f t="shared" si="17"/>
        <v>1602415.959952333</v>
      </c>
      <c r="I175" s="212">
        <f t="shared" si="20"/>
        <v>44148226.526936464</v>
      </c>
    </row>
    <row r="176" spans="1:9" outlineLevel="2" x14ac:dyDescent="0.25">
      <c r="A176">
        <v>37600</v>
      </c>
      <c r="B176">
        <v>1968</v>
      </c>
      <c r="C176" s="258">
        <v>55.5</v>
      </c>
      <c r="D176" s="212">
        <v>2399997</v>
      </c>
      <c r="E176">
        <v>65</v>
      </c>
      <c r="F176">
        <v>25.718371999999999</v>
      </c>
      <c r="G176" s="90">
        <f>'Proposed Rates'!$O$18/100</f>
        <v>-0.6</v>
      </c>
      <c r="H176" s="212">
        <f t="shared" si="17"/>
        <v>2320634.8148951633</v>
      </c>
      <c r="I176" s="212">
        <f t="shared" si="20"/>
        <v>61724015.644883998</v>
      </c>
    </row>
    <row r="177" spans="1:9" outlineLevel="2" x14ac:dyDescent="0.25">
      <c r="A177">
        <v>37600</v>
      </c>
      <c r="B177">
        <v>1967</v>
      </c>
      <c r="C177" s="258">
        <v>56.5</v>
      </c>
      <c r="D177" s="212">
        <v>1654475.77</v>
      </c>
      <c r="E177">
        <v>65</v>
      </c>
      <c r="F177">
        <v>25.176411000000002</v>
      </c>
      <c r="G177" s="90">
        <f>'Proposed Rates'!$O$18/100</f>
        <v>-0.6</v>
      </c>
      <c r="H177" s="212">
        <f t="shared" si="17"/>
        <v>1621837.8603061792</v>
      </c>
      <c r="I177" s="212">
        <f t="shared" si="20"/>
        <v>41653761.975061476</v>
      </c>
    </row>
    <row r="178" spans="1:9" outlineLevel="2" x14ac:dyDescent="0.25">
      <c r="A178">
        <v>37600</v>
      </c>
      <c r="B178">
        <v>1966</v>
      </c>
      <c r="C178" s="258">
        <v>57.5</v>
      </c>
      <c r="D178" s="212">
        <v>864612.42</v>
      </c>
      <c r="E178">
        <v>65</v>
      </c>
      <c r="F178">
        <v>24.642935000000001</v>
      </c>
      <c r="G178" s="90">
        <f>'Proposed Rates'!$O$18/100</f>
        <v>-0.6</v>
      </c>
      <c r="H178" s="212">
        <f t="shared" si="17"/>
        <v>858910.02175377961</v>
      </c>
      <c r="I178" s="212">
        <f t="shared" si="20"/>
        <v>21306587.666252702</v>
      </c>
    </row>
    <row r="179" spans="1:9" outlineLevel="2" x14ac:dyDescent="0.25">
      <c r="A179">
        <v>37600</v>
      </c>
      <c r="B179">
        <v>1965</v>
      </c>
      <c r="C179" s="258">
        <v>58.5</v>
      </c>
      <c r="D179" s="212">
        <v>1031992.36</v>
      </c>
      <c r="E179">
        <v>65</v>
      </c>
      <c r="F179">
        <v>24.116531999999999</v>
      </c>
      <c r="G179" s="90">
        <f>'Proposed Rates'!$O$18/100</f>
        <v>-0.6</v>
      </c>
      <c r="H179" s="212">
        <f t="shared" si="17"/>
        <v>1038558.193878264</v>
      </c>
      <c r="I179" s="212">
        <f t="shared" si="20"/>
        <v>24888076.773695517</v>
      </c>
    </row>
    <row r="180" spans="1:9" outlineLevel="2" x14ac:dyDescent="0.25">
      <c r="A180">
        <v>37600</v>
      </c>
      <c r="B180">
        <v>1964</v>
      </c>
      <c r="C180" s="258">
        <v>59.5</v>
      </c>
      <c r="D180" s="212">
        <v>900359.68000000005</v>
      </c>
      <c r="E180">
        <v>65</v>
      </c>
      <c r="F180">
        <v>23.598989</v>
      </c>
      <c r="G180" s="90">
        <f>'Proposed Rates'!$O$18/100</f>
        <v>-0.6</v>
      </c>
      <c r="H180" s="212">
        <f t="shared" si="17"/>
        <v>917558.17884643655</v>
      </c>
      <c r="I180" s="212">
        <f t="shared" si="20"/>
        <v>21247578.184363522</v>
      </c>
    </row>
    <row r="181" spans="1:9" outlineLevel="2" x14ac:dyDescent="0.25">
      <c r="A181">
        <v>37600</v>
      </c>
      <c r="B181">
        <v>1963</v>
      </c>
      <c r="C181" s="258">
        <v>60.5</v>
      </c>
      <c r="D181" s="212">
        <v>688981.37</v>
      </c>
      <c r="E181">
        <v>65</v>
      </c>
      <c r="F181">
        <v>23.088650000000001</v>
      </c>
      <c r="G181" s="90">
        <f>'Proposed Rates'!$O$18/100</f>
        <v>-0.6</v>
      </c>
      <c r="H181" s="212">
        <f t="shared" si="17"/>
        <v>710797.27609967999</v>
      </c>
      <c r="I181" s="212">
        <f t="shared" si="20"/>
        <v>15907649.7084505</v>
      </c>
    </row>
    <row r="182" spans="1:9" outlineLevel="2" x14ac:dyDescent="0.25">
      <c r="A182">
        <v>37600</v>
      </c>
      <c r="B182">
        <v>1962</v>
      </c>
      <c r="C182" s="258">
        <v>61.5</v>
      </c>
      <c r="D182" s="212">
        <v>586111.81999999995</v>
      </c>
      <c r="E182">
        <v>65</v>
      </c>
      <c r="F182">
        <v>22.586933999999999</v>
      </c>
      <c r="G182" s="90">
        <f>'Proposed Rates'!$O$18/100</f>
        <v>-0.6</v>
      </c>
      <c r="H182" s="212">
        <f t="shared" si="17"/>
        <v>611908.90597021836</v>
      </c>
      <c r="I182" s="212">
        <f t="shared" si="20"/>
        <v>13238468.994959878</v>
      </c>
    </row>
    <row r="183" spans="1:9" outlineLevel="2" x14ac:dyDescent="0.25">
      <c r="A183">
        <v>37600</v>
      </c>
      <c r="B183">
        <v>1961</v>
      </c>
      <c r="C183" s="258">
        <v>62.5</v>
      </c>
      <c r="D183" s="212">
        <v>488769.68</v>
      </c>
      <c r="E183">
        <v>65</v>
      </c>
      <c r="F183">
        <v>22.092803</v>
      </c>
      <c r="G183" s="90">
        <f>'Proposed Rates'!$O$18/100</f>
        <v>-0.6</v>
      </c>
      <c r="H183" s="212">
        <f t="shared" si="17"/>
        <v>516227.37101260212</v>
      </c>
      <c r="I183" s="212">
        <f t="shared" si="20"/>
        <v>10798292.25261304</v>
      </c>
    </row>
    <row r="184" spans="1:9" outlineLevel="2" x14ac:dyDescent="0.25">
      <c r="A184">
        <v>37600</v>
      </c>
      <c r="B184">
        <v>1960</v>
      </c>
      <c r="C184" s="258">
        <v>63.5</v>
      </c>
      <c r="D184" s="212">
        <v>2271714.2000000002</v>
      </c>
      <c r="E184">
        <v>65</v>
      </c>
      <c r="F184">
        <v>21.607047999999999</v>
      </c>
      <c r="G184" s="90">
        <f>'Proposed Rates'!$O$18/100</f>
        <v>-0.6</v>
      </c>
      <c r="H184" s="212">
        <f t="shared" ref="H184:H192" si="21">+D184*(1-F184/E184)*(1-G184)</f>
        <v>2426495.6366355298</v>
      </c>
      <c r="I184" s="212">
        <f t="shared" ref="I184:I192" si="22">+D184*F184</f>
        <v>49085037.761681601</v>
      </c>
    </row>
    <row r="185" spans="1:9" outlineLevel="2" x14ac:dyDescent="0.25">
      <c r="A185">
        <v>37600</v>
      </c>
      <c r="B185">
        <v>1959</v>
      </c>
      <c r="C185" s="258">
        <v>64.5</v>
      </c>
      <c r="D185" s="212">
        <v>1864660.07</v>
      </c>
      <c r="E185">
        <v>65</v>
      </c>
      <c r="F185">
        <v>21.129180999999999</v>
      </c>
      <c r="G185" s="90">
        <f>'Proposed Rates'!$O$18/100</f>
        <v>-0.6</v>
      </c>
      <c r="H185" s="212">
        <f t="shared" si="21"/>
        <v>2013640.9705230114</v>
      </c>
      <c r="I185" s="212">
        <f t="shared" si="22"/>
        <v>39398740.12250267</v>
      </c>
    </row>
    <row r="186" spans="1:9" outlineLevel="2" x14ac:dyDescent="0.25">
      <c r="A186">
        <v>37600</v>
      </c>
      <c r="B186">
        <v>1958</v>
      </c>
      <c r="C186" s="258">
        <v>65.5</v>
      </c>
      <c r="D186" s="212">
        <v>1637628.63</v>
      </c>
      <c r="E186">
        <v>65</v>
      </c>
      <c r="F186">
        <v>20.659452999999999</v>
      </c>
      <c r="G186" s="90">
        <f>'Proposed Rates'!$O$18/100</f>
        <v>-0.6</v>
      </c>
      <c r="H186" s="212">
        <f t="shared" si="21"/>
        <v>1787405.5196814919</v>
      </c>
      <c r="I186" s="212">
        <f t="shared" si="22"/>
        <v>33832511.712939389</v>
      </c>
    </row>
    <row r="187" spans="1:9" outlineLevel="2" x14ac:dyDescent="0.25">
      <c r="A187">
        <v>37600</v>
      </c>
      <c r="B187">
        <v>1957</v>
      </c>
      <c r="C187" s="258">
        <v>66.5</v>
      </c>
      <c r="D187" s="212">
        <v>338124.32</v>
      </c>
      <c r="E187">
        <v>65</v>
      </c>
      <c r="F187">
        <v>20.197821000000001</v>
      </c>
      <c r="G187" s="90">
        <f>'Proposed Rates'!$O$18/100</f>
        <v>-0.6</v>
      </c>
      <c r="H187" s="212">
        <f t="shared" si="21"/>
        <v>372891.23221891158</v>
      </c>
      <c r="I187" s="212">
        <f t="shared" si="22"/>
        <v>6829374.4911067206</v>
      </c>
    </row>
    <row r="188" spans="1:9" outlineLevel="2" x14ac:dyDescent="0.25">
      <c r="A188">
        <v>37600</v>
      </c>
      <c r="B188">
        <v>1956</v>
      </c>
      <c r="C188" s="258">
        <v>67.5</v>
      </c>
      <c r="D188" s="212">
        <v>245928.86</v>
      </c>
      <c r="E188">
        <v>65</v>
      </c>
      <c r="F188">
        <v>19.744098000000001</v>
      </c>
      <c r="G188" s="90">
        <f>'Proposed Rates'!$O$18/100</f>
        <v>-0.6</v>
      </c>
      <c r="H188" s="212">
        <f t="shared" si="21"/>
        <v>273962.64337554999</v>
      </c>
      <c r="I188" s="212">
        <f t="shared" si="22"/>
        <v>4855643.5128682796</v>
      </c>
    </row>
    <row r="189" spans="1:9" outlineLevel="2" x14ac:dyDescent="0.25">
      <c r="A189">
        <v>37600</v>
      </c>
      <c r="B189">
        <v>1955</v>
      </c>
      <c r="C189" s="258">
        <v>68.5</v>
      </c>
      <c r="D189" s="212">
        <v>103607.12</v>
      </c>
      <c r="E189">
        <v>65</v>
      </c>
      <c r="F189">
        <v>19.298572</v>
      </c>
      <c r="G189" s="90">
        <f>'Proposed Rates'!$O$18/100</f>
        <v>-0.6</v>
      </c>
      <c r="H189" s="212">
        <f t="shared" si="21"/>
        <v>116553.68209150425</v>
      </c>
      <c r="I189" s="212">
        <f t="shared" si="22"/>
        <v>1999469.4650326399</v>
      </c>
    </row>
    <row r="190" spans="1:9" outlineLevel="2" x14ac:dyDescent="0.25">
      <c r="A190">
        <v>37600</v>
      </c>
      <c r="B190">
        <v>1954</v>
      </c>
      <c r="C190" s="258">
        <v>69.5</v>
      </c>
      <c r="D190" s="212">
        <v>136957.85</v>
      </c>
      <c r="E190">
        <v>65</v>
      </c>
      <c r="F190">
        <v>18.860751</v>
      </c>
      <c r="G190" s="90">
        <f>'Proposed Rates'!$O$18/100</f>
        <v>-0.6</v>
      </c>
      <c r="H190" s="212">
        <f t="shared" si="21"/>
        <v>155547.873074576</v>
      </c>
      <c r="I190" s="212">
        <f t="shared" si="22"/>
        <v>2583127.9063453502</v>
      </c>
    </row>
    <row r="191" spans="1:9" outlineLevel="2" x14ac:dyDescent="0.25">
      <c r="A191">
        <v>37600</v>
      </c>
      <c r="B191">
        <v>1953</v>
      </c>
      <c r="C191" s="258">
        <v>70.5</v>
      </c>
      <c r="D191" s="212">
        <v>147668.98000000001</v>
      </c>
      <c r="E191">
        <v>65</v>
      </c>
      <c r="F191">
        <v>18.431092</v>
      </c>
      <c r="G191" s="90">
        <f>'Proposed Rates'!$O$18/100</f>
        <v>-0.6</v>
      </c>
      <c r="H191" s="212">
        <f t="shared" si="21"/>
        <v>169274.66200797146</v>
      </c>
      <c r="I191" s="212">
        <f t="shared" si="22"/>
        <v>2721700.55592616</v>
      </c>
    </row>
    <row r="192" spans="1:9" outlineLevel="2" x14ac:dyDescent="0.25">
      <c r="A192">
        <v>37600</v>
      </c>
      <c r="B192">
        <v>1952</v>
      </c>
      <c r="C192" s="258">
        <v>71.5</v>
      </c>
      <c r="D192" s="212">
        <v>60742.65</v>
      </c>
      <c r="E192">
        <v>65</v>
      </c>
      <c r="F192">
        <v>18.008972</v>
      </c>
      <c r="G192" s="90">
        <f>'Proposed Rates'!$O$18/100</f>
        <v>-0.6</v>
      </c>
      <c r="H192" s="212">
        <f t="shared" si="21"/>
        <v>70261.158570934145</v>
      </c>
      <c r="I192" s="212">
        <f t="shared" si="22"/>
        <v>1093912.6830557999</v>
      </c>
    </row>
    <row r="193" spans="1:10" ht="13" outlineLevel="1" x14ac:dyDescent="0.3">
      <c r="A193" s="18" t="s">
        <v>1181</v>
      </c>
      <c r="C193" s="258"/>
      <c r="D193" s="212">
        <f>SUBTOTAL(9,D121:D192)</f>
        <v>826292081.17000031</v>
      </c>
      <c r="H193" s="212">
        <f>SUBTOTAL(9,H121:H192)</f>
        <v>198618431.58142173</v>
      </c>
      <c r="I193" s="212">
        <f>SUBTOTAL(9,I121:I192)</f>
        <v>45640111493.05471</v>
      </c>
      <c r="J193" s="212">
        <f>+I193/D193</f>
        <v>55.234840721733569</v>
      </c>
    </row>
    <row r="194" spans="1:10" outlineLevel="2" x14ac:dyDescent="0.25">
      <c r="A194">
        <v>37602</v>
      </c>
      <c r="B194">
        <v>2023</v>
      </c>
      <c r="C194" s="258">
        <v>0.5</v>
      </c>
      <c r="D194" s="212">
        <v>227207007.90000001</v>
      </c>
      <c r="E194">
        <v>75</v>
      </c>
      <c r="F194">
        <v>74.547286999999997</v>
      </c>
      <c r="G194" s="90">
        <f>'Proposed Rates'!$O$19/100</f>
        <v>-0.4</v>
      </c>
      <c r="H194" s="212">
        <f t="shared" ref="H194:H231" si="23">+D194*(1-F194/E194)*(1-G194)</f>
        <v>1920045.2351254297</v>
      </c>
      <c r="I194" s="212">
        <f t="shared" ref="I194:I231" si="24">+D194*F194</f>
        <v>16937666026.332567</v>
      </c>
    </row>
    <row r="195" spans="1:10" outlineLevel="2" x14ac:dyDescent="0.25">
      <c r="A195">
        <v>37602</v>
      </c>
      <c r="B195">
        <v>2022</v>
      </c>
      <c r="C195" s="258">
        <v>1.5</v>
      </c>
      <c r="D195" s="212">
        <v>38039872.810000002</v>
      </c>
      <c r="E195">
        <v>75</v>
      </c>
      <c r="F195">
        <v>73.643519999999995</v>
      </c>
      <c r="G195" s="90">
        <f>'Proposed Rates'!$O$19/100</f>
        <v>-0.4</v>
      </c>
      <c r="H195" s="212">
        <f t="shared" si="23"/>
        <v>963206.09782710066</v>
      </c>
      <c r="I195" s="212">
        <f t="shared" si="24"/>
        <v>2801390134.0806913</v>
      </c>
    </row>
    <row r="196" spans="1:10" outlineLevel="2" x14ac:dyDescent="0.25">
      <c r="A196">
        <v>37602</v>
      </c>
      <c r="B196">
        <v>2021</v>
      </c>
      <c r="C196" s="258">
        <v>2.5</v>
      </c>
      <c r="D196" s="212">
        <v>31267391.68</v>
      </c>
      <c r="E196">
        <v>75</v>
      </c>
      <c r="F196">
        <v>72.743639000000002</v>
      </c>
      <c r="G196" s="90">
        <f>'Proposed Rates'!$O$19/100</f>
        <v>-0.4</v>
      </c>
      <c r="H196" s="212">
        <f t="shared" ref="H196:H201" si="25">+D196*(1-F196/E196)*(1-G196)</f>
        <v>1316943.0989582282</v>
      </c>
      <c r="I196" s="212">
        <f t="shared" ref="I196:I201" si="26">+D196*F196</f>
        <v>2274503852.8415236</v>
      </c>
    </row>
    <row r="197" spans="1:10" outlineLevel="2" x14ac:dyDescent="0.25">
      <c r="A197">
        <v>37602</v>
      </c>
      <c r="B197">
        <v>2020</v>
      </c>
      <c r="C197" s="258">
        <v>3.5</v>
      </c>
      <c r="D197" s="212">
        <v>78977475.469999999</v>
      </c>
      <c r="E197">
        <v>75</v>
      </c>
      <c r="F197">
        <v>71.846890000000002</v>
      </c>
      <c r="G197" s="90">
        <f>'Proposed Rates'!$O$19/100</f>
        <v>-0.4</v>
      </c>
      <c r="H197" s="212">
        <f t="shared" si="25"/>
        <v>4648460.4633452818</v>
      </c>
      <c r="I197" s="212">
        <f t="shared" si="26"/>
        <v>5674285992.5707884</v>
      </c>
    </row>
    <row r="198" spans="1:10" outlineLevel="2" x14ac:dyDescent="0.25">
      <c r="A198">
        <v>37602</v>
      </c>
      <c r="B198">
        <v>2019</v>
      </c>
      <c r="C198" s="258">
        <v>4.5</v>
      </c>
      <c r="D198" s="212">
        <v>53082641</v>
      </c>
      <c r="E198">
        <v>75</v>
      </c>
      <c r="F198">
        <v>70.953310000000002</v>
      </c>
      <c r="G198" s="90">
        <f>'Proposed Rates'!$O$19/100</f>
        <v>-0.4</v>
      </c>
      <c r="H198" s="212">
        <f t="shared" si="25"/>
        <v>4009767.8601547438</v>
      </c>
      <c r="I198" s="212">
        <f t="shared" si="26"/>
        <v>3766389082.4917102</v>
      </c>
    </row>
    <row r="199" spans="1:10" outlineLevel="2" x14ac:dyDescent="0.25">
      <c r="A199">
        <v>37602</v>
      </c>
      <c r="B199">
        <v>2018</v>
      </c>
      <c r="C199" s="258">
        <v>5.5</v>
      </c>
      <c r="D199" s="212">
        <v>73780577.069999993</v>
      </c>
      <c r="E199">
        <v>75</v>
      </c>
      <c r="F199">
        <v>70.063854000000006</v>
      </c>
      <c r="G199" s="90">
        <f>'Proposed Rates'!$O$19/100</f>
        <v>-0.4</v>
      </c>
      <c r="H199" s="212">
        <f t="shared" si="25"/>
        <v>6798245.0737930732</v>
      </c>
      <c r="I199" s="212">
        <f t="shared" si="26"/>
        <v>5169351579.868228</v>
      </c>
    </row>
    <row r="200" spans="1:10" outlineLevel="2" x14ac:dyDescent="0.25">
      <c r="A200">
        <v>37602</v>
      </c>
      <c r="B200">
        <v>2017</v>
      </c>
      <c r="C200" s="258">
        <v>6.5</v>
      </c>
      <c r="D200" s="212">
        <v>45276685.229999997</v>
      </c>
      <c r="E200">
        <v>75</v>
      </c>
      <c r="F200">
        <v>69.177698000000007</v>
      </c>
      <c r="G200" s="90">
        <f>'Proposed Rates'!$O$19/100</f>
        <v>-0.4</v>
      </c>
      <c r="H200" s="212">
        <f t="shared" si="25"/>
        <v>4920804.6527359858</v>
      </c>
      <c r="I200" s="212">
        <f t="shared" si="26"/>
        <v>3132136857.2820005</v>
      </c>
    </row>
    <row r="201" spans="1:10" outlineLevel="2" x14ac:dyDescent="0.25">
      <c r="A201">
        <v>37602</v>
      </c>
      <c r="B201">
        <v>2016</v>
      </c>
      <c r="C201" s="258">
        <v>7.5</v>
      </c>
      <c r="D201" s="212">
        <v>38451693.170000002</v>
      </c>
      <c r="E201">
        <v>75</v>
      </c>
      <c r="F201">
        <v>68.294897000000006</v>
      </c>
      <c r="G201" s="90">
        <f>'Proposed Rates'!$O$19/100</f>
        <v>-0.4</v>
      </c>
      <c r="H201" s="212">
        <f t="shared" si="25"/>
        <v>4812687.8469459275</v>
      </c>
      <c r="I201" s="212">
        <f t="shared" si="26"/>
        <v>2626054424.5207539</v>
      </c>
    </row>
    <row r="202" spans="1:10" outlineLevel="2" x14ac:dyDescent="0.25">
      <c r="A202">
        <v>37602</v>
      </c>
      <c r="B202">
        <v>2015</v>
      </c>
      <c r="C202" s="258">
        <v>8.5</v>
      </c>
      <c r="D202" s="212">
        <v>31357194.48</v>
      </c>
      <c r="E202">
        <v>75</v>
      </c>
      <c r="F202">
        <v>67.416452000000007</v>
      </c>
      <c r="G202" s="90">
        <f>'Proposed Rates'!$O$19/100</f>
        <v>-0.4</v>
      </c>
      <c r="H202" s="212">
        <f t="shared" si="23"/>
        <v>4438910.7370424112</v>
      </c>
      <c r="I202" s="212">
        <f t="shared" si="24"/>
        <v>2113990796.5155852</v>
      </c>
    </row>
    <row r="203" spans="1:10" outlineLevel="2" x14ac:dyDescent="0.25">
      <c r="A203">
        <v>37602</v>
      </c>
      <c r="B203">
        <v>2014</v>
      </c>
      <c r="C203" s="258">
        <v>9.5</v>
      </c>
      <c r="D203" s="212">
        <v>28285033.16</v>
      </c>
      <c r="E203">
        <v>75</v>
      </c>
      <c r="F203">
        <v>66.541483999999997</v>
      </c>
      <c r="G203" s="90">
        <f>'Proposed Rates'!$O$19/100</f>
        <v>-0.4</v>
      </c>
      <c r="H203" s="212">
        <f t="shared" si="23"/>
        <v>4465988.9034952903</v>
      </c>
      <c r="I203" s="212">
        <f t="shared" si="24"/>
        <v>1882128081.4556093</v>
      </c>
    </row>
    <row r="204" spans="1:10" outlineLevel="2" x14ac:dyDescent="0.25">
      <c r="A204">
        <v>37602</v>
      </c>
      <c r="B204">
        <v>2013</v>
      </c>
      <c r="C204" s="258">
        <v>10.5</v>
      </c>
      <c r="D204" s="212">
        <v>26258034.18</v>
      </c>
      <c r="E204">
        <v>75</v>
      </c>
      <c r="F204">
        <v>65.670038000000005</v>
      </c>
      <c r="G204" s="90">
        <f>'Proposed Rates'!$O$19/100</f>
        <v>-0.4</v>
      </c>
      <c r="H204" s="212">
        <f t="shared" si="23"/>
        <v>4573080.6070898836</v>
      </c>
      <c r="I204" s="212">
        <f t="shared" si="24"/>
        <v>1724366102.405899</v>
      </c>
    </row>
    <row r="205" spans="1:10" outlineLevel="2" x14ac:dyDescent="0.25">
      <c r="A205">
        <v>37602</v>
      </c>
      <c r="B205">
        <v>2012</v>
      </c>
      <c r="C205" s="258">
        <v>11.5</v>
      </c>
      <c r="D205" s="212">
        <v>14871441.939999999</v>
      </c>
      <c r="E205">
        <v>75</v>
      </c>
      <c r="F205">
        <v>64.803188000000006</v>
      </c>
      <c r="G205" s="90">
        <f>'Proposed Rates'!$O$19/100</f>
        <v>-0.4</v>
      </c>
      <c r="H205" s="212">
        <f t="shared" si="23"/>
        <v>2830637.5557804443</v>
      </c>
      <c r="I205" s="212">
        <f t="shared" si="24"/>
        <v>963716847.86890483</v>
      </c>
    </row>
    <row r="206" spans="1:10" outlineLevel="2" x14ac:dyDescent="0.25">
      <c r="A206">
        <v>37602</v>
      </c>
      <c r="B206">
        <v>2011</v>
      </c>
      <c r="C206" s="258">
        <v>12.5</v>
      </c>
      <c r="D206" s="212">
        <v>24071220.66</v>
      </c>
      <c r="E206">
        <v>75</v>
      </c>
      <c r="F206">
        <v>63.939985999999998</v>
      </c>
      <c r="G206" s="90">
        <f>'Proposed Rates'!$O$19/100</f>
        <v>-0.4</v>
      </c>
      <c r="H206" s="212">
        <f t="shared" si="23"/>
        <v>4969590.0332715316</v>
      </c>
      <c r="I206" s="212">
        <f t="shared" si="24"/>
        <v>1539113512.0033107</v>
      </c>
    </row>
    <row r="207" spans="1:10" outlineLevel="2" x14ac:dyDescent="0.25">
      <c r="A207">
        <v>37602</v>
      </c>
      <c r="B207">
        <v>2010</v>
      </c>
      <c r="C207" s="258">
        <v>13.5</v>
      </c>
      <c r="D207" s="212">
        <v>26634303.5</v>
      </c>
      <c r="E207">
        <v>75</v>
      </c>
      <c r="F207">
        <v>63.080477999999999</v>
      </c>
      <c r="G207" s="90">
        <f>'Proposed Rates'!$O$19/100</f>
        <v>-0.4</v>
      </c>
      <c r="H207" s="212">
        <f t="shared" si="23"/>
        <v>5926072.4417613056</v>
      </c>
      <c r="I207" s="212">
        <f t="shared" si="24"/>
        <v>1680104595.977073</v>
      </c>
    </row>
    <row r="208" spans="1:10" outlineLevel="2" x14ac:dyDescent="0.25">
      <c r="A208">
        <v>37602</v>
      </c>
      <c r="B208">
        <v>2009</v>
      </c>
      <c r="C208" s="258">
        <v>14.5</v>
      </c>
      <c r="D208" s="212">
        <v>18994275.920000002</v>
      </c>
      <c r="E208">
        <v>75</v>
      </c>
      <c r="F208">
        <v>62.225791000000001</v>
      </c>
      <c r="G208" s="90">
        <f>'Proposed Rates'!$O$19/100</f>
        <v>-0.4</v>
      </c>
      <c r="H208" s="212">
        <f t="shared" si="23"/>
        <v>4529221.2075739494</v>
      </c>
      <c r="I208" s="212">
        <f t="shared" si="24"/>
        <v>1181933843.5942528</v>
      </c>
    </row>
    <row r="209" spans="1:9" outlineLevel="2" x14ac:dyDescent="0.25">
      <c r="A209">
        <v>37602</v>
      </c>
      <c r="B209">
        <v>2008</v>
      </c>
      <c r="C209" s="258">
        <v>15.5</v>
      </c>
      <c r="D209" s="212">
        <v>7944717.0899999999</v>
      </c>
      <c r="E209">
        <v>75</v>
      </c>
      <c r="F209">
        <v>61.374924999999998</v>
      </c>
      <c r="G209" s="90">
        <f>'Proposed Rates'!$O$19/100</f>
        <v>-0.4</v>
      </c>
      <c r="H209" s="212">
        <f t="shared" si="23"/>
        <v>2020617.5024939259</v>
      </c>
      <c r="I209" s="212">
        <f t="shared" si="24"/>
        <v>487606415.54496825</v>
      </c>
    </row>
    <row r="210" spans="1:9" outlineLevel="2" x14ac:dyDescent="0.25">
      <c r="A210">
        <v>37602</v>
      </c>
      <c r="B210">
        <v>2007</v>
      </c>
      <c r="C210" s="258">
        <v>16.5</v>
      </c>
      <c r="D210" s="212">
        <v>6910147.3399999999</v>
      </c>
      <c r="E210">
        <v>75</v>
      </c>
      <c r="F210">
        <v>60.527920000000002</v>
      </c>
      <c r="G210" s="90">
        <f>'Proposed Rates'!$O$19/100</f>
        <v>-0.4</v>
      </c>
      <c r="H210" s="212">
        <f t="shared" si="23"/>
        <v>1866745.162170321</v>
      </c>
      <c r="I210" s="212">
        <f t="shared" si="24"/>
        <v>418256845.3837328</v>
      </c>
    </row>
    <row r="211" spans="1:9" outlineLevel="2" x14ac:dyDescent="0.25">
      <c r="A211">
        <v>37602</v>
      </c>
      <c r="B211">
        <v>2006</v>
      </c>
      <c r="C211" s="258">
        <v>17.5</v>
      </c>
      <c r="D211" s="212">
        <v>5378166.4400000004</v>
      </c>
      <c r="E211">
        <v>75</v>
      </c>
      <c r="F211">
        <v>59.685966999999998</v>
      </c>
      <c r="G211" s="90">
        <f>'Proposed Rates'!$O$19/100</f>
        <v>-0.4</v>
      </c>
      <c r="H211" s="212">
        <f t="shared" si="23"/>
        <v>1537413.1423775142</v>
      </c>
      <c r="I211" s="212">
        <f t="shared" si="24"/>
        <v>321001064.65834749</v>
      </c>
    </row>
    <row r="212" spans="1:9" outlineLevel="2" x14ac:dyDescent="0.25">
      <c r="A212">
        <v>37602</v>
      </c>
      <c r="B212">
        <v>2005</v>
      </c>
      <c r="C212" s="258">
        <v>18.5</v>
      </c>
      <c r="D212" s="212">
        <v>6249606.4400000004</v>
      </c>
      <c r="E212">
        <v>75</v>
      </c>
      <c r="F212">
        <v>58.847999999999999</v>
      </c>
      <c r="G212" s="90">
        <f>'Proposed Rates'!$O$19/100</f>
        <v>-0.4</v>
      </c>
      <c r="H212" s="212">
        <f t="shared" si="23"/>
        <v>1884281.34008576</v>
      </c>
      <c r="I212" s="212">
        <f t="shared" si="24"/>
        <v>367776839.78112</v>
      </c>
    </row>
    <row r="213" spans="1:9" outlineLevel="2" x14ac:dyDescent="0.25">
      <c r="A213">
        <v>37602</v>
      </c>
      <c r="B213">
        <v>2004</v>
      </c>
      <c r="C213" s="258">
        <v>19.5</v>
      </c>
      <c r="D213" s="212">
        <v>8146684.54</v>
      </c>
      <c r="E213">
        <v>75</v>
      </c>
      <c r="F213">
        <v>58.014059000000003</v>
      </c>
      <c r="G213" s="90">
        <f>'Proposed Rates'!$O$19/100</f>
        <v>-0.4</v>
      </c>
      <c r="H213" s="212">
        <f t="shared" si="23"/>
        <v>2583076.5882516396</v>
      </c>
      <c r="I213" s="212">
        <f t="shared" si="24"/>
        <v>472622237.55794787</v>
      </c>
    </row>
    <row r="214" spans="1:9" outlineLevel="2" x14ac:dyDescent="0.25">
      <c r="A214">
        <v>37602</v>
      </c>
      <c r="B214">
        <v>2003</v>
      </c>
      <c r="C214" s="258">
        <v>20.5</v>
      </c>
      <c r="D214" s="212">
        <v>8943896.3300000001</v>
      </c>
      <c r="E214">
        <v>75</v>
      </c>
      <c r="F214">
        <v>57.185403000000001</v>
      </c>
      <c r="G214" s="90">
        <f>'Proposed Rates'!$O$19/100</f>
        <v>-0.4</v>
      </c>
      <c r="H214" s="212">
        <f t="shared" si="23"/>
        <v>2974195.6296029412</v>
      </c>
      <c r="I214" s="212">
        <f t="shared" si="24"/>
        <v>511460316.02127099</v>
      </c>
    </row>
    <row r="215" spans="1:9" outlineLevel="2" x14ac:dyDescent="0.25">
      <c r="A215">
        <v>37602</v>
      </c>
      <c r="B215">
        <v>2002</v>
      </c>
      <c r="C215" s="258">
        <v>21.5</v>
      </c>
      <c r="D215" s="212">
        <v>11905807.550000001</v>
      </c>
      <c r="E215">
        <v>75</v>
      </c>
      <c r="F215">
        <v>56.360895999999997</v>
      </c>
      <c r="G215" s="90">
        <f>'Proposed Rates'!$O$19/100</f>
        <v>-0.4</v>
      </c>
      <c r="H215" s="212">
        <f t="shared" si="23"/>
        <v>4142386.9223974571</v>
      </c>
      <c r="I215" s="212">
        <f t="shared" si="24"/>
        <v>671021981.12156475</v>
      </c>
    </row>
    <row r="216" spans="1:9" outlineLevel="2" x14ac:dyDescent="0.25">
      <c r="A216">
        <v>37602</v>
      </c>
      <c r="B216">
        <v>2001</v>
      </c>
      <c r="C216" s="258">
        <v>22.5</v>
      </c>
      <c r="D216" s="212">
        <v>21121786.010000002</v>
      </c>
      <c r="E216">
        <v>75</v>
      </c>
      <c r="F216">
        <v>55.540582000000001</v>
      </c>
      <c r="G216" s="90">
        <f>'Proposed Rates'!$O$19/100</f>
        <v>-0.4</v>
      </c>
      <c r="H216" s="212">
        <f t="shared" si="23"/>
        <v>7672329.7070026556</v>
      </c>
      <c r="I216" s="212">
        <f t="shared" si="24"/>
        <v>1173116287.8748579</v>
      </c>
    </row>
    <row r="217" spans="1:9" outlineLevel="2" x14ac:dyDescent="0.25">
      <c r="A217">
        <v>37602</v>
      </c>
      <c r="B217">
        <v>2000</v>
      </c>
      <c r="C217" s="258">
        <v>23.5</v>
      </c>
      <c r="D217" s="212">
        <v>27576457.640000001</v>
      </c>
      <c r="E217">
        <v>75</v>
      </c>
      <c r="F217">
        <v>54.725783</v>
      </c>
      <c r="G217" s="90">
        <f>'Proposed Rates'!$O$19/100</f>
        <v>-0.4</v>
      </c>
      <c r="H217" s="212">
        <f t="shared" si="23"/>
        <v>10436366.943980468</v>
      </c>
      <c r="I217" s="212">
        <f t="shared" si="24"/>
        <v>1509143236.715332</v>
      </c>
    </row>
    <row r="218" spans="1:9" outlineLevel="2" x14ac:dyDescent="0.25">
      <c r="A218">
        <v>37602</v>
      </c>
      <c r="B218">
        <v>1999</v>
      </c>
      <c r="C218" s="258">
        <v>24.5</v>
      </c>
      <c r="D218" s="212">
        <v>19584429.75</v>
      </c>
      <c r="E218">
        <v>75</v>
      </c>
      <c r="F218">
        <v>53.915304999999996</v>
      </c>
      <c r="G218" s="90">
        <f>'Proposed Rates'!$O$19/100</f>
        <v>-0.4</v>
      </c>
      <c r="H218" s="212">
        <f t="shared" si="23"/>
        <v>7708058.9231832912</v>
      </c>
      <c r="I218" s="212">
        <f t="shared" si="24"/>
        <v>1055900503.2223237</v>
      </c>
    </row>
    <row r="219" spans="1:9" outlineLevel="2" x14ac:dyDescent="0.25">
      <c r="A219">
        <v>37602</v>
      </c>
      <c r="B219">
        <v>1998</v>
      </c>
      <c r="C219" s="258">
        <v>25.5</v>
      </c>
      <c r="D219" s="212">
        <v>14972124.220000001</v>
      </c>
      <c r="E219">
        <v>75</v>
      </c>
      <c r="F219">
        <v>53.109181</v>
      </c>
      <c r="G219" s="90">
        <f>'Proposed Rates'!$O$19/100</f>
        <v>-0.4</v>
      </c>
      <c r="H219" s="212">
        <f t="shared" si="23"/>
        <v>6118038.4784500077</v>
      </c>
      <c r="I219" s="212">
        <f t="shared" si="24"/>
        <v>795157255.15446389</v>
      </c>
    </row>
    <row r="220" spans="1:9" outlineLevel="2" x14ac:dyDescent="0.25">
      <c r="A220">
        <v>37602</v>
      </c>
      <c r="B220">
        <v>1997</v>
      </c>
      <c r="C220" s="258">
        <v>26.5</v>
      </c>
      <c r="D220" s="212">
        <v>8036782.1699999999</v>
      </c>
      <c r="E220">
        <v>75</v>
      </c>
      <c r="F220">
        <v>52.308807000000002</v>
      </c>
      <c r="G220" s="90">
        <f>'Proposed Rates'!$O$19/100</f>
        <v>-0.4</v>
      </c>
      <c r="H220" s="212">
        <f t="shared" si="23"/>
        <v>3404131.27261067</v>
      </c>
      <c r="I220" s="212">
        <f t="shared" si="24"/>
        <v>420394487.43157119</v>
      </c>
    </row>
    <row r="221" spans="1:9" outlineLevel="2" x14ac:dyDescent="0.25">
      <c r="A221">
        <v>37602</v>
      </c>
      <c r="B221">
        <v>1996</v>
      </c>
      <c r="C221" s="258">
        <v>27.5</v>
      </c>
      <c r="D221" s="212">
        <v>5350740.22</v>
      </c>
      <c r="E221">
        <v>75</v>
      </c>
      <c r="F221">
        <v>51.512918999999997</v>
      </c>
      <c r="G221" s="90">
        <f>'Proposed Rates'!$O$19/100</f>
        <v>-0.4</v>
      </c>
      <c r="H221" s="212">
        <f t="shared" si="23"/>
        <v>2345901.020532493</v>
      </c>
      <c r="I221" s="212">
        <f t="shared" si="24"/>
        <v>275632247.54290217</v>
      </c>
    </row>
    <row r="222" spans="1:9" outlineLevel="2" x14ac:dyDescent="0.25">
      <c r="A222">
        <v>37602</v>
      </c>
      <c r="B222">
        <v>1995</v>
      </c>
      <c r="C222" s="258">
        <v>28.5</v>
      </c>
      <c r="D222" s="212">
        <v>7486976.8200000003</v>
      </c>
      <c r="E222">
        <v>75</v>
      </c>
      <c r="F222">
        <v>50.721558999999999</v>
      </c>
      <c r="G222" s="90">
        <f>'Proposed Rates'!$O$19/100</f>
        <v>-0.4</v>
      </c>
      <c r="H222" s="212">
        <f t="shared" si="23"/>
        <v>3393079.6665311027</v>
      </c>
      <c r="I222" s="212">
        <f t="shared" si="24"/>
        <v>379751136.50726241</v>
      </c>
    </row>
    <row r="223" spans="1:9" outlineLevel="2" x14ac:dyDescent="0.25">
      <c r="A223">
        <v>37602</v>
      </c>
      <c r="B223">
        <v>1994</v>
      </c>
      <c r="C223" s="258">
        <v>29.5</v>
      </c>
      <c r="D223" s="212">
        <v>6542540.9100000001</v>
      </c>
      <c r="E223">
        <v>75</v>
      </c>
      <c r="F223">
        <v>49.936185000000002</v>
      </c>
      <c r="G223" s="90">
        <f>'Proposed Rates'!$O$19/100</f>
        <v>-0.4</v>
      </c>
      <c r="H223" s="212">
        <f t="shared" si="23"/>
        <v>3060979.3199658701</v>
      </c>
      <c r="I223" s="212">
        <f t="shared" si="24"/>
        <v>326709533.25182837</v>
      </c>
    </row>
    <row r="224" spans="1:9" outlineLevel="2" x14ac:dyDescent="0.25">
      <c r="A224">
        <v>37602</v>
      </c>
      <c r="B224">
        <v>1993</v>
      </c>
      <c r="C224" s="258">
        <v>30.5</v>
      </c>
      <c r="D224" s="212">
        <v>6142817.8099999996</v>
      </c>
      <c r="E224">
        <v>75</v>
      </c>
      <c r="F224">
        <v>49.155473000000001</v>
      </c>
      <c r="G224" s="90">
        <f>'Proposed Rates'!$O$19/100</f>
        <v>-0.4</v>
      </c>
      <c r="H224" s="212">
        <f t="shared" si="23"/>
        <v>2963486.7872703495</v>
      </c>
      <c r="I224" s="212">
        <f t="shared" si="24"/>
        <v>301953115.0033741</v>
      </c>
    </row>
    <row r="225" spans="1:10" outlineLevel="2" x14ac:dyDescent="0.25">
      <c r="A225">
        <v>37602</v>
      </c>
      <c r="B225">
        <v>1992</v>
      </c>
      <c r="C225" s="258">
        <v>31.5</v>
      </c>
      <c r="D225" s="212">
        <v>3329178.01</v>
      </c>
      <c r="E225">
        <v>75</v>
      </c>
      <c r="F225">
        <v>48.379455</v>
      </c>
      <c r="G225" s="90">
        <f>'Proposed Rates'!$O$19/100</f>
        <v>-0.4</v>
      </c>
      <c r="H225" s="212">
        <f t="shared" si="23"/>
        <v>1654324.6165266884</v>
      </c>
      <c r="I225" s="212">
        <f t="shared" si="24"/>
        <v>161063817.72178453</v>
      </c>
    </row>
    <row r="226" spans="1:10" outlineLevel="2" x14ac:dyDescent="0.25">
      <c r="A226">
        <v>37602</v>
      </c>
      <c r="B226">
        <v>1991</v>
      </c>
      <c r="C226" s="258">
        <v>32.5</v>
      </c>
      <c r="D226" s="212">
        <v>3499272.57</v>
      </c>
      <c r="E226">
        <v>75</v>
      </c>
      <c r="F226">
        <v>47.609673000000001</v>
      </c>
      <c r="G226" s="90">
        <f>'Proposed Rates'!$O$19/100</f>
        <v>-0.4</v>
      </c>
      <c r="H226" s="212">
        <f t="shared" si="23"/>
        <v>1789129.4391493672</v>
      </c>
      <c r="I226" s="212">
        <f t="shared" si="24"/>
        <v>166599222.7955696</v>
      </c>
    </row>
    <row r="227" spans="1:10" outlineLevel="2" x14ac:dyDescent="0.25">
      <c r="A227">
        <v>37602</v>
      </c>
      <c r="B227">
        <v>1990</v>
      </c>
      <c r="C227" s="258">
        <v>33.5</v>
      </c>
      <c r="D227" s="212">
        <v>7581835.6200000001</v>
      </c>
      <c r="E227">
        <v>75</v>
      </c>
      <c r="F227">
        <v>46.844731000000003</v>
      </c>
      <c r="G227" s="90">
        <f>'Proposed Rates'!$O$19/100</f>
        <v>-0.4</v>
      </c>
      <c r="H227" s="212">
        <f t="shared" ref="H227" si="27">+D227*(1-F227/E227)*(1-G227)</f>
        <v>3984747.5993711255</v>
      </c>
      <c r="I227" s="212">
        <f t="shared" ref="I227" si="28">+D227*F227</f>
        <v>355169050.10511827</v>
      </c>
    </row>
    <row r="228" spans="1:10" outlineLevel="2" x14ac:dyDescent="0.25">
      <c r="A228">
        <v>37602</v>
      </c>
      <c r="B228">
        <v>1989</v>
      </c>
      <c r="C228" s="258">
        <v>34.5</v>
      </c>
      <c r="D228" s="212">
        <v>4475620.18</v>
      </c>
      <c r="E228">
        <v>75</v>
      </c>
      <c r="F228">
        <v>46.084665000000001</v>
      </c>
      <c r="G228" s="90">
        <f>'Proposed Rates'!$O$19/100</f>
        <v>-0.4</v>
      </c>
      <c r="H228" s="212">
        <f t="shared" si="23"/>
        <v>2415729.060965925</v>
      </c>
      <c r="I228" s="212">
        <f t="shared" si="24"/>
        <v>206257456.66253969</v>
      </c>
    </row>
    <row r="229" spans="1:10" outlineLevel="2" x14ac:dyDescent="0.25">
      <c r="A229">
        <v>37602</v>
      </c>
      <c r="B229">
        <v>1988</v>
      </c>
      <c r="C229" s="258">
        <v>35.5</v>
      </c>
      <c r="D229" s="212">
        <v>5109774.71</v>
      </c>
      <c r="E229">
        <v>75</v>
      </c>
      <c r="F229">
        <v>45.331086999999997</v>
      </c>
      <c r="G229" s="90">
        <f>'Proposed Rates'!$O$19/100</f>
        <v>-0.4</v>
      </c>
      <c r="H229" s="212">
        <f t="shared" si="23"/>
        <v>2829893.9446510174</v>
      </c>
      <c r="I229" s="212">
        <f t="shared" si="24"/>
        <v>231631641.92940974</v>
      </c>
    </row>
    <row r="230" spans="1:10" outlineLevel="2" x14ac:dyDescent="0.25">
      <c r="A230">
        <v>37602</v>
      </c>
      <c r="B230">
        <v>1987</v>
      </c>
      <c r="C230" s="258">
        <v>36.5</v>
      </c>
      <c r="D230" s="212">
        <v>4162947.95</v>
      </c>
      <c r="E230">
        <v>75</v>
      </c>
      <c r="F230">
        <v>44.582532</v>
      </c>
      <c r="G230" s="90">
        <f>'Proposed Rates'!$O$19/100</f>
        <v>-0.4</v>
      </c>
      <c r="H230" s="212">
        <f t="shared" si="23"/>
        <v>2363691.6063560909</v>
      </c>
      <c r="I230" s="212">
        <f t="shared" si="24"/>
        <v>185594760.19520941</v>
      </c>
    </row>
    <row r="231" spans="1:10" outlineLevel="2" x14ac:dyDescent="0.25">
      <c r="A231">
        <v>37602</v>
      </c>
      <c r="B231">
        <v>1986</v>
      </c>
      <c r="C231" s="258">
        <v>37.5</v>
      </c>
      <c r="D231" s="212">
        <v>4467074.0599999996</v>
      </c>
      <c r="E231">
        <v>75</v>
      </c>
      <c r="F231">
        <v>43.839041000000002</v>
      </c>
      <c r="G231" s="90">
        <f>'Proposed Rates'!$O$19/100</f>
        <v>-0.4</v>
      </c>
      <c r="H231" s="212">
        <f t="shared" si="23"/>
        <v>2598368.4838276394</v>
      </c>
      <c r="I231" s="212">
        <f t="shared" si="24"/>
        <v>195832242.86637646</v>
      </c>
    </row>
    <row r="232" spans="1:10" ht="13" outlineLevel="1" x14ac:dyDescent="0.3">
      <c r="A232" s="18" t="s">
        <v>1182</v>
      </c>
      <c r="C232" s="258"/>
      <c r="D232" s="212">
        <f>SUBTOTAL(9,D194:D231)</f>
        <v>961474232.54999995</v>
      </c>
      <c r="H232" s="212">
        <f>SUBTOTAL(9,H194:H231)</f>
        <v>142870634.97265488</v>
      </c>
      <c r="I232" s="212">
        <f>SUBTOTAL(9,I194:I231)</f>
        <v>64456783424.857773</v>
      </c>
      <c r="J232" s="212">
        <f>+I232/D232</f>
        <v>67.039532878491158</v>
      </c>
    </row>
    <row r="233" spans="1:10" outlineLevel="1" x14ac:dyDescent="0.25">
      <c r="A233">
        <v>37700</v>
      </c>
      <c r="B233">
        <v>2022</v>
      </c>
      <c r="C233" s="258">
        <v>1.5</v>
      </c>
      <c r="D233" s="212">
        <v>95350.33</v>
      </c>
      <c r="E233">
        <v>35</v>
      </c>
      <c r="F233">
        <v>33.647962</v>
      </c>
      <c r="G233" s="90">
        <f>'Proposed Rates'!$O$47/100</f>
        <v>0</v>
      </c>
      <c r="H233" s="212">
        <f t="shared" ref="H233" si="29">+D233*(1-F233/E233)*(1-G233)</f>
        <v>3683.3505563582867</v>
      </c>
      <c r="I233" s="212">
        <f t="shared" ref="I233" si="30">+D233*F233</f>
        <v>3208344.2805274599</v>
      </c>
    </row>
    <row r="234" spans="1:10" outlineLevel="1" x14ac:dyDescent="0.25">
      <c r="A234">
        <v>37700</v>
      </c>
      <c r="B234">
        <v>2021</v>
      </c>
      <c r="C234" s="258">
        <v>2.5</v>
      </c>
      <c r="D234" s="212">
        <v>19091947.57</v>
      </c>
      <c r="E234">
        <v>35</v>
      </c>
      <c r="F234">
        <v>32.755657999999997</v>
      </c>
      <c r="G234" s="90">
        <f>'Proposed Rates'!$O$47/100</f>
        <v>0</v>
      </c>
      <c r="H234" s="212">
        <f t="shared" ref="H234" si="31">+D234*(1-F234/E234)*(1-G234)</f>
        <v>1224253.1369471133</v>
      </c>
      <c r="I234" s="212">
        <f t="shared" ref="I234" si="32">+D234*F234</f>
        <v>625369305.15685105</v>
      </c>
    </row>
    <row r="235" spans="1:10" ht="13" outlineLevel="1" x14ac:dyDescent="0.3">
      <c r="A235" s="18" t="s">
        <v>1250</v>
      </c>
      <c r="C235" s="258"/>
      <c r="D235" s="212">
        <f>SUBTOTAL(9,D233:D234)</f>
        <v>19187297.899999999</v>
      </c>
      <c r="H235" s="212">
        <f>SUBTOTAL(9,H233:H234)</f>
        <v>1227936.4875034716</v>
      </c>
      <c r="I235" s="212">
        <f>SUBTOTAL(9,I233:I234)</f>
        <v>628577649.43737853</v>
      </c>
      <c r="J235" s="212">
        <f>+I235/D235</f>
        <v>32.760092260691827</v>
      </c>
    </row>
    <row r="236" spans="1:10" ht="13" outlineLevel="1" x14ac:dyDescent="0.3">
      <c r="A236" s="18"/>
      <c r="C236" s="258"/>
    </row>
    <row r="237" spans="1:10" outlineLevel="2" x14ac:dyDescent="0.25">
      <c r="A237">
        <v>37800</v>
      </c>
      <c r="B237">
        <v>2023</v>
      </c>
      <c r="C237" s="258">
        <v>0.5</v>
      </c>
      <c r="D237" s="212">
        <v>21743.29</v>
      </c>
      <c r="E237">
        <v>40</v>
      </c>
      <c r="F237">
        <v>39.588211999999999</v>
      </c>
      <c r="G237" s="90">
        <f>'Proposed Rates'!$O$21/100</f>
        <v>-0.2</v>
      </c>
      <c r="H237" s="212">
        <f t="shared" ref="H237:H268" si="33">+D237*(1-F237/E237)*(1-G237)</f>
        <v>268.60877707559973</v>
      </c>
      <c r="I237" s="212">
        <f t="shared" ref="I237:I268" si="34">+D237*F237</f>
        <v>860777.97409747995</v>
      </c>
    </row>
    <row r="238" spans="1:10" outlineLevel="2" x14ac:dyDescent="0.25">
      <c r="A238">
        <v>37800</v>
      </c>
      <c r="B238">
        <v>2022</v>
      </c>
      <c r="C238" s="258">
        <v>1.5</v>
      </c>
      <c r="D238" s="212">
        <v>934794.95</v>
      </c>
      <c r="E238">
        <v>40</v>
      </c>
      <c r="F238">
        <v>38.768683000000003</v>
      </c>
      <c r="G238" s="90">
        <f>'Proposed Rates'!$O$21/100</f>
        <v>-0.2</v>
      </c>
      <c r="H238" s="212">
        <f t="shared" si="33"/>
        <v>34530.867403474389</v>
      </c>
      <c r="I238" s="212">
        <f t="shared" si="34"/>
        <v>36240769.086550854</v>
      </c>
    </row>
    <row r="239" spans="1:10" outlineLevel="2" x14ac:dyDescent="0.25">
      <c r="A239">
        <v>37800</v>
      </c>
      <c r="B239">
        <v>2021</v>
      </c>
      <c r="C239" s="258">
        <v>2.5</v>
      </c>
      <c r="D239" s="212">
        <v>732413.23</v>
      </c>
      <c r="E239">
        <v>40</v>
      </c>
      <c r="F239">
        <v>37.954892000000001</v>
      </c>
      <c r="G239" s="90">
        <f>'Proposed Rates'!$O$21/100</f>
        <v>-0.2</v>
      </c>
      <c r="H239" s="212">
        <f t="shared" si="33"/>
        <v>44935.924679365191</v>
      </c>
      <c r="I239" s="212">
        <f t="shared" si="34"/>
        <v>27798665.044021159</v>
      </c>
    </row>
    <row r="240" spans="1:10" outlineLevel="2" x14ac:dyDescent="0.25">
      <c r="A240">
        <v>37800</v>
      </c>
      <c r="B240">
        <v>2020</v>
      </c>
      <c r="C240" s="258">
        <v>3.5</v>
      </c>
      <c r="D240" s="212">
        <v>2207938.5499999998</v>
      </c>
      <c r="E240">
        <v>40</v>
      </c>
      <c r="F240">
        <v>37.146861000000001</v>
      </c>
      <c r="G240" s="90">
        <f>'Proposed Rates'!$O$21/100</f>
        <v>-0.2</v>
      </c>
      <c r="H240" s="212">
        <f t="shared" si="33"/>
        <v>188986.66759825332</v>
      </c>
      <c r="I240" s="212">
        <f t="shared" si="34"/>
        <v>82017986.413391545</v>
      </c>
    </row>
    <row r="241" spans="1:9" outlineLevel="2" x14ac:dyDescent="0.25">
      <c r="A241">
        <v>37800</v>
      </c>
      <c r="B241">
        <v>2019</v>
      </c>
      <c r="C241" s="258">
        <v>4.5</v>
      </c>
      <c r="D241" s="212">
        <v>1486548.86</v>
      </c>
      <c r="E241">
        <v>40</v>
      </c>
      <c r="F241">
        <v>36.344627000000003</v>
      </c>
      <c r="G241" s="90">
        <f>'Proposed Rates'!$O$21/100</f>
        <v>-0.2</v>
      </c>
      <c r="H241" s="212">
        <f t="shared" si="33"/>
        <v>163016.71698074331</v>
      </c>
      <c r="I241" s="212">
        <f t="shared" si="34"/>
        <v>54028063.833975226</v>
      </c>
    </row>
    <row r="242" spans="1:9" outlineLevel="2" x14ac:dyDescent="0.25">
      <c r="A242">
        <v>37800</v>
      </c>
      <c r="B242">
        <v>2018</v>
      </c>
      <c r="C242" s="258">
        <v>5.5</v>
      </c>
      <c r="D242" s="212">
        <v>1427896.11</v>
      </c>
      <c r="E242">
        <v>40</v>
      </c>
      <c r="F242">
        <v>35.548211999999999</v>
      </c>
      <c r="G242" s="90">
        <f>'Proposed Rates'!$O$21/100</f>
        <v>-0.2</v>
      </c>
      <c r="H242" s="212">
        <f t="shared" si="33"/>
        <v>190700.72303234035</v>
      </c>
      <c r="I242" s="212">
        <f t="shared" si="34"/>
        <v>50759153.632255323</v>
      </c>
    </row>
    <row r="243" spans="1:9" outlineLevel="2" x14ac:dyDescent="0.25">
      <c r="A243">
        <v>37800</v>
      </c>
      <c r="B243">
        <v>2017</v>
      </c>
      <c r="C243" s="258">
        <v>6.5</v>
      </c>
      <c r="D243" s="212">
        <v>1222336.23</v>
      </c>
      <c r="E243">
        <v>40</v>
      </c>
      <c r="F243">
        <v>34.757646000000001</v>
      </c>
      <c r="G243" s="90">
        <f>'Proposed Rates'!$O$21/100</f>
        <v>-0.2</v>
      </c>
      <c r="H243" s="212">
        <f t="shared" si="33"/>
        <v>192237.57674056254</v>
      </c>
      <c r="I243" s="212">
        <f t="shared" si="34"/>
        <v>42485529.97531458</v>
      </c>
    </row>
    <row r="244" spans="1:9" outlineLevel="2" x14ac:dyDescent="0.25">
      <c r="A244">
        <v>37800</v>
      </c>
      <c r="B244">
        <v>2016</v>
      </c>
      <c r="C244" s="258">
        <v>7.5</v>
      </c>
      <c r="D244" s="212">
        <v>1293894.3700000001</v>
      </c>
      <c r="E244">
        <v>40</v>
      </c>
      <c r="F244">
        <v>33.972949999999997</v>
      </c>
      <c r="G244" s="90">
        <f>'Proposed Rates'!$O$21/100</f>
        <v>-0.2</v>
      </c>
      <c r="H244" s="212">
        <f t="shared" si="33"/>
        <v>233950.98188125511</v>
      </c>
      <c r="I244" s="212">
        <f t="shared" si="34"/>
        <v>43957408.7372915</v>
      </c>
    </row>
    <row r="245" spans="1:9" outlineLevel="2" x14ac:dyDescent="0.25">
      <c r="A245">
        <v>37800</v>
      </c>
      <c r="B245">
        <v>2015</v>
      </c>
      <c r="C245" s="258">
        <v>8.5</v>
      </c>
      <c r="D245" s="212">
        <v>1366134</v>
      </c>
      <c r="E245">
        <v>40</v>
      </c>
      <c r="F245">
        <v>33.194161000000001</v>
      </c>
      <c r="G245" s="90">
        <f>'Proposed Rates'!$O$21/100</f>
        <v>-0.2</v>
      </c>
      <c r="H245" s="212">
        <f t="shared" si="33"/>
        <v>278930.6416927799</v>
      </c>
      <c r="I245" s="212">
        <f t="shared" si="34"/>
        <v>45347671.943574004</v>
      </c>
    </row>
    <row r="246" spans="1:9" outlineLevel="2" x14ac:dyDescent="0.25">
      <c r="A246">
        <v>37800</v>
      </c>
      <c r="B246">
        <v>2014</v>
      </c>
      <c r="C246" s="258">
        <v>9.5</v>
      </c>
      <c r="D246" s="212">
        <v>1387932.14</v>
      </c>
      <c r="E246">
        <v>40</v>
      </c>
      <c r="F246">
        <v>32.421298999999998</v>
      </c>
      <c r="G246" s="90">
        <f>'Proposed Rates'!$O$21/100</f>
        <v>-0.2</v>
      </c>
      <c r="H246" s="212">
        <f t="shared" si="33"/>
        <v>315561.68092050427</v>
      </c>
      <c r="I246" s="212">
        <f t="shared" si="34"/>
        <v>44998562.902649857</v>
      </c>
    </row>
    <row r="247" spans="1:9" outlineLevel="2" x14ac:dyDescent="0.25">
      <c r="A247">
        <v>37800</v>
      </c>
      <c r="B247">
        <v>2013</v>
      </c>
      <c r="C247" s="258">
        <v>10.5</v>
      </c>
      <c r="D247" s="212">
        <v>1294693.44</v>
      </c>
      <c r="E247">
        <v>40</v>
      </c>
      <c r="F247">
        <v>31.654398</v>
      </c>
      <c r="G247" s="90">
        <f>'Proposed Rates'!$O$21/100</f>
        <v>-0.2</v>
      </c>
      <c r="H247" s="212">
        <f t="shared" si="33"/>
        <v>324149.8848675263</v>
      </c>
      <c r="I247" s="212">
        <f t="shared" si="34"/>
        <v>40982741.437749118</v>
      </c>
    </row>
    <row r="248" spans="1:9" outlineLevel="2" x14ac:dyDescent="0.25">
      <c r="A248">
        <v>37800</v>
      </c>
      <c r="B248">
        <v>2012</v>
      </c>
      <c r="C248" s="258">
        <v>11.5</v>
      </c>
      <c r="D248" s="212">
        <v>2369059.25</v>
      </c>
      <c r="E248">
        <v>40</v>
      </c>
      <c r="F248">
        <v>30.893483</v>
      </c>
      <c r="G248" s="90">
        <f>'Proposed Rates'!$O$21/100</f>
        <v>-0.2</v>
      </c>
      <c r="H248" s="212">
        <f t="shared" si="33"/>
        <v>647216.35002396733</v>
      </c>
      <c r="I248" s="212">
        <f t="shared" si="34"/>
        <v>73188491.665867746</v>
      </c>
    </row>
    <row r="249" spans="1:9" outlineLevel="2" x14ac:dyDescent="0.25">
      <c r="A249">
        <v>37800</v>
      </c>
      <c r="B249">
        <v>2011</v>
      </c>
      <c r="C249" s="258">
        <v>12.5</v>
      </c>
      <c r="D249" s="212">
        <v>666370.71</v>
      </c>
      <c r="E249">
        <v>40</v>
      </c>
      <c r="F249">
        <v>30.138617</v>
      </c>
      <c r="G249" s="90">
        <f>'Proposed Rates'!$O$21/100</f>
        <v>-0.2</v>
      </c>
      <c r="H249" s="212">
        <f t="shared" si="33"/>
        <v>197140.10373875787</v>
      </c>
      <c r="I249" s="212">
        <f t="shared" si="34"/>
        <v>20083491.608708069</v>
      </c>
    </row>
    <row r="250" spans="1:9" outlineLevel="2" x14ac:dyDescent="0.25">
      <c r="A250">
        <v>37800</v>
      </c>
      <c r="B250">
        <v>2010</v>
      </c>
      <c r="C250" s="258">
        <v>13.5</v>
      </c>
      <c r="D250" s="212">
        <v>321507.76</v>
      </c>
      <c r="E250">
        <v>40</v>
      </c>
      <c r="F250">
        <v>29.389942999999999</v>
      </c>
      <c r="G250" s="90">
        <f>'Proposed Rates'!$O$21/100</f>
        <v>-0.2</v>
      </c>
      <c r="H250" s="212">
        <f t="shared" si="33"/>
        <v>102336.4697862696</v>
      </c>
      <c r="I250" s="212">
        <f t="shared" si="34"/>
        <v>9449094.7404576801</v>
      </c>
    </row>
    <row r="251" spans="1:9" outlineLevel="2" x14ac:dyDescent="0.25">
      <c r="A251">
        <v>37800</v>
      </c>
      <c r="B251">
        <v>2009</v>
      </c>
      <c r="C251" s="258">
        <v>14.5</v>
      </c>
      <c r="D251" s="212">
        <v>517632.34</v>
      </c>
      <c r="E251">
        <v>40</v>
      </c>
      <c r="F251">
        <v>28.647677000000002</v>
      </c>
      <c r="G251" s="90">
        <f>'Proposed Rates'!$O$21/100</f>
        <v>-0.2</v>
      </c>
      <c r="H251" s="212">
        <f t="shared" si="33"/>
        <v>176289.88556777456</v>
      </c>
      <c r="I251" s="212">
        <f t="shared" si="34"/>
        <v>14828964.081074182</v>
      </c>
    </row>
    <row r="252" spans="1:9" outlineLevel="2" x14ac:dyDescent="0.25">
      <c r="A252">
        <v>37800</v>
      </c>
      <c r="B252">
        <v>2008</v>
      </c>
      <c r="C252" s="258">
        <v>15.5</v>
      </c>
      <c r="D252" s="212">
        <v>142509.41</v>
      </c>
      <c r="E252">
        <v>40</v>
      </c>
      <c r="F252">
        <v>27.912089000000002</v>
      </c>
      <c r="G252" s="90">
        <f>'Proposed Rates'!$O$21/100</f>
        <v>-0.2</v>
      </c>
      <c r="H252" s="212">
        <f t="shared" si="33"/>
        <v>51679.231942275299</v>
      </c>
      <c r="I252" s="212">
        <f t="shared" si="34"/>
        <v>3977735.3352574902</v>
      </c>
    </row>
    <row r="253" spans="1:9" outlineLevel="2" x14ac:dyDescent="0.25">
      <c r="A253">
        <v>37800</v>
      </c>
      <c r="B253">
        <v>2007</v>
      </c>
      <c r="C253" s="258">
        <v>16.5</v>
      </c>
      <c r="D253" s="212">
        <v>366208.4</v>
      </c>
      <c r="E253">
        <v>40</v>
      </c>
      <c r="F253">
        <v>27.183475999999999</v>
      </c>
      <c r="G253" s="90">
        <f>'Proposed Rates'!$O$21/100</f>
        <v>-0.2</v>
      </c>
      <c r="H253" s="212">
        <f t="shared" si="33"/>
        <v>140805.562428048</v>
      </c>
      <c r="I253" s="212">
        <f t="shared" si="34"/>
        <v>9954817.2523983996</v>
      </c>
    </row>
    <row r="254" spans="1:9" outlineLevel="2" x14ac:dyDescent="0.25">
      <c r="A254">
        <v>37800</v>
      </c>
      <c r="B254">
        <v>2006</v>
      </c>
      <c r="C254" s="258">
        <v>17.5</v>
      </c>
      <c r="D254" s="212">
        <v>121820.04</v>
      </c>
      <c r="E254">
        <v>40</v>
      </c>
      <c r="F254">
        <v>26.462157999999999</v>
      </c>
      <c r="G254" s="90">
        <f>'Proposed Rates'!$O$21/100</f>
        <v>-0.2</v>
      </c>
      <c r="H254" s="212">
        <f t="shared" si="33"/>
        <v>49475.413618610401</v>
      </c>
      <c r="I254" s="212">
        <f t="shared" si="34"/>
        <v>3223621.1460463195</v>
      </c>
    </row>
    <row r="255" spans="1:9" outlineLevel="2" x14ac:dyDescent="0.25">
      <c r="A255">
        <v>37800</v>
      </c>
      <c r="B255">
        <v>2005</v>
      </c>
      <c r="C255" s="258">
        <v>18.5</v>
      </c>
      <c r="D255" s="212">
        <v>217180.49</v>
      </c>
      <c r="E255">
        <v>40</v>
      </c>
      <c r="F255">
        <v>25.748477000000001</v>
      </c>
      <c r="G255" s="90">
        <f>'Proposed Rates'!$O$21/100</f>
        <v>-0.2</v>
      </c>
      <c r="H255" s="212">
        <f t="shared" si="33"/>
        <v>92854.582451588067</v>
      </c>
      <c r="I255" s="212">
        <f t="shared" si="34"/>
        <v>5592066.8516137302</v>
      </c>
    </row>
    <row r="256" spans="1:9" outlineLevel="2" x14ac:dyDescent="0.25">
      <c r="A256">
        <v>37800</v>
      </c>
      <c r="B256">
        <v>2004</v>
      </c>
      <c r="C256" s="258">
        <v>19.5</v>
      </c>
      <c r="D256" s="212">
        <v>129549.57</v>
      </c>
      <c r="E256">
        <v>40</v>
      </c>
      <c r="F256">
        <v>25.042767000000001</v>
      </c>
      <c r="G256" s="90">
        <f>'Proposed Rates'!$O$21/100</f>
        <v>-0.2</v>
      </c>
      <c r="H256" s="212">
        <f t="shared" si="33"/>
        <v>58131.09310619429</v>
      </c>
      <c r="I256" s="212">
        <f t="shared" si="34"/>
        <v>3244279.6964601902</v>
      </c>
    </row>
    <row r="257" spans="1:9" outlineLevel="2" x14ac:dyDescent="0.25">
      <c r="A257">
        <v>37800</v>
      </c>
      <c r="B257">
        <v>2003</v>
      </c>
      <c r="C257" s="258">
        <v>20.5</v>
      </c>
      <c r="D257" s="212">
        <v>352362.69</v>
      </c>
      <c r="E257">
        <v>40</v>
      </c>
      <c r="F257">
        <v>24.345381</v>
      </c>
      <c r="G257" s="90">
        <f>'Proposed Rates'!$O$21/100</f>
        <v>-0.2</v>
      </c>
      <c r="H257" s="212">
        <f t="shared" si="33"/>
        <v>165483.10985295326</v>
      </c>
      <c r="I257" s="212">
        <f t="shared" si="34"/>
        <v>8578403.9382348899</v>
      </c>
    </row>
    <row r="258" spans="1:9" outlineLevel="2" x14ac:dyDescent="0.25">
      <c r="A258">
        <v>37800</v>
      </c>
      <c r="B258">
        <v>2002</v>
      </c>
      <c r="C258" s="258">
        <v>21.5</v>
      </c>
      <c r="D258" s="212">
        <v>344875.97</v>
      </c>
      <c r="E258">
        <v>40</v>
      </c>
      <c r="F258">
        <v>23.656663000000002</v>
      </c>
      <c r="G258" s="90">
        <f>'Proposed Rates'!$O$21/100</f>
        <v>-0.2</v>
      </c>
      <c r="H258" s="212">
        <f t="shared" si="33"/>
        <v>169092.72602735669</v>
      </c>
      <c r="I258" s="212">
        <f t="shared" si="34"/>
        <v>8158614.59908811</v>
      </c>
    </row>
    <row r="259" spans="1:9" outlineLevel="2" x14ac:dyDescent="0.25">
      <c r="A259">
        <v>37800</v>
      </c>
      <c r="B259">
        <v>2001</v>
      </c>
      <c r="C259" s="258">
        <v>22.5</v>
      </c>
      <c r="D259" s="212">
        <v>774670.69</v>
      </c>
      <c r="E259">
        <v>40</v>
      </c>
      <c r="F259">
        <v>22.976959000000001</v>
      </c>
      <c r="G259" s="90">
        <f>'Proposed Rates'!$O$21/100</f>
        <v>-0.2</v>
      </c>
      <c r="H259" s="212">
        <f t="shared" si="33"/>
        <v>395617.52752104867</v>
      </c>
      <c r="I259" s="212">
        <f t="shared" si="34"/>
        <v>17799576.682631709</v>
      </c>
    </row>
    <row r="260" spans="1:9" outlineLevel="2" x14ac:dyDescent="0.25">
      <c r="A260">
        <v>37800</v>
      </c>
      <c r="B260">
        <v>2000</v>
      </c>
      <c r="C260" s="258">
        <v>23.5</v>
      </c>
      <c r="D260" s="212">
        <v>164900.43</v>
      </c>
      <c r="E260">
        <v>40</v>
      </c>
      <c r="F260">
        <v>22.306609999999999</v>
      </c>
      <c r="G260" s="90">
        <f>'Proposed Rates'!$O$21/100</f>
        <v>-0.2</v>
      </c>
      <c r="H260" s="212">
        <f t="shared" si="33"/>
        <v>87529.428574731006</v>
      </c>
      <c r="I260" s="212">
        <f t="shared" si="34"/>
        <v>3678369.5808422999</v>
      </c>
    </row>
    <row r="261" spans="1:9" outlineLevel="2" x14ac:dyDescent="0.25">
      <c r="A261">
        <v>37800</v>
      </c>
      <c r="B261">
        <v>1999</v>
      </c>
      <c r="C261" s="258">
        <v>24.5</v>
      </c>
      <c r="D261" s="212">
        <v>487152.63</v>
      </c>
      <c r="E261">
        <v>40</v>
      </c>
      <c r="F261">
        <v>21.645952000000001</v>
      </c>
      <c r="G261" s="90">
        <f>'Proposed Rates'!$O$21/100</f>
        <v>-0.2</v>
      </c>
      <c r="H261" s="212">
        <f t="shared" si="33"/>
        <v>268236.68263038719</v>
      </c>
      <c r="I261" s="212">
        <f t="shared" si="34"/>
        <v>10544882.445653761</v>
      </c>
    </row>
    <row r="262" spans="1:9" outlineLevel="2" x14ac:dyDescent="0.25">
      <c r="A262">
        <v>37800</v>
      </c>
      <c r="B262">
        <v>1998</v>
      </c>
      <c r="C262" s="258">
        <v>25.5</v>
      </c>
      <c r="D262" s="212">
        <v>254246.31</v>
      </c>
      <c r="E262">
        <v>40</v>
      </c>
      <c r="F262">
        <v>20.99531</v>
      </c>
      <c r="G262" s="90">
        <f>'Proposed Rates'!$O$21/100</f>
        <v>-0.2</v>
      </c>
      <c r="H262" s="212">
        <f t="shared" si="33"/>
        <v>144956.16915581701</v>
      </c>
      <c r="I262" s="212">
        <f t="shared" si="34"/>
        <v>5337980.0948061002</v>
      </c>
    </row>
    <row r="263" spans="1:9" outlineLevel="2" x14ac:dyDescent="0.25">
      <c r="A263">
        <v>37800</v>
      </c>
      <c r="B263">
        <v>1997</v>
      </c>
      <c r="C263" s="258">
        <v>26.5</v>
      </c>
      <c r="D263" s="212">
        <v>98561.99</v>
      </c>
      <c r="E263">
        <v>40</v>
      </c>
      <c r="F263">
        <v>20.355005999999999</v>
      </c>
      <c r="G263" s="90">
        <f>'Proposed Rates'!$O$21/100</f>
        <v>-0.2</v>
      </c>
      <c r="H263" s="212">
        <f t="shared" si="33"/>
        <v>58087.491065341805</v>
      </c>
      <c r="I263" s="212">
        <f t="shared" si="34"/>
        <v>2006229.89782194</v>
      </c>
    </row>
    <row r="264" spans="1:9" outlineLevel="2" x14ac:dyDescent="0.25">
      <c r="A264">
        <v>37800</v>
      </c>
      <c r="B264">
        <v>1996</v>
      </c>
      <c r="C264" s="258">
        <v>27.5</v>
      </c>
      <c r="D264" s="212">
        <v>102023.78</v>
      </c>
      <c r="E264">
        <v>40</v>
      </c>
      <c r="F264">
        <v>19.725353999999999</v>
      </c>
      <c r="G264" s="90">
        <f>'Proposed Rates'!$O$21/100</f>
        <v>-0.2</v>
      </c>
      <c r="H264" s="212">
        <f t="shared" si="33"/>
        <v>62054.880692456398</v>
      </c>
      <c r="I264" s="212">
        <f t="shared" si="34"/>
        <v>2012455.1769181199</v>
      </c>
    </row>
    <row r="265" spans="1:9" outlineLevel="2" x14ac:dyDescent="0.25">
      <c r="A265">
        <v>37800</v>
      </c>
      <c r="B265">
        <v>1995</v>
      </c>
      <c r="C265" s="258">
        <v>28.5</v>
      </c>
      <c r="D265" s="212">
        <v>123989.87</v>
      </c>
      <c r="E265">
        <v>40</v>
      </c>
      <c r="F265">
        <v>19.106655</v>
      </c>
      <c r="G265" s="90">
        <f>'Proposed Rates'!$O$21/100</f>
        <v>-0.2</v>
      </c>
      <c r="H265" s="212">
        <f t="shared" si="33"/>
        <v>77716.8939124545</v>
      </c>
      <c r="I265" s="212">
        <f t="shared" si="34"/>
        <v>2369031.6695848498</v>
      </c>
    </row>
    <row r="266" spans="1:9" outlineLevel="2" x14ac:dyDescent="0.25">
      <c r="A266">
        <v>37800</v>
      </c>
      <c r="B266">
        <v>1994</v>
      </c>
      <c r="C266" s="258">
        <v>29.5</v>
      </c>
      <c r="D266" s="212">
        <v>178216.59</v>
      </c>
      <c r="E266">
        <v>40</v>
      </c>
      <c r="F266">
        <v>18.499196999999999</v>
      </c>
      <c r="G266" s="90">
        <f>'Proposed Rates'!$O$21/100</f>
        <v>-0.2</v>
      </c>
      <c r="H266" s="212">
        <f t="shared" si="33"/>
        <v>114953.99378765309</v>
      </c>
      <c r="I266" s="212">
        <f t="shared" si="34"/>
        <v>3296863.8070782297</v>
      </c>
    </row>
    <row r="267" spans="1:9" outlineLevel="2" x14ac:dyDescent="0.25">
      <c r="A267">
        <v>37800</v>
      </c>
      <c r="B267">
        <v>1993</v>
      </c>
      <c r="C267" s="258">
        <v>30.5</v>
      </c>
      <c r="D267" s="212">
        <v>152375.45000000001</v>
      </c>
      <c r="E267">
        <v>40</v>
      </c>
      <c r="F267">
        <v>17.903262000000002</v>
      </c>
      <c r="G267" s="90">
        <f>'Proposed Rates'!$O$21/100</f>
        <v>-0.2</v>
      </c>
      <c r="H267" s="212">
        <f t="shared" si="33"/>
        <v>101010.01188846301</v>
      </c>
      <c r="I267" s="212">
        <f t="shared" si="34"/>
        <v>2728017.6037179003</v>
      </c>
    </row>
    <row r="268" spans="1:9" outlineLevel="2" x14ac:dyDescent="0.25">
      <c r="A268">
        <v>37800</v>
      </c>
      <c r="B268">
        <v>1992</v>
      </c>
      <c r="C268" s="258">
        <v>31.5</v>
      </c>
      <c r="D268" s="212">
        <v>78841.100000000006</v>
      </c>
      <c r="E268">
        <v>40</v>
      </c>
      <c r="F268">
        <v>17.319112000000001</v>
      </c>
      <c r="G268" s="90">
        <f>'Proposed Rates'!$O$21/100</f>
        <v>-0.2</v>
      </c>
      <c r="H268" s="212">
        <f t="shared" si="33"/>
        <v>53645.584766904001</v>
      </c>
      <c r="I268" s="212">
        <f t="shared" si="34"/>
        <v>1365457.8411032001</v>
      </c>
    </row>
    <row r="269" spans="1:9" outlineLevel="2" x14ac:dyDescent="0.25">
      <c r="A269">
        <v>37800</v>
      </c>
      <c r="B269">
        <v>1991</v>
      </c>
      <c r="C269" s="258">
        <v>32.5</v>
      </c>
      <c r="D269" s="212">
        <v>65295.08</v>
      </c>
      <c r="E269">
        <v>40</v>
      </c>
      <c r="F269">
        <v>16.746998999999999</v>
      </c>
      <c r="G269" s="90">
        <f>'Proposed Rates'!$O$21/100</f>
        <v>-0.2</v>
      </c>
      <c r="H269" s="212">
        <f t="shared" ref="H269:H280" si="35">+D269*(1-F269/E269)*(1-G269)</f>
        <v>45549.196816052405</v>
      </c>
      <c r="I269" s="212">
        <f t="shared" ref="I269:I280" si="36">+D269*F269</f>
        <v>1093496.6394649199</v>
      </c>
    </row>
    <row r="270" spans="1:9" outlineLevel="2" x14ac:dyDescent="0.25">
      <c r="A270">
        <v>37800</v>
      </c>
      <c r="B270">
        <v>1990</v>
      </c>
      <c r="C270" s="258">
        <v>33.5</v>
      </c>
      <c r="D270" s="212">
        <v>88392.95</v>
      </c>
      <c r="E270">
        <v>40</v>
      </c>
      <c r="F270">
        <v>16.187154</v>
      </c>
      <c r="G270" s="90">
        <f>'Proposed Rates'!$O$21/100</f>
        <v>-0.2</v>
      </c>
      <c r="H270" s="212">
        <f t="shared" si="35"/>
        <v>63146.631175070987</v>
      </c>
      <c r="I270" s="212">
        <f t="shared" si="36"/>
        <v>1430830.2941643</v>
      </c>
    </row>
    <row r="271" spans="1:9" outlineLevel="2" x14ac:dyDescent="0.25">
      <c r="A271">
        <v>37800</v>
      </c>
      <c r="B271">
        <v>1989</v>
      </c>
      <c r="C271" s="258">
        <v>34.5</v>
      </c>
      <c r="D271" s="212">
        <v>60319.96</v>
      </c>
      <c r="E271">
        <v>40</v>
      </c>
      <c r="F271">
        <v>15.639786000000001</v>
      </c>
      <c r="G271" s="90">
        <f>'Proposed Rates'!$O$21/100</f>
        <v>-0.2</v>
      </c>
      <c r="H271" s="212">
        <f t="shared" si="35"/>
        <v>44082.214022143198</v>
      </c>
      <c r="I271" s="212">
        <f t="shared" si="36"/>
        <v>943391.26592856005</v>
      </c>
    </row>
    <row r="272" spans="1:9" outlineLevel="2" x14ac:dyDescent="0.25">
      <c r="A272">
        <v>37800</v>
      </c>
      <c r="B272">
        <v>1988</v>
      </c>
      <c r="C272" s="258">
        <v>35.5</v>
      </c>
      <c r="D272" s="212">
        <v>23149.66</v>
      </c>
      <c r="E272">
        <v>40</v>
      </c>
      <c r="F272">
        <v>15.105086999999999</v>
      </c>
      <c r="G272" s="90">
        <f>'Proposed Rates'!$O$21/100</f>
        <v>-0.2</v>
      </c>
      <c r="H272" s="212">
        <f t="shared" si="35"/>
        <v>17289.2631503874</v>
      </c>
      <c r="I272" s="212">
        <f t="shared" si="36"/>
        <v>349677.62832041999</v>
      </c>
    </row>
    <row r="273" spans="1:9" outlineLevel="2" x14ac:dyDescent="0.25">
      <c r="A273">
        <v>37800</v>
      </c>
      <c r="B273">
        <v>1987</v>
      </c>
      <c r="C273" s="258">
        <v>36.5</v>
      </c>
      <c r="D273" s="212">
        <v>80532.61</v>
      </c>
      <c r="E273">
        <v>40</v>
      </c>
      <c r="F273">
        <v>14.583216999999999</v>
      </c>
      <c r="G273" s="90">
        <f>'Proposed Rates'!$O$21/100</f>
        <v>-0.2</v>
      </c>
      <c r="H273" s="212">
        <f t="shared" si="35"/>
        <v>61406.396183808902</v>
      </c>
      <c r="I273" s="212">
        <f t="shared" si="36"/>
        <v>1174424.5272063699</v>
      </c>
    </row>
    <row r="274" spans="1:9" outlineLevel="2" x14ac:dyDescent="0.25">
      <c r="A274">
        <v>37800</v>
      </c>
      <c r="B274">
        <v>1986</v>
      </c>
      <c r="C274" s="258">
        <v>37.5</v>
      </c>
      <c r="D274" s="212">
        <v>63250.7</v>
      </c>
      <c r="E274">
        <v>40</v>
      </c>
      <c r="F274">
        <v>14.074305000000001</v>
      </c>
      <c r="G274" s="90">
        <f>'Proposed Rates'!$O$21/100</f>
        <v>-0.2</v>
      </c>
      <c r="H274" s="212">
        <f t="shared" si="35"/>
        <v>49194.550702094988</v>
      </c>
      <c r="I274" s="212">
        <f t="shared" si="36"/>
        <v>890209.64326349995</v>
      </c>
    </row>
    <row r="275" spans="1:9" outlineLevel="2" x14ac:dyDescent="0.25">
      <c r="A275">
        <v>37800</v>
      </c>
      <c r="B275">
        <v>1985</v>
      </c>
      <c r="C275" s="258">
        <v>38.5</v>
      </c>
      <c r="D275" s="212">
        <v>28594.6</v>
      </c>
      <c r="E275">
        <v>40</v>
      </c>
      <c r="F275">
        <v>13.578447000000001</v>
      </c>
      <c r="G275" s="90">
        <f>'Proposed Rates'!$O$21/100</f>
        <v>-0.2</v>
      </c>
      <c r="H275" s="212">
        <f t="shared" si="35"/>
        <v>22665.412182413998</v>
      </c>
      <c r="I275" s="212">
        <f t="shared" si="36"/>
        <v>388270.26058619999</v>
      </c>
    </row>
    <row r="276" spans="1:9" outlineLevel="2" x14ac:dyDescent="0.25">
      <c r="A276">
        <v>37800</v>
      </c>
      <c r="B276">
        <v>1984</v>
      </c>
      <c r="C276" s="258">
        <v>39.5</v>
      </c>
      <c r="D276" s="212">
        <v>113815.57</v>
      </c>
      <c r="E276">
        <v>40</v>
      </c>
      <c r="F276">
        <v>13.095708</v>
      </c>
      <c r="G276" s="90">
        <f>'Proposed Rates'!$O$21/100</f>
        <v>-0.2</v>
      </c>
      <c r="H276" s="212">
        <f t="shared" si="35"/>
        <v>91863.819882793206</v>
      </c>
      <c r="I276" s="212">
        <f t="shared" si="36"/>
        <v>1490495.4705735601</v>
      </c>
    </row>
    <row r="277" spans="1:9" outlineLevel="2" x14ac:dyDescent="0.25">
      <c r="A277">
        <v>37800</v>
      </c>
      <c r="B277">
        <v>1983</v>
      </c>
      <c r="C277" s="258">
        <v>40.5</v>
      </c>
      <c r="D277" s="212">
        <v>11984</v>
      </c>
      <c r="E277">
        <v>40</v>
      </c>
      <c r="F277">
        <v>12.626094999999999</v>
      </c>
      <c r="G277" s="90">
        <f>'Proposed Rates'!$O$21/100</f>
        <v>-0.2</v>
      </c>
      <c r="H277" s="212">
        <f t="shared" si="35"/>
        <v>9841.4663256000003</v>
      </c>
      <c r="I277" s="212">
        <f t="shared" si="36"/>
        <v>151311.12247999999</v>
      </c>
    </row>
    <row r="278" spans="1:9" outlineLevel="2" x14ac:dyDescent="0.25">
      <c r="A278">
        <v>37800</v>
      </c>
      <c r="B278">
        <v>1982</v>
      </c>
      <c r="C278" s="258">
        <v>41.5</v>
      </c>
      <c r="D278" s="212">
        <v>18096.580000000002</v>
      </c>
      <c r="E278">
        <v>40</v>
      </c>
      <c r="F278">
        <v>12.169582</v>
      </c>
      <c r="G278" s="90">
        <f>'Proposed Rates'!$O$21/100</f>
        <v>-0.2</v>
      </c>
      <c r="H278" s="212">
        <f t="shared" si="35"/>
        <v>15109.0615731132</v>
      </c>
      <c r="I278" s="212">
        <f t="shared" si="36"/>
        <v>220227.81422956003</v>
      </c>
    </row>
    <row r="279" spans="1:9" outlineLevel="2" x14ac:dyDescent="0.25">
      <c r="A279">
        <v>37800</v>
      </c>
      <c r="B279">
        <v>1981</v>
      </c>
      <c r="C279" s="258">
        <v>42.5</v>
      </c>
      <c r="D279" s="212">
        <v>30905.24</v>
      </c>
      <c r="E279">
        <v>40</v>
      </c>
      <c r="F279">
        <v>11.726074000000001</v>
      </c>
      <c r="G279" s="90">
        <f>'Proposed Rates'!$O$21/100</f>
        <v>-0.2</v>
      </c>
      <c r="H279" s="212">
        <f t="shared" si="35"/>
        <v>26214.374063167201</v>
      </c>
      <c r="I279" s="212">
        <f t="shared" si="36"/>
        <v>362397.13122776005</v>
      </c>
    </row>
    <row r="280" spans="1:9" outlineLevel="2" x14ac:dyDescent="0.25">
      <c r="A280">
        <v>37800</v>
      </c>
      <c r="B280">
        <v>1980</v>
      </c>
      <c r="C280" s="258">
        <v>43.5</v>
      </c>
      <c r="D280" s="212">
        <v>24918.38</v>
      </c>
      <c r="E280">
        <v>40</v>
      </c>
      <c r="F280">
        <v>11.295443000000001</v>
      </c>
      <c r="G280" s="90">
        <f>'Proposed Rates'!$O$21/100</f>
        <v>-0.2</v>
      </c>
      <c r="H280" s="212">
        <f t="shared" si="35"/>
        <v>21458.131771729801</v>
      </c>
      <c r="I280" s="212">
        <f t="shared" si="36"/>
        <v>281464.14094234002</v>
      </c>
    </row>
    <row r="281" spans="1:9" outlineLevel="2" x14ac:dyDescent="0.25">
      <c r="A281">
        <v>37800</v>
      </c>
      <c r="B281">
        <v>1979</v>
      </c>
      <c r="C281" s="258">
        <v>44.5</v>
      </c>
      <c r="D281" s="212">
        <v>26955.360000000001</v>
      </c>
      <c r="E281">
        <v>40</v>
      </c>
      <c r="F281">
        <v>10.877468</v>
      </c>
      <c r="G281" s="90">
        <f>'Proposed Rates'!$O$21/100</f>
        <v>-0.2</v>
      </c>
      <c r="H281" s="212">
        <f t="shared" ref="H281:H301" si="37">+D281*(1-F281/E281)*(1-G281)</f>
        <v>23550.250025145597</v>
      </c>
      <c r="I281" s="212">
        <f t="shared" ref="I281:I301" si="38">+D281*F281</f>
        <v>293206.06582848</v>
      </c>
    </row>
    <row r="282" spans="1:9" outlineLevel="2" x14ac:dyDescent="0.25">
      <c r="A282">
        <v>37800</v>
      </c>
      <c r="B282">
        <v>1978</v>
      </c>
      <c r="C282" s="258">
        <v>45.5</v>
      </c>
      <c r="D282" s="212">
        <v>725.61</v>
      </c>
      <c r="E282">
        <v>40</v>
      </c>
      <c r="F282">
        <v>10.471895999999999</v>
      </c>
      <c r="G282" s="90">
        <f>'Proposed Rates'!$O$21/100</f>
        <v>-0.2</v>
      </c>
      <c r="H282" s="212">
        <f t="shared" si="37"/>
        <v>642.77662630320003</v>
      </c>
      <c r="I282" s="212">
        <f t="shared" si="38"/>
        <v>7598.5124565599999</v>
      </c>
    </row>
    <row r="283" spans="1:9" outlineLevel="2" x14ac:dyDescent="0.25">
      <c r="A283">
        <v>37800</v>
      </c>
      <c r="B283">
        <v>1977</v>
      </c>
      <c r="C283" s="258">
        <v>46.5</v>
      </c>
      <c r="D283" s="212">
        <v>21624.560000000001</v>
      </c>
      <c r="E283">
        <v>40</v>
      </c>
      <c r="F283">
        <v>10.078369</v>
      </c>
      <c r="G283" s="90">
        <f>'Proposed Rates'!$O$21/100</f>
        <v>-0.2</v>
      </c>
      <c r="H283" s="212">
        <f t="shared" si="37"/>
        <v>19411.263145720801</v>
      </c>
      <c r="I283" s="212">
        <f t="shared" si="38"/>
        <v>217940.29514264001</v>
      </c>
    </row>
    <row r="284" spans="1:9" outlineLevel="2" x14ac:dyDescent="0.25">
      <c r="A284">
        <v>37800</v>
      </c>
      <c r="B284">
        <v>1976</v>
      </c>
      <c r="C284" s="258">
        <v>47.5</v>
      </c>
      <c r="D284" s="212">
        <v>34048.379999999997</v>
      </c>
      <c r="E284">
        <v>40</v>
      </c>
      <c r="F284">
        <v>9.6964989999999993</v>
      </c>
      <c r="G284" s="90">
        <f>'Proposed Rates'!$O$21/100</f>
        <v>-0.2</v>
      </c>
      <c r="H284" s="212">
        <f t="shared" si="37"/>
        <v>30953.553521351398</v>
      </c>
      <c r="I284" s="212">
        <f t="shared" si="38"/>
        <v>330150.08262161998</v>
      </c>
    </row>
    <row r="285" spans="1:9" outlineLevel="2" x14ac:dyDescent="0.25">
      <c r="A285">
        <v>37800</v>
      </c>
      <c r="B285">
        <v>1975</v>
      </c>
      <c r="C285" s="258">
        <v>48.5</v>
      </c>
      <c r="D285" s="212">
        <v>13009.55</v>
      </c>
      <c r="E285">
        <v>40</v>
      </c>
      <c r="F285">
        <v>9.3257840000000005</v>
      </c>
      <c r="G285" s="90">
        <f>'Proposed Rates'!$O$21/100</f>
        <v>-0.2</v>
      </c>
      <c r="H285" s="212">
        <f t="shared" si="37"/>
        <v>11971.732402883998</v>
      </c>
      <c r="I285" s="212">
        <f t="shared" si="38"/>
        <v>121324.2532372</v>
      </c>
    </row>
    <row r="286" spans="1:9" outlineLevel="2" x14ac:dyDescent="0.25">
      <c r="A286">
        <v>37800</v>
      </c>
      <c r="B286">
        <v>1974</v>
      </c>
      <c r="C286" s="258">
        <v>49.5</v>
      </c>
      <c r="D286" s="212">
        <v>12521.18</v>
      </c>
      <c r="E286">
        <v>40</v>
      </c>
      <c r="F286">
        <v>8.9657090000000004</v>
      </c>
      <c r="G286" s="90">
        <f>'Proposed Rates'!$O$21/100</f>
        <v>-0.2</v>
      </c>
      <c r="H286" s="212">
        <f t="shared" si="37"/>
        <v>11657.578313501399</v>
      </c>
      <c r="I286" s="212">
        <f t="shared" si="38"/>
        <v>112261.25621662001</v>
      </c>
    </row>
    <row r="287" spans="1:9" outlineLevel="2" x14ac:dyDescent="0.25">
      <c r="A287">
        <v>37800</v>
      </c>
      <c r="B287">
        <v>1973</v>
      </c>
      <c r="C287" s="258">
        <v>50.5</v>
      </c>
      <c r="D287" s="212">
        <v>11865.37</v>
      </c>
      <c r="E287">
        <v>40</v>
      </c>
      <c r="F287">
        <v>8.6156240000000004</v>
      </c>
      <c r="G287" s="90">
        <f>'Proposed Rates'!$O$21/100</f>
        <v>-0.2</v>
      </c>
      <c r="H287" s="212">
        <f t="shared" si="37"/>
        <v>11171.617003773601</v>
      </c>
      <c r="I287" s="212">
        <f t="shared" si="38"/>
        <v>102227.56654088001</v>
      </c>
    </row>
    <row r="288" spans="1:9" outlineLevel="2" x14ac:dyDescent="0.25">
      <c r="A288">
        <v>37800</v>
      </c>
      <c r="B288">
        <v>1972</v>
      </c>
      <c r="C288" s="258">
        <v>51.5</v>
      </c>
      <c r="D288" s="212">
        <v>4904.6400000000003</v>
      </c>
      <c r="E288">
        <v>40</v>
      </c>
      <c r="F288">
        <v>8.274896</v>
      </c>
      <c r="G288" s="90">
        <f>'Proposed Rates'!$O$21/100</f>
        <v>-0.2</v>
      </c>
      <c r="H288" s="212">
        <f t="shared" si="37"/>
        <v>4668.0064224768003</v>
      </c>
      <c r="I288" s="212">
        <f t="shared" si="38"/>
        <v>40585.385917440006</v>
      </c>
    </row>
    <row r="289" spans="1:10" outlineLevel="2" x14ac:dyDescent="0.25">
      <c r="A289">
        <v>37800</v>
      </c>
      <c r="B289">
        <v>1971</v>
      </c>
      <c r="C289" s="258">
        <v>52.5</v>
      </c>
      <c r="D289" s="212">
        <v>4116.25</v>
      </c>
      <c r="E289">
        <v>40</v>
      </c>
      <c r="F289">
        <v>7.9428789999999996</v>
      </c>
      <c r="G289" s="90">
        <f>'Proposed Rates'!$O$21/100</f>
        <v>-0.2</v>
      </c>
      <c r="H289" s="212">
        <f t="shared" si="37"/>
        <v>3958.6537294874997</v>
      </c>
      <c r="I289" s="212">
        <f t="shared" si="38"/>
        <v>32694.875683749997</v>
      </c>
    </row>
    <row r="290" spans="1:10" outlineLevel="2" x14ac:dyDescent="0.25">
      <c r="A290">
        <v>37800</v>
      </c>
      <c r="B290">
        <v>1970</v>
      </c>
      <c r="C290" s="258">
        <v>53.5</v>
      </c>
      <c r="D290" s="212">
        <v>2281.9299999999998</v>
      </c>
      <c r="E290">
        <v>40</v>
      </c>
      <c r="F290">
        <v>7.6186489999999996</v>
      </c>
      <c r="G290" s="90">
        <f>'Proposed Rates'!$O$21/100</f>
        <v>-0.2</v>
      </c>
      <c r="H290" s="212">
        <f t="shared" si="37"/>
        <v>2216.7592886228999</v>
      </c>
      <c r="I290" s="212">
        <f t="shared" si="38"/>
        <v>17385.223712569998</v>
      </c>
    </row>
    <row r="291" spans="1:10" outlineLevel="2" x14ac:dyDescent="0.25">
      <c r="A291">
        <v>37800</v>
      </c>
      <c r="B291">
        <v>1969</v>
      </c>
      <c r="C291" s="258">
        <v>54.5</v>
      </c>
      <c r="D291" s="212">
        <v>10152.27</v>
      </c>
      <c r="E291">
        <v>40</v>
      </c>
      <c r="F291">
        <v>7.3016769999999998</v>
      </c>
      <c r="G291" s="90">
        <f>'Proposed Rates'!$O$21/100</f>
        <v>-0.2</v>
      </c>
      <c r="H291" s="212">
        <f t="shared" si="37"/>
        <v>9958.8661092962993</v>
      </c>
      <c r="I291" s="212">
        <f t="shared" si="38"/>
        <v>74128.596356790003</v>
      </c>
    </row>
    <row r="292" spans="1:10" outlineLevel="2" x14ac:dyDescent="0.25">
      <c r="A292">
        <v>37800</v>
      </c>
      <c r="B292">
        <v>1968</v>
      </c>
      <c r="C292" s="258">
        <v>55.5</v>
      </c>
      <c r="D292" s="212">
        <v>17987.04</v>
      </c>
      <c r="E292">
        <v>40</v>
      </c>
      <c r="F292">
        <v>6.991225</v>
      </c>
      <c r="G292" s="90">
        <f>'Proposed Rates'!$O$21/100</f>
        <v>-0.2</v>
      </c>
      <c r="H292" s="212">
        <f t="shared" si="37"/>
        <v>17811.904688279999</v>
      </c>
      <c r="I292" s="212">
        <f t="shared" si="38"/>
        <v>125751.44372400001</v>
      </c>
    </row>
    <row r="293" spans="1:10" outlineLevel="2" x14ac:dyDescent="0.25">
      <c r="A293">
        <v>37800</v>
      </c>
      <c r="B293">
        <v>1967</v>
      </c>
      <c r="C293" s="258">
        <v>56.5</v>
      </c>
      <c r="D293" s="212">
        <v>2204.7800000000002</v>
      </c>
      <c r="E293">
        <v>40</v>
      </c>
      <c r="F293">
        <v>6.6866580000000004</v>
      </c>
      <c r="G293" s="90">
        <f>'Proposed Rates'!$O$21/100</f>
        <v>-0.2</v>
      </c>
      <c r="H293" s="212">
        <f t="shared" si="37"/>
        <v>2203.4577052427999</v>
      </c>
      <c r="I293" s="212">
        <f t="shared" si="38"/>
        <v>14742.609825240002</v>
      </c>
    </row>
    <row r="294" spans="1:10" outlineLevel="2" x14ac:dyDescent="0.25">
      <c r="A294">
        <v>37800</v>
      </c>
      <c r="B294">
        <v>1966</v>
      </c>
      <c r="C294" s="258">
        <v>57.5</v>
      </c>
      <c r="D294" s="212">
        <v>6188.37</v>
      </c>
      <c r="E294">
        <v>40</v>
      </c>
      <c r="F294">
        <v>6.3874639999999996</v>
      </c>
      <c r="G294" s="90">
        <f>'Proposed Rates'!$O$21/100</f>
        <v>-0.2</v>
      </c>
      <c r="H294" s="212">
        <f t="shared" si="37"/>
        <v>6240.2042821895993</v>
      </c>
      <c r="I294" s="212">
        <f t="shared" si="38"/>
        <v>39527.990593679999</v>
      </c>
    </row>
    <row r="295" spans="1:10" outlineLevel="2" x14ac:dyDescent="0.25">
      <c r="A295">
        <v>37800</v>
      </c>
      <c r="B295">
        <v>1965</v>
      </c>
      <c r="C295" s="258">
        <v>58.5</v>
      </c>
      <c r="D295" s="212">
        <v>1796.62</v>
      </c>
      <c r="E295">
        <v>40</v>
      </c>
      <c r="F295">
        <v>6.0932360000000001</v>
      </c>
      <c r="G295" s="90">
        <f>'Proposed Rates'!$O$21/100</f>
        <v>-0.2</v>
      </c>
      <c r="H295" s="212">
        <f t="shared" si="37"/>
        <v>1827.5271101303999</v>
      </c>
      <c r="I295" s="212">
        <f t="shared" si="38"/>
        <v>10947.22966232</v>
      </c>
    </row>
    <row r="296" spans="1:10" outlineLevel="2" x14ac:dyDescent="0.25">
      <c r="A296">
        <v>37800</v>
      </c>
      <c r="B296">
        <v>1964</v>
      </c>
      <c r="C296" s="258">
        <v>59.5</v>
      </c>
      <c r="D296" s="212">
        <v>4861.24</v>
      </c>
      <c r="E296">
        <v>40</v>
      </c>
      <c r="F296">
        <v>5.8037470000000004</v>
      </c>
      <c r="G296" s="90">
        <f>'Proposed Rates'!$O$21/100</f>
        <v>-0.2</v>
      </c>
      <c r="H296" s="212">
        <f t="shared" si="37"/>
        <v>4987.0857880115991</v>
      </c>
      <c r="I296" s="212">
        <f t="shared" si="38"/>
        <v>28213.40706628</v>
      </c>
    </row>
    <row r="297" spans="1:10" outlineLevel="2" x14ac:dyDescent="0.25">
      <c r="A297">
        <v>37800</v>
      </c>
      <c r="B297">
        <v>1963</v>
      </c>
      <c r="C297" s="258">
        <v>60.5</v>
      </c>
      <c r="D297" s="212">
        <v>435.95</v>
      </c>
      <c r="E297">
        <v>40</v>
      </c>
      <c r="F297">
        <v>5.5189159999999999</v>
      </c>
      <c r="G297" s="90">
        <f>'Proposed Rates'!$O$21/100</f>
        <v>-0.2</v>
      </c>
      <c r="H297" s="212">
        <f t="shared" si="37"/>
        <v>450.96085709399989</v>
      </c>
      <c r="I297" s="212">
        <f t="shared" si="38"/>
        <v>2405.9714301999998</v>
      </c>
    </row>
    <row r="298" spans="1:10" outlineLevel="2" x14ac:dyDescent="0.25">
      <c r="A298">
        <v>37800</v>
      </c>
      <c r="B298">
        <v>1962</v>
      </c>
      <c r="C298" s="258">
        <v>61.5</v>
      </c>
      <c r="D298" s="212">
        <v>3353</v>
      </c>
      <c r="E298">
        <v>40</v>
      </c>
      <c r="F298">
        <v>5.2388409999999999</v>
      </c>
      <c r="G298" s="90">
        <f>'Proposed Rates'!$O$21/100</f>
        <v>-0.2</v>
      </c>
      <c r="H298" s="212">
        <f t="shared" si="37"/>
        <v>3496.6249838099998</v>
      </c>
      <c r="I298" s="212">
        <f t="shared" si="38"/>
        <v>17565.833873</v>
      </c>
    </row>
    <row r="299" spans="1:10" outlineLevel="2" x14ac:dyDescent="0.25">
      <c r="A299">
        <v>37800</v>
      </c>
      <c r="B299">
        <v>1960</v>
      </c>
      <c r="C299" s="258">
        <v>63.5</v>
      </c>
      <c r="D299" s="212">
        <v>12071.38</v>
      </c>
      <c r="E299">
        <v>40</v>
      </c>
      <c r="F299">
        <v>4.6938380000000004</v>
      </c>
      <c r="G299" s="90">
        <f>'Proposed Rates'!$O$21/100</f>
        <v>-0.2</v>
      </c>
      <c r="H299" s="212">
        <f t="shared" si="37"/>
        <v>12785.822935306798</v>
      </c>
      <c r="I299" s="212">
        <f t="shared" si="38"/>
        <v>56661.10215644</v>
      </c>
    </row>
    <row r="300" spans="1:10" outlineLevel="2" x14ac:dyDescent="0.25">
      <c r="A300">
        <v>37800</v>
      </c>
      <c r="B300">
        <v>1959</v>
      </c>
      <c r="C300" s="258">
        <v>64.5</v>
      </c>
      <c r="D300" s="212">
        <v>6455.78</v>
      </c>
      <c r="E300">
        <v>40</v>
      </c>
      <c r="F300">
        <v>4.4293779999999998</v>
      </c>
      <c r="G300" s="90">
        <f>'Proposed Rates'!$O$21/100</f>
        <v>-0.2</v>
      </c>
      <c r="H300" s="212">
        <f t="shared" si="37"/>
        <v>6889.0833028547986</v>
      </c>
      <c r="I300" s="212">
        <f t="shared" si="38"/>
        <v>28595.089904839999</v>
      </c>
    </row>
    <row r="301" spans="1:10" outlineLevel="2" x14ac:dyDescent="0.25">
      <c r="A301">
        <v>37800</v>
      </c>
      <c r="B301">
        <v>1958</v>
      </c>
      <c r="C301" s="258">
        <v>65.5</v>
      </c>
      <c r="D301" s="212">
        <v>3861.28</v>
      </c>
      <c r="E301">
        <v>40</v>
      </c>
      <c r="F301">
        <v>4.1702760000000003</v>
      </c>
      <c r="G301" s="90">
        <f>'Proposed Rates'!$O$21/100</f>
        <v>-0.2</v>
      </c>
      <c r="H301" s="212">
        <f t="shared" si="37"/>
        <v>4150.4579006016002</v>
      </c>
      <c r="I301" s="212">
        <f t="shared" si="38"/>
        <v>16102.603313280002</v>
      </c>
    </row>
    <row r="302" spans="1:10" ht="13" outlineLevel="1" x14ac:dyDescent="0.3">
      <c r="A302" s="18" t="s">
        <v>1183</v>
      </c>
      <c r="C302" s="258"/>
      <c r="D302" s="212">
        <f>SUBTOTAL(9,D237:D301)</f>
        <v>22151056.50999999</v>
      </c>
      <c r="H302" s="212">
        <f>SUBTOTAL(9,H237:H301)</f>
        <v>5840408.1711033909</v>
      </c>
      <c r="I302" s="212">
        <f>SUBTOTAL(9,I237:I301)</f>
        <v>691361988.02988696</v>
      </c>
      <c r="J302" s="212">
        <f>+I302/D302</f>
        <v>31.211242123723302</v>
      </c>
    </row>
    <row r="303" spans="1:10" outlineLevel="2" x14ac:dyDescent="0.25">
      <c r="A303">
        <v>37900</v>
      </c>
      <c r="B303">
        <v>2023</v>
      </c>
      <c r="C303" s="258">
        <v>0.5</v>
      </c>
      <c r="D303" s="212">
        <v>21433447.27</v>
      </c>
      <c r="E303">
        <v>52</v>
      </c>
      <c r="F303">
        <v>51.547229999999999</v>
      </c>
      <c r="G303" s="90">
        <f>'Proposed Rates'!$O$22/100</f>
        <v>-0.2</v>
      </c>
      <c r="H303" s="212">
        <f t="shared" ref="H303:H334" si="39">+D303*(1-F303/E303)*(1-G303)</f>
        <v>223948.19816395291</v>
      </c>
      <c r="I303" s="212">
        <f t="shared" ref="I303:I337" si="40">+D303*F303</f>
        <v>1104834836.1195621</v>
      </c>
    </row>
    <row r="304" spans="1:10" outlineLevel="2" x14ac:dyDescent="0.25">
      <c r="A304">
        <v>37900</v>
      </c>
      <c r="B304">
        <v>2022</v>
      </c>
      <c r="C304" s="258">
        <v>1.5</v>
      </c>
      <c r="D304" s="212">
        <v>11129230.189999999</v>
      </c>
      <c r="E304">
        <v>52</v>
      </c>
      <c r="F304">
        <v>50.645263</v>
      </c>
      <c r="G304" s="90">
        <f>'Proposed Rates'!$O$22/100</f>
        <v>-0.2</v>
      </c>
      <c r="H304" s="212">
        <f t="shared" si="39"/>
        <v>347934.92122869345</v>
      </c>
      <c r="I304" s="212">
        <f t="shared" si="40"/>
        <v>563642789.96008992</v>
      </c>
    </row>
    <row r="305" spans="1:9" outlineLevel="2" x14ac:dyDescent="0.25">
      <c r="A305">
        <v>37900</v>
      </c>
      <c r="B305">
        <v>2021</v>
      </c>
      <c r="C305" s="258">
        <v>2.5</v>
      </c>
      <c r="D305" s="212">
        <v>13736237.609999999</v>
      </c>
      <c r="E305">
        <v>52</v>
      </c>
      <c r="F305">
        <v>49.748170000000002</v>
      </c>
      <c r="G305" s="90">
        <f>'Proposed Rates'!$O$22/100</f>
        <v>-0.2</v>
      </c>
      <c r="H305" s="212">
        <f t="shared" si="39"/>
        <v>713807.81393829896</v>
      </c>
      <c r="I305" s="212">
        <f t="shared" si="40"/>
        <v>683352683.78267372</v>
      </c>
    </row>
    <row r="306" spans="1:9" outlineLevel="2" x14ac:dyDescent="0.25">
      <c r="A306">
        <v>37900</v>
      </c>
      <c r="B306">
        <v>2020</v>
      </c>
      <c r="C306" s="258">
        <v>3.5</v>
      </c>
      <c r="D306" s="212">
        <v>6487290.2800000003</v>
      </c>
      <c r="E306">
        <v>52</v>
      </c>
      <c r="F306">
        <v>48.856077999999997</v>
      </c>
      <c r="G306" s="90">
        <f>'Proposed Rates'!$O$22/100</f>
        <v>-0.2</v>
      </c>
      <c r="H306" s="212">
        <f t="shared" si="39"/>
        <v>470666.18380795844</v>
      </c>
      <c r="I306" s="212">
        <f t="shared" si="40"/>
        <v>316943559.92832184</v>
      </c>
    </row>
    <row r="307" spans="1:9" outlineLevel="2" x14ac:dyDescent="0.25">
      <c r="A307">
        <v>37900</v>
      </c>
      <c r="B307">
        <v>2019</v>
      </c>
      <c r="C307" s="258">
        <v>4.5</v>
      </c>
      <c r="D307" s="212">
        <v>5731102.7400000002</v>
      </c>
      <c r="E307">
        <v>52</v>
      </c>
      <c r="F307">
        <v>47.969126000000003</v>
      </c>
      <c r="G307" s="90">
        <f>'Proposed Rates'!$O$22/100</f>
        <v>-0.2</v>
      </c>
      <c r="H307" s="212">
        <f t="shared" si="39"/>
        <v>533108.14675372478</v>
      </c>
      <c r="I307" s="212">
        <f t="shared" si="40"/>
        <v>274915989.45400524</v>
      </c>
    </row>
    <row r="308" spans="1:9" outlineLevel="2" x14ac:dyDescent="0.25">
      <c r="A308">
        <v>37900</v>
      </c>
      <c r="B308">
        <v>2018</v>
      </c>
      <c r="C308" s="258">
        <v>5.5</v>
      </c>
      <c r="D308" s="212">
        <v>8329388.4100000001</v>
      </c>
      <c r="E308">
        <v>52</v>
      </c>
      <c r="F308">
        <v>47.087451999999999</v>
      </c>
      <c r="G308" s="90">
        <f>'Proposed Rates'!$O$22/100</f>
        <v>-0.2</v>
      </c>
      <c r="H308" s="212">
        <f t="shared" si="39"/>
        <v>944273.54711004626</v>
      </c>
      <c r="I308" s="212">
        <f t="shared" si="40"/>
        <v>392209676.94523132</v>
      </c>
    </row>
    <row r="309" spans="1:9" outlineLevel="2" x14ac:dyDescent="0.25">
      <c r="A309">
        <v>37900</v>
      </c>
      <c r="B309">
        <v>2017</v>
      </c>
      <c r="C309" s="258">
        <v>6.5</v>
      </c>
      <c r="D309" s="212">
        <v>9905033.8800000008</v>
      </c>
      <c r="E309">
        <v>52</v>
      </c>
      <c r="F309">
        <v>46.211184000000003</v>
      </c>
      <c r="G309" s="90">
        <f>'Proposed Rates'!$O$22/100</f>
        <v>-0.2</v>
      </c>
      <c r="H309" s="212">
        <f t="shared" si="39"/>
        <v>1323194.2755019865</v>
      </c>
      <c r="I309" s="212">
        <f t="shared" si="40"/>
        <v>457723343.15491396</v>
      </c>
    </row>
    <row r="310" spans="1:9" outlineLevel="2" x14ac:dyDescent="0.25">
      <c r="A310">
        <v>37900</v>
      </c>
      <c r="B310">
        <v>2016</v>
      </c>
      <c r="C310" s="258">
        <v>7.5</v>
      </c>
      <c r="D310" s="212">
        <v>6217087.71</v>
      </c>
      <c r="E310">
        <v>52</v>
      </c>
      <c r="F310">
        <v>45.340456000000003</v>
      </c>
      <c r="G310" s="90">
        <f>'Proposed Rates'!$O$22/100</f>
        <v>-0.2</v>
      </c>
      <c r="H310" s="212">
        <f t="shared" si="39"/>
        <v>955453.13438317413</v>
      </c>
      <c r="I310" s="212">
        <f t="shared" si="40"/>
        <v>281885591.76339579</v>
      </c>
    </row>
    <row r="311" spans="1:9" outlineLevel="2" x14ac:dyDescent="0.25">
      <c r="A311">
        <v>37900</v>
      </c>
      <c r="B311">
        <v>2015</v>
      </c>
      <c r="C311" s="258">
        <v>8.5</v>
      </c>
      <c r="D311" s="212">
        <v>1279711.0900000001</v>
      </c>
      <c r="E311">
        <v>52</v>
      </c>
      <c r="F311">
        <v>44.475403</v>
      </c>
      <c r="G311" s="90">
        <f>'Proposed Rates'!$O$22/100</f>
        <v>-0.2</v>
      </c>
      <c r="H311" s="212">
        <f t="shared" si="39"/>
        <v>222214.85143109373</v>
      </c>
      <c r="I311" s="212">
        <f t="shared" si="40"/>
        <v>56915666.451319277</v>
      </c>
    </row>
    <row r="312" spans="1:9" outlineLevel="2" x14ac:dyDescent="0.25">
      <c r="A312">
        <v>37900</v>
      </c>
      <c r="B312">
        <v>2014</v>
      </c>
      <c r="C312" s="258">
        <v>9.5</v>
      </c>
      <c r="D312" s="212">
        <v>921727.06</v>
      </c>
      <c r="E312">
        <v>52</v>
      </c>
      <c r="F312">
        <v>43.616151000000002</v>
      </c>
      <c r="G312" s="90">
        <f>'Proposed Rates'!$O$22/100</f>
        <v>-0.2</v>
      </c>
      <c r="H312" s="212">
        <f t="shared" si="39"/>
        <v>178329.7036212447</v>
      </c>
      <c r="I312" s="212">
        <f t="shared" si="40"/>
        <v>40202186.629746065</v>
      </c>
    </row>
    <row r="313" spans="1:9" outlineLevel="2" x14ac:dyDescent="0.25">
      <c r="A313">
        <v>37900</v>
      </c>
      <c r="B313">
        <v>2013</v>
      </c>
      <c r="C313" s="258">
        <v>10.5</v>
      </c>
      <c r="D313" s="212">
        <v>6437673.3499999996</v>
      </c>
      <c r="E313">
        <v>52</v>
      </c>
      <c r="F313">
        <v>42.762830999999998</v>
      </c>
      <c r="G313" s="90">
        <f>'Proposed Rates'!$O$22/100</f>
        <v>-0.2</v>
      </c>
      <c r="H313" s="212">
        <f t="shared" si="39"/>
        <v>1372289.4623249117</v>
      </c>
      <c r="I313" s="212">
        <f t="shared" si="40"/>
        <v>275293137.49925381</v>
      </c>
    </row>
    <row r="314" spans="1:9" outlineLevel="2" x14ac:dyDescent="0.25">
      <c r="A314">
        <v>37900</v>
      </c>
      <c r="B314">
        <v>2012</v>
      </c>
      <c r="C314" s="258">
        <v>11.5</v>
      </c>
      <c r="D314" s="212">
        <v>5305481.2699999996</v>
      </c>
      <c r="E314">
        <v>52</v>
      </c>
      <c r="F314">
        <v>41.915576000000001</v>
      </c>
      <c r="G314" s="90">
        <f>'Proposed Rates'!$O$22/100</f>
        <v>-0.2</v>
      </c>
      <c r="H314" s="212">
        <f t="shared" si="39"/>
        <v>1234678.2150170412</v>
      </c>
      <c r="I314" s="212">
        <f t="shared" si="40"/>
        <v>222382303.38926151</v>
      </c>
    </row>
    <row r="315" spans="1:9" outlineLevel="2" x14ac:dyDescent="0.25">
      <c r="A315">
        <v>37900</v>
      </c>
      <c r="B315">
        <v>2011</v>
      </c>
      <c r="C315" s="258">
        <v>12.5</v>
      </c>
      <c r="D315" s="212">
        <v>1757563.31</v>
      </c>
      <c r="E315">
        <v>52</v>
      </c>
      <c r="F315">
        <v>41.074506</v>
      </c>
      <c r="G315" s="90">
        <f>'Proposed Rates'!$O$22/100</f>
        <v>-0.2</v>
      </c>
      <c r="H315" s="212">
        <f t="shared" si="39"/>
        <v>443128.78610827256</v>
      </c>
      <c r="I315" s="212">
        <f t="shared" si="40"/>
        <v>72191044.721974865</v>
      </c>
    </row>
    <row r="316" spans="1:9" outlineLevel="2" x14ac:dyDescent="0.25">
      <c r="A316">
        <v>37900</v>
      </c>
      <c r="B316">
        <v>2010</v>
      </c>
      <c r="C316" s="258">
        <v>13.5</v>
      </c>
      <c r="D316" s="212">
        <v>1680854.49</v>
      </c>
      <c r="E316">
        <v>52</v>
      </c>
      <c r="F316">
        <v>40.239857000000001</v>
      </c>
      <c r="G316" s="90">
        <f>'Proposed Rates'!$O$22/100</f>
        <v>-0.2</v>
      </c>
      <c r="H316" s="212">
        <f t="shared" si="39"/>
        <v>456163.59610597073</v>
      </c>
      <c r="I316" s="212">
        <f t="shared" si="40"/>
        <v>67637344.315407932</v>
      </c>
    </row>
    <row r="317" spans="1:9" outlineLevel="2" x14ac:dyDescent="0.25">
      <c r="A317">
        <v>37900</v>
      </c>
      <c r="B317">
        <v>2009</v>
      </c>
      <c r="C317" s="258">
        <v>14.5</v>
      </c>
      <c r="D317" s="212">
        <v>5389411.5599999996</v>
      </c>
      <c r="E317">
        <v>52</v>
      </c>
      <c r="F317">
        <v>39.411757000000001</v>
      </c>
      <c r="G317" s="90">
        <f>'Proposed Rates'!$O$22/100</f>
        <v>-0.2</v>
      </c>
      <c r="H317" s="212">
        <f t="shared" si="39"/>
        <v>1565612.8233297479</v>
      </c>
      <c r="I317" s="212">
        <f t="shared" si="40"/>
        <v>212406178.77571091</v>
      </c>
    </row>
    <row r="318" spans="1:9" outlineLevel="2" x14ac:dyDescent="0.25">
      <c r="A318">
        <v>37900</v>
      </c>
      <c r="B318">
        <v>2008</v>
      </c>
      <c r="C318" s="258">
        <v>15.5</v>
      </c>
      <c r="D318" s="212">
        <v>2190610.46</v>
      </c>
      <c r="E318">
        <v>52</v>
      </c>
      <c r="F318">
        <v>38.590252</v>
      </c>
      <c r="G318" s="90">
        <f>'Proposed Rates'!$O$22/100</f>
        <v>-0.2</v>
      </c>
      <c r="H318" s="212">
        <f t="shared" si="39"/>
        <v>677896.94387917116</v>
      </c>
      <c r="I318" s="212">
        <f t="shared" si="40"/>
        <v>84536209.685235918</v>
      </c>
    </row>
    <row r="319" spans="1:9" outlineLevel="2" x14ac:dyDescent="0.25">
      <c r="A319">
        <v>37900</v>
      </c>
      <c r="B319">
        <v>2007</v>
      </c>
      <c r="C319" s="258">
        <v>16.5</v>
      </c>
      <c r="D319" s="212">
        <v>1433160</v>
      </c>
      <c r="E319">
        <v>52</v>
      </c>
      <c r="F319">
        <v>37.775463999999999</v>
      </c>
      <c r="G319" s="90">
        <f>'Proposed Rates'!$O$22/100</f>
        <v>-0.2</v>
      </c>
      <c r="H319" s="212">
        <f t="shared" si="39"/>
        <v>470446.98493292305</v>
      </c>
      <c r="I319" s="212">
        <f t="shared" si="40"/>
        <v>54138283.98624</v>
      </c>
    </row>
    <row r="320" spans="1:9" outlineLevel="2" x14ac:dyDescent="0.25">
      <c r="A320">
        <v>37900</v>
      </c>
      <c r="B320">
        <v>2006</v>
      </c>
      <c r="C320" s="258">
        <v>17.5</v>
      </c>
      <c r="D320" s="212">
        <v>170020.62</v>
      </c>
      <c r="E320">
        <v>52</v>
      </c>
      <c r="F320">
        <v>36.967528000000001</v>
      </c>
      <c r="G320" s="90">
        <f>'Proposed Rates'!$O$22/100</f>
        <v>-0.2</v>
      </c>
      <c r="H320" s="212">
        <f t="shared" si="39"/>
        <v>58980.697143983991</v>
      </c>
      <c r="I320" s="212">
        <f t="shared" si="40"/>
        <v>6285242.03042736</v>
      </c>
    </row>
    <row r="321" spans="1:10" outlineLevel="2" x14ac:dyDescent="0.25">
      <c r="A321">
        <v>37900</v>
      </c>
      <c r="B321">
        <v>2005</v>
      </c>
      <c r="C321" s="258">
        <v>18.5</v>
      </c>
      <c r="D321" s="212">
        <v>573393.94999999995</v>
      </c>
      <c r="E321">
        <v>52</v>
      </c>
      <c r="F321">
        <v>36.166567000000001</v>
      </c>
      <c r="G321" s="90">
        <f>'Proposed Rates'!$O$22/100</f>
        <v>-0.2</v>
      </c>
      <c r="H321" s="212">
        <f t="shared" si="39"/>
        <v>209510.64669070035</v>
      </c>
      <c r="I321" s="212">
        <f t="shared" si="40"/>
        <v>20737690.710069649</v>
      </c>
    </row>
    <row r="322" spans="1:10" outlineLevel="2" x14ac:dyDescent="0.25">
      <c r="A322">
        <v>37900</v>
      </c>
      <c r="B322">
        <v>2004</v>
      </c>
      <c r="C322" s="258">
        <v>19.5</v>
      </c>
      <c r="D322" s="212">
        <v>851804.9</v>
      </c>
      <c r="E322">
        <v>52</v>
      </c>
      <c r="F322">
        <v>35.372717999999999</v>
      </c>
      <c r="G322" s="90">
        <f>'Proposed Rates'!$O$22/100</f>
        <v>-0.2</v>
      </c>
      <c r="H322" s="212">
        <f t="shared" si="39"/>
        <v>326843.0834141954</v>
      </c>
      <c r="I322" s="212">
        <f t="shared" si="40"/>
        <v>30130654.518718202</v>
      </c>
    </row>
    <row r="323" spans="1:10" outlineLevel="2" x14ac:dyDescent="0.25">
      <c r="A323">
        <v>37900</v>
      </c>
      <c r="B323">
        <v>2003</v>
      </c>
      <c r="C323" s="258">
        <v>20.5</v>
      </c>
      <c r="D323" s="212">
        <v>782606.35</v>
      </c>
      <c r="E323">
        <v>52</v>
      </c>
      <c r="F323">
        <v>34.586112</v>
      </c>
      <c r="G323" s="90">
        <f>'Proposed Rates'!$O$22/100</f>
        <v>-0.2</v>
      </c>
      <c r="H323" s="212">
        <f t="shared" si="39"/>
        <v>314497.36908435693</v>
      </c>
      <c r="I323" s="212">
        <f t="shared" si="40"/>
        <v>27067310.873011198</v>
      </c>
    </row>
    <row r="324" spans="1:10" outlineLevel="2" x14ac:dyDescent="0.25">
      <c r="A324">
        <v>37900</v>
      </c>
      <c r="B324">
        <v>2002</v>
      </c>
      <c r="C324" s="258">
        <v>21.5</v>
      </c>
      <c r="D324" s="212">
        <v>71617.72</v>
      </c>
      <c r="E324">
        <v>52</v>
      </c>
      <c r="F324">
        <v>33.806885000000001</v>
      </c>
      <c r="G324" s="90">
        <f>'Proposed Rates'!$O$22/100</f>
        <v>-0.2</v>
      </c>
      <c r="H324" s="212">
        <f t="shared" si="39"/>
        <v>30068.063446103071</v>
      </c>
      <c r="I324" s="212">
        <f t="shared" si="40"/>
        <v>2421172.0240022</v>
      </c>
    </row>
    <row r="325" spans="1:10" outlineLevel="2" x14ac:dyDescent="0.25">
      <c r="A325">
        <v>37900</v>
      </c>
      <c r="B325">
        <v>2001</v>
      </c>
      <c r="C325" s="258">
        <v>22.5</v>
      </c>
      <c r="D325" s="212">
        <v>721310.69</v>
      </c>
      <c r="E325">
        <v>52</v>
      </c>
      <c r="F325">
        <v>33.035169000000003</v>
      </c>
      <c r="G325" s="90">
        <f>'Proposed Rates'!$O$22/100</f>
        <v>-0.2</v>
      </c>
      <c r="H325" s="212">
        <f t="shared" si="39"/>
        <v>315681.58463869349</v>
      </c>
      <c r="I325" s="212">
        <f t="shared" si="40"/>
        <v>23828620.54565661</v>
      </c>
    </row>
    <row r="326" spans="1:10" outlineLevel="2" x14ac:dyDescent="0.25">
      <c r="A326">
        <v>37900</v>
      </c>
      <c r="B326">
        <v>2000</v>
      </c>
      <c r="C326" s="258">
        <v>23.5</v>
      </c>
      <c r="D326" s="212">
        <v>578125.42000000004</v>
      </c>
      <c r="E326">
        <v>52</v>
      </c>
      <c r="F326">
        <v>32.271107999999998</v>
      </c>
      <c r="G326" s="90">
        <f>'Proposed Rates'!$O$22/100</f>
        <v>-0.2</v>
      </c>
      <c r="H326" s="212">
        <f t="shared" si="39"/>
        <v>263210.16862233792</v>
      </c>
      <c r="I326" s="212">
        <f t="shared" si="40"/>
        <v>18656747.866365362</v>
      </c>
    </row>
    <row r="327" spans="1:10" outlineLevel="2" x14ac:dyDescent="0.25">
      <c r="A327">
        <v>37900</v>
      </c>
      <c r="B327">
        <v>1999</v>
      </c>
      <c r="C327" s="258">
        <v>24.5</v>
      </c>
      <c r="D327" s="212">
        <v>438437.77</v>
      </c>
      <c r="E327">
        <v>52</v>
      </c>
      <c r="F327">
        <v>31.514841000000001</v>
      </c>
      <c r="G327" s="90">
        <f>'Proposed Rates'!$O$22/100</f>
        <v>-0.2</v>
      </c>
      <c r="H327" s="212">
        <f t="shared" si="39"/>
        <v>207264.63300127914</v>
      </c>
      <c r="I327" s="212">
        <f t="shared" si="40"/>
        <v>13817296.609944571</v>
      </c>
    </row>
    <row r="328" spans="1:10" outlineLevel="2" x14ac:dyDescent="0.25">
      <c r="A328">
        <v>37900</v>
      </c>
      <c r="B328">
        <v>1998</v>
      </c>
      <c r="C328" s="258">
        <v>25.5</v>
      </c>
      <c r="D328" s="212">
        <v>66630.460000000006</v>
      </c>
      <c r="E328">
        <v>52</v>
      </c>
      <c r="F328">
        <v>30.766511999999999</v>
      </c>
      <c r="G328" s="90">
        <f>'Proposed Rates'!$O$22/100</f>
        <v>-0.2</v>
      </c>
      <c r="H328" s="212">
        <f t="shared" si="39"/>
        <v>32649.163219488</v>
      </c>
      <c r="I328" s="212">
        <f t="shared" si="40"/>
        <v>2049986.8471555202</v>
      </c>
    </row>
    <row r="329" spans="1:10" outlineLevel="2" x14ac:dyDescent="0.25">
      <c r="A329">
        <v>37900</v>
      </c>
      <c r="B329">
        <v>1997</v>
      </c>
      <c r="C329" s="258">
        <v>26.5</v>
      </c>
      <c r="D329" s="212">
        <v>850589.27</v>
      </c>
      <c r="E329">
        <v>52</v>
      </c>
      <c r="F329">
        <v>30.026398</v>
      </c>
      <c r="G329" s="90">
        <f>'Proposed Rates'!$O$22/100</f>
        <v>-0.2</v>
      </c>
      <c r="H329" s="212">
        <f t="shared" si="39"/>
        <v>431319.46348732011</v>
      </c>
      <c r="I329" s="212">
        <f t="shared" si="40"/>
        <v>25540131.95554946</v>
      </c>
    </row>
    <row r="330" spans="1:10" outlineLevel="2" x14ac:dyDescent="0.25">
      <c r="A330">
        <v>37900</v>
      </c>
      <c r="B330">
        <v>1996</v>
      </c>
      <c r="C330" s="258">
        <v>27.5</v>
      </c>
      <c r="D330" s="212">
        <v>20975.94</v>
      </c>
      <c r="E330">
        <v>52</v>
      </c>
      <c r="F330">
        <v>29.29466</v>
      </c>
      <c r="G330" s="90">
        <f>'Proposed Rates'!$O$22/100</f>
        <v>-0.2</v>
      </c>
      <c r="H330" s="212">
        <f t="shared" si="39"/>
        <v>10990.75037352923</v>
      </c>
      <c r="I330" s="212">
        <f t="shared" si="40"/>
        <v>614483.03048039996</v>
      </c>
    </row>
    <row r="331" spans="1:10" outlineLevel="2" x14ac:dyDescent="0.25">
      <c r="A331">
        <v>37900</v>
      </c>
      <c r="B331">
        <v>1995</v>
      </c>
      <c r="C331" s="258">
        <v>28.5</v>
      </c>
      <c r="D331" s="212">
        <v>33548.79</v>
      </c>
      <c r="E331">
        <v>52</v>
      </c>
      <c r="F331">
        <v>28.571332000000002</v>
      </c>
      <c r="G331" s="90">
        <f>'Proposed Rates'!$O$22/100</f>
        <v>-0.2</v>
      </c>
      <c r="H331" s="212">
        <f t="shared" si="39"/>
        <v>18138.541447193536</v>
      </c>
      <c r="I331" s="212">
        <f t="shared" si="40"/>
        <v>958533.61728828005</v>
      </c>
    </row>
    <row r="332" spans="1:10" outlineLevel="2" x14ac:dyDescent="0.25">
      <c r="A332">
        <v>37900</v>
      </c>
      <c r="B332">
        <v>1994</v>
      </c>
      <c r="C332" s="258">
        <v>29.5</v>
      </c>
      <c r="D332" s="212">
        <v>184226.43</v>
      </c>
      <c r="E332">
        <v>52</v>
      </c>
      <c r="F332">
        <v>27.856565</v>
      </c>
      <c r="G332" s="90">
        <f>'Proposed Rates'!$O$22/100</f>
        <v>-0.2</v>
      </c>
      <c r="H332" s="212">
        <f t="shared" si="39"/>
        <v>102642.89626123961</v>
      </c>
      <c r="I332" s="212">
        <f t="shared" si="40"/>
        <v>5131915.5220129499</v>
      </c>
    </row>
    <row r="333" spans="1:10" outlineLevel="2" x14ac:dyDescent="0.25">
      <c r="A333">
        <v>37900</v>
      </c>
      <c r="B333">
        <v>1993</v>
      </c>
      <c r="C333" s="258">
        <v>30.5</v>
      </c>
      <c r="D333" s="212">
        <v>939251.71</v>
      </c>
      <c r="E333">
        <v>52</v>
      </c>
      <c r="F333">
        <v>27.150521000000001</v>
      </c>
      <c r="G333" s="90">
        <f>'Proposed Rates'!$O$22/100</f>
        <v>-0.2</v>
      </c>
      <c r="H333" s="212">
        <f t="shared" si="39"/>
        <v>538613.43792367121</v>
      </c>
      <c r="I333" s="212">
        <f t="shared" si="40"/>
        <v>25501173.276640911</v>
      </c>
    </row>
    <row r="334" spans="1:10" outlineLevel="2" x14ac:dyDescent="0.25">
      <c r="A334">
        <v>37900</v>
      </c>
      <c r="B334">
        <v>1992</v>
      </c>
      <c r="C334" s="258">
        <v>31.5</v>
      </c>
      <c r="D334" s="212">
        <v>374766.08000000002</v>
      </c>
      <c r="E334">
        <v>52</v>
      </c>
      <c r="F334">
        <v>26.45336</v>
      </c>
      <c r="G334" s="90">
        <f>'Proposed Rates'!$O$22/100</f>
        <v>-0.2</v>
      </c>
      <c r="H334" s="212">
        <f t="shared" si="39"/>
        <v>220938.78761472</v>
      </c>
      <c r="I334" s="212">
        <f t="shared" si="40"/>
        <v>9913822.0300287995</v>
      </c>
    </row>
    <row r="335" spans="1:10" ht="13" outlineLevel="1" x14ac:dyDescent="0.3">
      <c r="A335" s="18" t="s">
        <v>1184</v>
      </c>
      <c r="C335" s="258" t="s">
        <v>1229</v>
      </c>
      <c r="D335" s="212">
        <f>SUBTOTAL(9,D303:D334)</f>
        <v>116022316.77999997</v>
      </c>
      <c r="H335" s="212">
        <f>SUBTOTAL(9,H303:H334)</f>
        <v>15214496.87400702</v>
      </c>
      <c r="I335" s="212">
        <f>SUBTOTAL(9,I303:I334)</f>
        <v>5373865608.0196943</v>
      </c>
      <c r="J335" s="212">
        <f>+I335/D335</f>
        <v>46.317516811955663</v>
      </c>
    </row>
    <row r="336" spans="1:10" outlineLevel="2" x14ac:dyDescent="0.25">
      <c r="A336">
        <v>38000</v>
      </c>
      <c r="B336">
        <v>2022</v>
      </c>
      <c r="C336" s="258">
        <v>1.5</v>
      </c>
      <c r="D336" s="212">
        <v>5277037.96</v>
      </c>
      <c r="E336">
        <v>52</v>
      </c>
      <c r="F336">
        <v>51.069181999999998</v>
      </c>
      <c r="G336" s="90">
        <f>'Proposed Rates'!$O$23/100</f>
        <v>-1.3</v>
      </c>
      <c r="H336" s="212">
        <f t="shared" ref="H336:H393" si="41">+D336*(1-F336/E336)*(1-G336)</f>
        <v>217259.85414726831</v>
      </c>
      <c r="I336" s="212">
        <f t="shared" si="40"/>
        <v>269494012.00014871</v>
      </c>
    </row>
    <row r="337" spans="1:9" outlineLevel="2" x14ac:dyDescent="0.25">
      <c r="A337">
        <v>38000</v>
      </c>
      <c r="B337">
        <v>2021</v>
      </c>
      <c r="C337" s="258">
        <v>2.5</v>
      </c>
      <c r="D337" s="212">
        <v>3452917.57</v>
      </c>
      <c r="E337">
        <v>52</v>
      </c>
      <c r="F337">
        <v>50.450758</v>
      </c>
      <c r="G337" s="90">
        <f>'Proposed Rates'!$O$23/100</f>
        <v>-1.3</v>
      </c>
      <c r="H337" s="212">
        <f t="shared" si="41"/>
        <v>236608.29462612417</v>
      </c>
      <c r="I337" s="212">
        <f t="shared" si="40"/>
        <v>174202308.71801805</v>
      </c>
    </row>
    <row r="338" spans="1:9" outlineLevel="2" x14ac:dyDescent="0.25">
      <c r="A338">
        <v>38000</v>
      </c>
      <c r="B338">
        <v>2020</v>
      </c>
      <c r="C338" s="258">
        <v>3.5</v>
      </c>
      <c r="D338" s="212">
        <v>4322446.4000000004</v>
      </c>
      <c r="E338">
        <v>52</v>
      </c>
      <c r="F338">
        <v>49.834004</v>
      </c>
      <c r="G338" s="90">
        <f>'Proposed Rates'!$O$23/100</f>
        <v>-1.3</v>
      </c>
      <c r="H338" s="212">
        <f t="shared" si="41"/>
        <v>414106.22517332941</v>
      </c>
      <c r="I338" s="212">
        <f t="shared" ref="I338:I416" si="42">+D338*F338</f>
        <v>215404811.18738562</v>
      </c>
    </row>
    <row r="339" spans="1:9" outlineLevel="2" x14ac:dyDescent="0.25">
      <c r="A339">
        <v>38000</v>
      </c>
      <c r="B339">
        <v>2019</v>
      </c>
      <c r="C339" s="258">
        <v>4.5</v>
      </c>
      <c r="D339" s="212">
        <v>3084133.29</v>
      </c>
      <c r="E339">
        <v>52</v>
      </c>
      <c r="F339">
        <v>49.218893000000001</v>
      </c>
      <c r="G339" s="90">
        <f>'Proposed Rates'!$O$23/100</f>
        <v>-1.3</v>
      </c>
      <c r="H339" s="212">
        <f t="shared" si="41"/>
        <v>379380.78400057059</v>
      </c>
      <c r="I339" s="212">
        <f t="shared" si="42"/>
        <v>151797626.39824799</v>
      </c>
    </row>
    <row r="340" spans="1:9" outlineLevel="2" x14ac:dyDescent="0.25">
      <c r="A340">
        <v>38000</v>
      </c>
      <c r="B340">
        <v>2018</v>
      </c>
      <c r="C340" s="258">
        <v>5.5</v>
      </c>
      <c r="D340" s="212">
        <v>2092595.06</v>
      </c>
      <c r="E340">
        <v>52</v>
      </c>
      <c r="F340">
        <v>48.605398000000001</v>
      </c>
      <c r="G340" s="90">
        <f>'Proposed Rates'!$O$23/100</f>
        <v>-1.3</v>
      </c>
      <c r="H340" s="212">
        <f t="shared" si="41"/>
        <v>314194.48008638615</v>
      </c>
      <c r="I340" s="212">
        <f t="shared" si="42"/>
        <v>101711415.74413389</v>
      </c>
    </row>
    <row r="341" spans="1:9" outlineLevel="2" x14ac:dyDescent="0.25">
      <c r="A341">
        <v>38000</v>
      </c>
      <c r="B341">
        <v>2017</v>
      </c>
      <c r="C341" s="258">
        <v>6.5</v>
      </c>
      <c r="D341" s="212">
        <v>2566769.58</v>
      </c>
      <c r="E341">
        <v>52</v>
      </c>
      <c r="F341">
        <v>47.993487999999999</v>
      </c>
      <c r="G341" s="90">
        <f>'Proposed Rates'!$O$23/100</f>
        <v>-1.3</v>
      </c>
      <c r="H341" s="212">
        <f t="shared" si="41"/>
        <v>454860.08046271966</v>
      </c>
      <c r="I341" s="212">
        <f t="shared" si="42"/>
        <v>123188225.03649504</v>
      </c>
    </row>
    <row r="342" spans="1:9" outlineLevel="2" x14ac:dyDescent="0.25">
      <c r="A342">
        <v>38000</v>
      </c>
      <c r="B342">
        <v>2016</v>
      </c>
      <c r="C342" s="258">
        <v>7.5</v>
      </c>
      <c r="D342" s="212">
        <v>2914108.93</v>
      </c>
      <c r="E342">
        <v>52</v>
      </c>
      <c r="F342">
        <v>47.383128999999997</v>
      </c>
      <c r="G342" s="90">
        <f>'Proposed Rates'!$O$23/100</f>
        <v>-1.3</v>
      </c>
      <c r="H342" s="212">
        <f t="shared" si="41"/>
        <v>595083.64466237486</v>
      </c>
      <c r="I342" s="212">
        <f t="shared" si="42"/>
        <v>138079599.35024196</v>
      </c>
    </row>
    <row r="343" spans="1:9" outlineLevel="2" x14ac:dyDescent="0.25">
      <c r="A343">
        <v>38000</v>
      </c>
      <c r="B343">
        <v>2015</v>
      </c>
      <c r="C343" s="258">
        <v>8.5</v>
      </c>
      <c r="D343" s="212">
        <v>1643450</v>
      </c>
      <c r="E343">
        <v>52</v>
      </c>
      <c r="F343">
        <v>46.774287000000001</v>
      </c>
      <c r="G343" s="90">
        <f>'Proposed Rates'!$O$23/100</f>
        <v>-1.3</v>
      </c>
      <c r="H343" s="212">
        <f t="shared" si="41"/>
        <v>379862.60516644211</v>
      </c>
      <c r="I343" s="212">
        <f t="shared" si="42"/>
        <v>76871201.970150009</v>
      </c>
    </row>
    <row r="344" spans="1:9" outlineLevel="2" x14ac:dyDescent="0.25">
      <c r="A344">
        <v>38000</v>
      </c>
      <c r="B344">
        <v>2014</v>
      </c>
      <c r="C344" s="258">
        <v>9.5</v>
      </c>
      <c r="D344" s="212">
        <v>1827716.68</v>
      </c>
      <c r="E344">
        <v>52</v>
      </c>
      <c r="F344">
        <v>46.166922999999997</v>
      </c>
      <c r="G344" s="90">
        <f>'Proposed Rates'!$O$23/100</f>
        <v>-1.3</v>
      </c>
      <c r="H344" s="212">
        <f t="shared" si="41"/>
        <v>471553.61338146235</v>
      </c>
      <c r="I344" s="212">
        <f t="shared" si="42"/>
        <v>84380055.231375635</v>
      </c>
    </row>
    <row r="345" spans="1:9" outlineLevel="2" x14ac:dyDescent="0.25">
      <c r="A345">
        <v>38000</v>
      </c>
      <c r="B345">
        <v>2013</v>
      </c>
      <c r="C345" s="258">
        <v>10.5</v>
      </c>
      <c r="D345" s="212">
        <v>2136022.7599999998</v>
      </c>
      <c r="E345">
        <v>52</v>
      </c>
      <c r="F345">
        <v>45.560997</v>
      </c>
      <c r="G345" s="90">
        <f>'Proposed Rates'!$O$23/100</f>
        <v>-1.3</v>
      </c>
      <c r="H345" s="212">
        <f t="shared" si="41"/>
        <v>608343.67321786575</v>
      </c>
      <c r="I345" s="212">
        <f t="shared" si="42"/>
        <v>97319326.560291708</v>
      </c>
    </row>
    <row r="346" spans="1:9" outlineLevel="2" x14ac:dyDescent="0.25">
      <c r="A346">
        <v>38000</v>
      </c>
      <c r="B346">
        <v>2012</v>
      </c>
      <c r="C346" s="258">
        <v>11.5</v>
      </c>
      <c r="D346" s="212">
        <v>1424623.53</v>
      </c>
      <c r="E346">
        <v>52</v>
      </c>
      <c r="F346">
        <v>44.956460999999997</v>
      </c>
      <c r="G346" s="90">
        <f>'Proposed Rates'!$O$23/100</f>
        <v>-1.3</v>
      </c>
      <c r="H346" s="212">
        <f t="shared" si="41"/>
        <v>443828.85011359892</v>
      </c>
      <c r="I346" s="212">
        <f t="shared" si="42"/>
        <v>64046032.166127324</v>
      </c>
    </row>
    <row r="347" spans="1:9" outlineLevel="2" x14ac:dyDescent="0.25">
      <c r="A347">
        <v>38000</v>
      </c>
      <c r="B347">
        <v>2011</v>
      </c>
      <c r="C347" s="258">
        <v>12.5</v>
      </c>
      <c r="D347" s="212">
        <v>816752.87</v>
      </c>
      <c r="E347">
        <v>52</v>
      </c>
      <c r="F347">
        <v>44.353273999999999</v>
      </c>
      <c r="G347" s="90">
        <f>'Proposed Rates'!$O$23/100</f>
        <v>-1.3</v>
      </c>
      <c r="H347" s="212">
        <f t="shared" si="41"/>
        <v>276242.62375362171</v>
      </c>
      <c r="I347" s="212">
        <f t="shared" si="42"/>
        <v>36225663.833396383</v>
      </c>
    </row>
    <row r="348" spans="1:9" outlineLevel="2" x14ac:dyDescent="0.25">
      <c r="A348">
        <v>38000</v>
      </c>
      <c r="B348">
        <v>2010</v>
      </c>
      <c r="C348" s="258">
        <v>13.5</v>
      </c>
      <c r="D348" s="212">
        <v>873693.91</v>
      </c>
      <c r="E348">
        <v>52</v>
      </c>
      <c r="F348">
        <v>43.751421000000001</v>
      </c>
      <c r="G348" s="90">
        <f>'Proposed Rates'!$O$23/100</f>
        <v>-1.3</v>
      </c>
      <c r="H348" s="212">
        <f t="shared" si="41"/>
        <v>318759.35477776814</v>
      </c>
      <c r="I348" s="212">
        <f t="shared" si="42"/>
        <v>38225350.081546113</v>
      </c>
    </row>
    <row r="349" spans="1:9" outlineLevel="2" x14ac:dyDescent="0.25">
      <c r="A349">
        <v>38000</v>
      </c>
      <c r="B349">
        <v>2009</v>
      </c>
      <c r="C349" s="258">
        <v>14.5</v>
      </c>
      <c r="D349" s="212">
        <v>884794.49</v>
      </c>
      <c r="E349">
        <v>52</v>
      </c>
      <c r="F349">
        <v>43.150843999999999</v>
      </c>
      <c r="G349" s="90">
        <f>'Proposed Rates'!$O$23/100</f>
        <v>-1.3</v>
      </c>
      <c r="H349" s="212">
        <f t="shared" si="41"/>
        <v>346312.9669401155</v>
      </c>
      <c r="I349" s="212">
        <f t="shared" si="42"/>
        <v>38179629.010049559</v>
      </c>
    </row>
    <row r="350" spans="1:9" outlineLevel="2" x14ac:dyDescent="0.25">
      <c r="A350">
        <v>38000</v>
      </c>
      <c r="B350">
        <v>2008</v>
      </c>
      <c r="C350" s="258">
        <v>15.5</v>
      </c>
      <c r="D350" s="212">
        <v>1100388.3</v>
      </c>
      <c r="E350">
        <v>52</v>
      </c>
      <c r="F350">
        <v>42.551470999999999</v>
      </c>
      <c r="G350" s="90">
        <f>'Proposed Rates'!$O$23/100</f>
        <v>-1.3</v>
      </c>
      <c r="H350" s="212">
        <f t="shared" si="41"/>
        <v>459869.55301470408</v>
      </c>
      <c r="I350" s="212">
        <f t="shared" si="42"/>
        <v>46823140.8361893</v>
      </c>
    </row>
    <row r="351" spans="1:9" outlineLevel="2" x14ac:dyDescent="0.25">
      <c r="A351">
        <v>38000</v>
      </c>
      <c r="B351">
        <v>2007</v>
      </c>
      <c r="C351" s="258">
        <v>16.5</v>
      </c>
      <c r="D351" s="212">
        <v>1142254.01</v>
      </c>
      <c r="E351">
        <v>52</v>
      </c>
      <c r="F351">
        <v>41.953282999999999</v>
      </c>
      <c r="G351" s="90">
        <f>'Proposed Rates'!$O$23/100</f>
        <v>-1.3</v>
      </c>
      <c r="H351" s="212">
        <f t="shared" si="41"/>
        <v>507588.00760280574</v>
      </c>
      <c r="I351" s="212">
        <f t="shared" si="42"/>
        <v>47921305.739414826</v>
      </c>
    </row>
    <row r="352" spans="1:9" outlineLevel="2" x14ac:dyDescent="0.25">
      <c r="A352">
        <v>38000</v>
      </c>
      <c r="B352">
        <v>2006</v>
      </c>
      <c r="C352" s="258">
        <v>17.5</v>
      </c>
      <c r="D352" s="212">
        <v>745953.09</v>
      </c>
      <c r="E352">
        <v>52</v>
      </c>
      <c r="F352">
        <v>41.356321999999999</v>
      </c>
      <c r="G352" s="90">
        <f>'Proposed Rates'!$O$23/100</f>
        <v>-1.3</v>
      </c>
      <c r="H352" s="212">
        <f t="shared" si="41"/>
        <v>351178.35257787595</v>
      </c>
      <c r="I352" s="212">
        <f t="shared" si="42"/>
        <v>30849876.186934978</v>
      </c>
    </row>
    <row r="353" spans="1:9" outlineLevel="2" x14ac:dyDescent="0.25">
      <c r="A353">
        <v>38000</v>
      </c>
      <c r="B353">
        <v>2005</v>
      </c>
      <c r="C353" s="258">
        <v>18.5</v>
      </c>
      <c r="D353" s="212">
        <v>712481.44</v>
      </c>
      <c r="E353">
        <v>52</v>
      </c>
      <c r="F353">
        <v>40.760655999999997</v>
      </c>
      <c r="G353" s="90">
        <f>'Proposed Rates'!$O$23/100</f>
        <v>-1.3</v>
      </c>
      <c r="H353" s="212">
        <f t="shared" si="41"/>
        <v>354192.21528621798</v>
      </c>
      <c r="I353" s="212">
        <f t="shared" si="42"/>
        <v>29041210.882224634</v>
      </c>
    </row>
    <row r="354" spans="1:9" outlineLevel="2" x14ac:dyDescent="0.25">
      <c r="A354">
        <v>38000</v>
      </c>
      <c r="B354">
        <v>2004</v>
      </c>
      <c r="C354" s="258">
        <v>19.5</v>
      </c>
      <c r="D354" s="212">
        <v>626229.59</v>
      </c>
      <c r="E354">
        <v>52</v>
      </c>
      <c r="F354">
        <v>40.166384000000001</v>
      </c>
      <c r="G354" s="90">
        <f>'Proposed Rates'!$O$23/100</f>
        <v>-1.3</v>
      </c>
      <c r="H354" s="212">
        <f t="shared" si="41"/>
        <v>327774.79116469447</v>
      </c>
      <c r="I354" s="212">
        <f t="shared" si="42"/>
        <v>25153378.184102558</v>
      </c>
    </row>
    <row r="355" spans="1:9" outlineLevel="2" x14ac:dyDescent="0.25">
      <c r="A355">
        <v>38000</v>
      </c>
      <c r="B355">
        <v>2003</v>
      </c>
      <c r="C355" s="258">
        <v>20.5</v>
      </c>
      <c r="D355" s="212">
        <v>744756.26</v>
      </c>
      <c r="E355">
        <v>52</v>
      </c>
      <c r="F355">
        <v>39.573611999999997</v>
      </c>
      <c r="G355" s="90">
        <f>'Proposed Rates'!$O$23/100</f>
        <v>-1.3</v>
      </c>
      <c r="H355" s="212">
        <f t="shared" si="41"/>
        <v>409339.41500066215</v>
      </c>
      <c r="I355" s="212">
        <f t="shared" si="42"/>
        <v>29472695.26781112</v>
      </c>
    </row>
    <row r="356" spans="1:9" outlineLevel="2" x14ac:dyDescent="0.25">
      <c r="A356">
        <v>38000</v>
      </c>
      <c r="B356">
        <v>2002</v>
      </c>
      <c r="C356" s="258">
        <v>21.5</v>
      </c>
      <c r="D356" s="212">
        <v>1232262.96</v>
      </c>
      <c r="E356">
        <v>52</v>
      </c>
      <c r="F356">
        <v>38.982478999999998</v>
      </c>
      <c r="G356" s="90">
        <f>'Proposed Rates'!$O$23/100</f>
        <v>-1.3</v>
      </c>
      <c r="H356" s="212">
        <f t="shared" si="41"/>
        <v>709506.16550848016</v>
      </c>
      <c r="I356" s="212">
        <f t="shared" si="42"/>
        <v>48036664.960677832</v>
      </c>
    </row>
    <row r="357" spans="1:9" outlineLevel="2" x14ac:dyDescent="0.25">
      <c r="A357">
        <v>38000</v>
      </c>
      <c r="B357">
        <v>2001</v>
      </c>
      <c r="C357" s="258">
        <v>22.5</v>
      </c>
      <c r="D357" s="212">
        <v>43906.43</v>
      </c>
      <c r="E357">
        <v>52</v>
      </c>
      <c r="F357">
        <v>38.393118999999999</v>
      </c>
      <c r="G357" s="90">
        <f>'Proposed Rates'!$O$23/100</f>
        <v>-1.3</v>
      </c>
      <c r="H357" s="212">
        <f t="shared" si="41"/>
        <v>26424.769360252096</v>
      </c>
      <c r="I357" s="212">
        <f t="shared" si="42"/>
        <v>1685704.7918551699</v>
      </c>
    </row>
    <row r="358" spans="1:9" outlineLevel="2" x14ac:dyDescent="0.25">
      <c r="A358">
        <v>38000</v>
      </c>
      <c r="B358">
        <v>2000</v>
      </c>
      <c r="C358" s="258">
        <v>23.5</v>
      </c>
      <c r="D358" s="212">
        <v>2148333.7599999998</v>
      </c>
      <c r="E358">
        <v>52</v>
      </c>
      <c r="F358">
        <v>37.805683999999999</v>
      </c>
      <c r="G358" s="90">
        <f>'Proposed Rates'!$O$23/100</f>
        <v>-1.3</v>
      </c>
      <c r="H358" s="212">
        <f t="shared" si="41"/>
        <v>1348778.7500901686</v>
      </c>
      <c r="I358" s="212">
        <f t="shared" si="42"/>
        <v>81219227.257091835</v>
      </c>
    </row>
    <row r="359" spans="1:9" outlineLevel="2" x14ac:dyDescent="0.25">
      <c r="A359">
        <v>38000</v>
      </c>
      <c r="B359">
        <v>1999</v>
      </c>
      <c r="C359" s="258">
        <v>24.5</v>
      </c>
      <c r="D359" s="212">
        <v>1130735.1000000001</v>
      </c>
      <c r="E359">
        <v>52</v>
      </c>
      <c r="F359">
        <v>37.220322000000003</v>
      </c>
      <c r="G359" s="90">
        <f>'Proposed Rates'!$O$23/100</f>
        <v>-1.3</v>
      </c>
      <c r="H359" s="212">
        <f t="shared" si="41"/>
        <v>739180.2224420181</v>
      </c>
      <c r="I359" s="212">
        <f t="shared" si="42"/>
        <v>42086324.518702209</v>
      </c>
    </row>
    <row r="360" spans="1:9" outlineLevel="2" x14ac:dyDescent="0.25">
      <c r="A360">
        <v>38000</v>
      </c>
      <c r="B360">
        <v>1998</v>
      </c>
      <c r="C360" s="258">
        <v>25.5</v>
      </c>
      <c r="D360" s="212">
        <v>1140921.68</v>
      </c>
      <c r="E360">
        <v>52</v>
      </c>
      <c r="F360">
        <v>36.637194999999998</v>
      </c>
      <c r="G360" s="90">
        <f>'Proposed Rates'!$O$23/100</f>
        <v>-1.3</v>
      </c>
      <c r="H360" s="212">
        <f t="shared" si="41"/>
        <v>775266.18783189473</v>
      </c>
      <c r="I360" s="212">
        <f t="shared" si="42"/>
        <v>41800170.069887593</v>
      </c>
    </row>
    <row r="361" spans="1:9" outlineLevel="2" x14ac:dyDescent="0.25">
      <c r="A361">
        <v>38000</v>
      </c>
      <c r="B361">
        <v>1997</v>
      </c>
      <c r="C361" s="258">
        <v>26.5</v>
      </c>
      <c r="D361" s="212">
        <v>922458.66</v>
      </c>
      <c r="E361">
        <v>52</v>
      </c>
      <c r="F361">
        <v>36.056510000000003</v>
      </c>
      <c r="G361" s="90">
        <f>'Proposed Rates'!$O$23/100</f>
        <v>-1.3</v>
      </c>
      <c r="H361" s="212">
        <f t="shared" si="41"/>
        <v>650511.2301650733</v>
      </c>
      <c r="I361" s="212">
        <f t="shared" si="42"/>
        <v>33260639.898876604</v>
      </c>
    </row>
    <row r="362" spans="1:9" outlineLevel="2" x14ac:dyDescent="0.25">
      <c r="A362">
        <v>38000</v>
      </c>
      <c r="B362">
        <v>1996</v>
      </c>
      <c r="C362" s="258">
        <v>27.5</v>
      </c>
      <c r="D362" s="212">
        <v>556872.81000000006</v>
      </c>
      <c r="E362">
        <v>52</v>
      </c>
      <c r="F362">
        <v>35.478425000000001</v>
      </c>
      <c r="G362" s="90">
        <f>'Proposed Rates'!$O$23/100</f>
        <v>-1.3</v>
      </c>
      <c r="H362" s="212">
        <f t="shared" si="41"/>
        <v>406941.47231758124</v>
      </c>
      <c r="I362" s="212">
        <f t="shared" si="42"/>
        <v>19756970.224124253</v>
      </c>
    </row>
    <row r="363" spans="1:9" outlineLevel="2" x14ac:dyDescent="0.25">
      <c r="A363">
        <v>38000</v>
      </c>
      <c r="B363">
        <v>1995</v>
      </c>
      <c r="C363" s="258">
        <v>28.5</v>
      </c>
      <c r="D363" s="212">
        <v>601123.07999999996</v>
      </c>
      <c r="E363">
        <v>52</v>
      </c>
      <c r="F363">
        <v>34.903053999999997</v>
      </c>
      <c r="G363" s="90">
        <f>'Proposed Rates'!$O$23/100</f>
        <v>-1.3</v>
      </c>
      <c r="H363" s="212">
        <f t="shared" si="41"/>
        <v>454575.92937810509</v>
      </c>
      <c r="I363" s="212">
        <f t="shared" si="42"/>
        <v>20981031.321886316</v>
      </c>
    </row>
    <row r="364" spans="1:9" outlineLevel="2" x14ac:dyDescent="0.25">
      <c r="A364">
        <v>38000</v>
      </c>
      <c r="B364">
        <v>1994</v>
      </c>
      <c r="C364" s="258">
        <v>29.5</v>
      </c>
      <c r="D364" s="212">
        <v>946759.92</v>
      </c>
      <c r="E364">
        <v>52</v>
      </c>
      <c r="F364">
        <v>34.330551</v>
      </c>
      <c r="G364" s="90">
        <f>'Proposed Rates'!$O$23/100</f>
        <v>-1.3</v>
      </c>
      <c r="H364" s="212">
        <f t="shared" si="41"/>
        <v>739924.4246129496</v>
      </c>
      <c r="I364" s="212">
        <f t="shared" si="42"/>
        <v>32502789.718315922</v>
      </c>
    </row>
    <row r="365" spans="1:9" outlineLevel="2" x14ac:dyDescent="0.25">
      <c r="A365">
        <v>38000</v>
      </c>
      <c r="B365">
        <v>1993</v>
      </c>
      <c r="C365" s="258">
        <v>30.5</v>
      </c>
      <c r="D365" s="212">
        <v>870876.44</v>
      </c>
      <c r="E365">
        <v>52</v>
      </c>
      <c r="F365">
        <v>33.761069999999997</v>
      </c>
      <c r="G365" s="90">
        <f>'Proposed Rates'!$O$23/100</f>
        <v>-1.3</v>
      </c>
      <c r="H365" s="212">
        <f t="shared" si="41"/>
        <v>702555.09969156084</v>
      </c>
      <c r="I365" s="212">
        <f t="shared" si="42"/>
        <v>29401720.452190794</v>
      </c>
    </row>
    <row r="366" spans="1:9" outlineLevel="2" x14ac:dyDescent="0.25">
      <c r="A366">
        <v>38000</v>
      </c>
      <c r="B366">
        <v>1992</v>
      </c>
      <c r="C366" s="258">
        <v>31.5</v>
      </c>
      <c r="D366" s="212">
        <v>960446.61</v>
      </c>
      <c r="E366">
        <v>52</v>
      </c>
      <c r="F366">
        <v>33.194747999999997</v>
      </c>
      <c r="G366" s="90">
        <f>'Proposed Rates'!$O$23/100</f>
        <v>-1.3</v>
      </c>
      <c r="H366" s="212">
        <f t="shared" si="41"/>
        <v>798871.40821673383</v>
      </c>
      <c r="I366" s="212">
        <f t="shared" si="42"/>
        <v>31881783.186404277</v>
      </c>
    </row>
    <row r="367" spans="1:9" outlineLevel="2" x14ac:dyDescent="0.25">
      <c r="A367">
        <v>38000</v>
      </c>
      <c r="B367">
        <v>1991</v>
      </c>
      <c r="C367" s="258">
        <v>32.5</v>
      </c>
      <c r="D367" s="212">
        <v>1137030.3600000001</v>
      </c>
      <c r="E367">
        <v>52</v>
      </c>
      <c r="F367">
        <v>32.631731000000002</v>
      </c>
      <c r="G367" s="90">
        <f>'Proposed Rates'!$O$23/100</f>
        <v>-1.3</v>
      </c>
      <c r="H367" s="212">
        <f t="shared" si="41"/>
        <v>974063.70594976388</v>
      </c>
      <c r="I367" s="212">
        <f t="shared" si="42"/>
        <v>37103268.846353166</v>
      </c>
    </row>
    <row r="368" spans="1:9" outlineLevel="2" x14ac:dyDescent="0.25">
      <c r="A368">
        <v>38000</v>
      </c>
      <c r="B368">
        <v>1990</v>
      </c>
      <c r="C368" s="258">
        <v>33.5</v>
      </c>
      <c r="D368" s="212">
        <v>842641.67</v>
      </c>
      <c r="E368">
        <v>52</v>
      </c>
      <c r="F368">
        <v>32.072144000000002</v>
      </c>
      <c r="G368" s="90">
        <f>'Proposed Rates'!$O$23/100</f>
        <v>-1.3</v>
      </c>
      <c r="H368" s="212">
        <f t="shared" si="41"/>
        <v>742724.92839474801</v>
      </c>
      <c r="I368" s="212">
        <f t="shared" si="42"/>
        <v>27025324.980640482</v>
      </c>
    </row>
    <row r="369" spans="1:9" outlineLevel="2" x14ac:dyDescent="0.25">
      <c r="A369">
        <v>38000</v>
      </c>
      <c r="B369">
        <v>1989</v>
      </c>
      <c r="C369" s="258">
        <v>34.5</v>
      </c>
      <c r="D369" s="212">
        <v>762659.44</v>
      </c>
      <c r="E369">
        <v>52</v>
      </c>
      <c r="F369">
        <v>31.516116</v>
      </c>
      <c r="G369" s="90">
        <f>'Proposed Rates'!$O$23/100</f>
        <v>-1.3</v>
      </c>
      <c r="H369" s="212">
        <f t="shared" ref="H369:H378" si="43">+D369*(1-F369/E369)*(1-G369)</f>
        <v>690983.13944364234</v>
      </c>
      <c r="I369" s="212">
        <f t="shared" ref="I369:I378" si="44">+D369*F369</f>
        <v>24036063.379535038</v>
      </c>
    </row>
    <row r="370" spans="1:9" outlineLevel="2" x14ac:dyDescent="0.25">
      <c r="A370">
        <v>38000</v>
      </c>
      <c r="B370">
        <v>1988</v>
      </c>
      <c r="C370" s="258">
        <v>35.5</v>
      </c>
      <c r="D370" s="212">
        <v>692496.56</v>
      </c>
      <c r="E370">
        <v>52</v>
      </c>
      <c r="F370">
        <v>30.963764999999999</v>
      </c>
      <c r="G370" s="90">
        <f>'Proposed Rates'!$O$23/100</f>
        <v>-1.3</v>
      </c>
      <c r="H370" s="212">
        <f t="shared" si="43"/>
        <v>644332.63187612849</v>
      </c>
      <c r="I370" s="212">
        <f t="shared" si="44"/>
        <v>21442300.747148402</v>
      </c>
    </row>
    <row r="371" spans="1:9" outlineLevel="2" x14ac:dyDescent="0.25">
      <c r="A371">
        <v>38000</v>
      </c>
      <c r="B371">
        <v>1987</v>
      </c>
      <c r="C371" s="258">
        <v>36.5</v>
      </c>
      <c r="D371" s="212">
        <v>592113.65</v>
      </c>
      <c r="E371">
        <v>52</v>
      </c>
      <c r="F371">
        <v>30.415199999999999</v>
      </c>
      <c r="G371" s="90">
        <f>'Proposed Rates'!$O$23/100</f>
        <v>-1.3</v>
      </c>
      <c r="H371" s="212">
        <f t="shared" si="43"/>
        <v>565298.18920761545</v>
      </c>
      <c r="I371" s="212">
        <f t="shared" si="44"/>
        <v>18009255.087480001</v>
      </c>
    </row>
    <row r="372" spans="1:9" outlineLevel="2" x14ac:dyDescent="0.25">
      <c r="A372">
        <v>38000</v>
      </c>
      <c r="B372">
        <v>1986</v>
      </c>
      <c r="C372" s="258">
        <v>37.5</v>
      </c>
      <c r="D372" s="212">
        <v>517340.04</v>
      </c>
      <c r="E372">
        <v>52</v>
      </c>
      <c r="F372">
        <v>29.870528</v>
      </c>
      <c r="G372" s="90">
        <f>'Proposed Rates'!$O$23/100</f>
        <v>-1.3</v>
      </c>
      <c r="H372" s="212">
        <f t="shared" si="43"/>
        <v>506374.27765798883</v>
      </c>
      <c r="I372" s="212">
        <f t="shared" si="44"/>
        <v>15453220.15034112</v>
      </c>
    </row>
    <row r="373" spans="1:9" outlineLevel="2" x14ac:dyDescent="0.25">
      <c r="A373">
        <v>38000</v>
      </c>
      <c r="B373">
        <v>1985</v>
      </c>
      <c r="C373" s="258">
        <v>38.5</v>
      </c>
      <c r="D373" s="212">
        <v>674867.18</v>
      </c>
      <c r="E373">
        <v>52</v>
      </c>
      <c r="F373">
        <v>29.329834999999999</v>
      </c>
      <c r="G373" s="90">
        <f>'Proposed Rates'!$O$23/100</f>
        <v>-1.3</v>
      </c>
      <c r="H373" s="212">
        <f t="shared" si="43"/>
        <v>676702.03354759235</v>
      </c>
      <c r="I373" s="212">
        <f t="shared" si="44"/>
        <v>19793743.0363153</v>
      </c>
    </row>
    <row r="374" spans="1:9" outlineLevel="2" x14ac:dyDescent="0.25">
      <c r="A374">
        <v>38000</v>
      </c>
      <c r="B374">
        <v>1984</v>
      </c>
      <c r="C374" s="258">
        <v>39.5</v>
      </c>
      <c r="D374" s="212">
        <v>466380.12</v>
      </c>
      <c r="E374">
        <v>52</v>
      </c>
      <c r="F374">
        <v>28.793268999999999</v>
      </c>
      <c r="G374" s="90">
        <f>'Proposed Rates'!$O$23/100</f>
        <v>-1.3</v>
      </c>
      <c r="H374" s="212">
        <f t="shared" si="43"/>
        <v>478716.60334137996</v>
      </c>
      <c r="I374" s="212">
        <f t="shared" si="44"/>
        <v>13428608.25141228</v>
      </c>
    </row>
    <row r="375" spans="1:9" outlineLevel="2" x14ac:dyDescent="0.25">
      <c r="A375">
        <v>38000</v>
      </c>
      <c r="B375">
        <v>1983</v>
      </c>
      <c r="C375" s="258">
        <v>40.5</v>
      </c>
      <c r="D375" s="212">
        <v>422534.67</v>
      </c>
      <c r="E375">
        <v>52</v>
      </c>
      <c r="F375">
        <v>28.260905000000001</v>
      </c>
      <c r="G375" s="90">
        <f>'Proposed Rates'!$O$23/100</f>
        <v>-1.3</v>
      </c>
      <c r="H375" s="212">
        <f t="shared" si="43"/>
        <v>443660.74125816138</v>
      </c>
      <c r="I375" s="212">
        <f t="shared" si="44"/>
        <v>11941212.168076349</v>
      </c>
    </row>
    <row r="376" spans="1:9" outlineLevel="2" x14ac:dyDescent="0.25">
      <c r="A376">
        <v>38000</v>
      </c>
      <c r="B376">
        <v>1982</v>
      </c>
      <c r="C376" s="258">
        <v>41.5</v>
      </c>
      <c r="D376" s="212">
        <v>470461.4</v>
      </c>
      <c r="E376">
        <v>52</v>
      </c>
      <c r="F376">
        <v>27.732762999999998</v>
      </c>
      <c r="G376" s="90">
        <f>'Proposed Rates'!$O$23/100</f>
        <v>-1.3</v>
      </c>
      <c r="H376" s="212">
        <f t="shared" si="43"/>
        <v>504973.77065863734</v>
      </c>
      <c r="I376" s="212">
        <f t="shared" si="44"/>
        <v>13047194.506848199</v>
      </c>
    </row>
    <row r="377" spans="1:9" outlineLevel="2" x14ac:dyDescent="0.25">
      <c r="A377">
        <v>38000</v>
      </c>
      <c r="B377">
        <v>1981</v>
      </c>
      <c r="C377" s="258">
        <v>42.5</v>
      </c>
      <c r="D377" s="212">
        <v>555812.49</v>
      </c>
      <c r="E377">
        <v>52</v>
      </c>
      <c r="F377">
        <v>27.208894999999998</v>
      </c>
      <c r="G377" s="90">
        <f>'Proposed Rates'!$O$23/100</f>
        <v>-1.3</v>
      </c>
      <c r="H377" s="212">
        <f t="shared" si="43"/>
        <v>609464.87191871786</v>
      </c>
      <c r="I377" s="212">
        <f t="shared" si="44"/>
        <v>15123043.680098549</v>
      </c>
    </row>
    <row r="378" spans="1:9" outlineLevel="2" x14ac:dyDescent="0.25">
      <c r="A378">
        <v>38000</v>
      </c>
      <c r="B378">
        <v>1980</v>
      </c>
      <c r="C378" s="258">
        <v>43.5</v>
      </c>
      <c r="D378" s="212">
        <v>255934.82</v>
      </c>
      <c r="E378">
        <v>52</v>
      </c>
      <c r="F378">
        <v>26.689359</v>
      </c>
      <c r="G378" s="90">
        <f>'Proposed Rates'!$O$23/100</f>
        <v>-1.3</v>
      </c>
      <c r="H378" s="212">
        <f t="shared" si="43"/>
        <v>286521.36541086779</v>
      </c>
      <c r="I378" s="212">
        <f t="shared" si="44"/>
        <v>6830736.2915803799</v>
      </c>
    </row>
    <row r="379" spans="1:9" outlineLevel="2" x14ac:dyDescent="0.25">
      <c r="A379">
        <v>38000</v>
      </c>
      <c r="B379">
        <v>1979</v>
      </c>
      <c r="C379" s="258">
        <v>44.5</v>
      </c>
      <c r="D379" s="212">
        <v>633218.64</v>
      </c>
      <c r="E379">
        <v>52</v>
      </c>
      <c r="F379">
        <v>26.174192999999999</v>
      </c>
      <c r="G379" s="90">
        <f>'Proposed Rates'!$O$23/100</f>
        <v>-1.3</v>
      </c>
      <c r="H379" s="212">
        <f t="shared" si="41"/>
        <v>723322.6824330329</v>
      </c>
      <c r="I379" s="212">
        <f t="shared" si="42"/>
        <v>16573986.894557519</v>
      </c>
    </row>
    <row r="380" spans="1:9" outlineLevel="2" x14ac:dyDescent="0.25">
      <c r="A380">
        <v>38000</v>
      </c>
      <c r="B380">
        <v>1978</v>
      </c>
      <c r="C380" s="258">
        <v>45.5</v>
      </c>
      <c r="D380" s="212">
        <v>715074.81</v>
      </c>
      <c r="E380">
        <v>52</v>
      </c>
      <c r="F380">
        <v>25.663433000000001</v>
      </c>
      <c r="G380" s="90">
        <f>'Proposed Rates'!$O$23/100</f>
        <v>-1.3</v>
      </c>
      <c r="H380" s="212">
        <f t="shared" si="41"/>
        <v>832981.07654284069</v>
      </c>
      <c r="I380" s="212">
        <f t="shared" si="42"/>
        <v>18351274.476422731</v>
      </c>
    </row>
    <row r="381" spans="1:9" outlineLevel="2" x14ac:dyDescent="0.25">
      <c r="A381">
        <v>38000</v>
      </c>
      <c r="B381">
        <v>1977</v>
      </c>
      <c r="C381" s="258">
        <v>46.5</v>
      </c>
      <c r="D381" s="212">
        <v>377370.85</v>
      </c>
      <c r="E381">
        <v>52</v>
      </c>
      <c r="F381">
        <v>25.157108000000001</v>
      </c>
      <c r="G381" s="90">
        <f>'Proposed Rates'!$O$23/100</f>
        <v>-1.3</v>
      </c>
      <c r="H381" s="212">
        <f t="shared" si="41"/>
        <v>448045.52754126652</v>
      </c>
      <c r="I381" s="212">
        <f t="shared" si="42"/>
        <v>9493559.2295018006</v>
      </c>
    </row>
    <row r="382" spans="1:9" outlineLevel="2" x14ac:dyDescent="0.25">
      <c r="A382">
        <v>38000</v>
      </c>
      <c r="B382">
        <v>1976</v>
      </c>
      <c r="C382" s="258">
        <v>47.5</v>
      </c>
      <c r="D382" s="212">
        <v>448302.96</v>
      </c>
      <c r="E382">
        <v>52</v>
      </c>
      <c r="F382">
        <v>24.655238000000001</v>
      </c>
      <c r="G382" s="90">
        <f>'Proposed Rates'!$O$23/100</f>
        <v>-1.3</v>
      </c>
      <c r="H382" s="212">
        <f t="shared" si="41"/>
        <v>542213.40026384033</v>
      </c>
      <c r="I382" s="212">
        <f t="shared" si="42"/>
        <v>11053016.174904481</v>
      </c>
    </row>
    <row r="383" spans="1:9" outlineLevel="2" x14ac:dyDescent="0.25">
      <c r="A383">
        <v>38000</v>
      </c>
      <c r="B383">
        <v>1975</v>
      </c>
      <c r="C383" s="258">
        <v>48.5</v>
      </c>
      <c r="D383" s="212">
        <v>650802.5</v>
      </c>
      <c r="E383">
        <v>52</v>
      </c>
      <c r="F383">
        <v>24.157831000000002</v>
      </c>
      <c r="G383" s="90">
        <f>'Proposed Rates'!$O$23/100</f>
        <v>-1.3</v>
      </c>
      <c r="H383" s="212">
        <f t="shared" si="41"/>
        <v>801450.62189291813</v>
      </c>
      <c r="I383" s="212">
        <f t="shared" si="42"/>
        <v>15721976.809377501</v>
      </c>
    </row>
    <row r="384" spans="1:9" outlineLevel="2" x14ac:dyDescent="0.25">
      <c r="A384">
        <v>38000</v>
      </c>
      <c r="B384">
        <v>1974</v>
      </c>
      <c r="C384" s="258">
        <v>49.5</v>
      </c>
      <c r="D384" s="212">
        <v>1002722.32</v>
      </c>
      <c r="E384">
        <v>52</v>
      </c>
      <c r="F384">
        <v>23.664894</v>
      </c>
      <c r="G384" s="90">
        <f>'Proposed Rates'!$O$23/100</f>
        <v>-1.3</v>
      </c>
      <c r="H384" s="212">
        <f t="shared" si="41"/>
        <v>1256695.3734473386</v>
      </c>
      <c r="I384" s="212">
        <f t="shared" si="42"/>
        <v>23729317.414234079</v>
      </c>
    </row>
    <row r="385" spans="1:9" outlineLevel="2" x14ac:dyDescent="0.25">
      <c r="A385">
        <v>38000</v>
      </c>
      <c r="B385">
        <v>1973</v>
      </c>
      <c r="C385" s="258">
        <v>50.5</v>
      </c>
      <c r="D385" s="212">
        <v>1103856.42</v>
      </c>
      <c r="E385">
        <v>52</v>
      </c>
      <c r="F385">
        <v>23.17642</v>
      </c>
      <c r="G385" s="90">
        <f>'Proposed Rates'!$O$23/100</f>
        <v>-1.3</v>
      </c>
      <c r="H385" s="212">
        <f t="shared" si="41"/>
        <v>1407294.5348054282</v>
      </c>
      <c r="I385" s="212">
        <f t="shared" si="42"/>
        <v>25583440.009616397</v>
      </c>
    </row>
    <row r="386" spans="1:9" outlineLevel="2" x14ac:dyDescent="0.25">
      <c r="A386">
        <v>38000</v>
      </c>
      <c r="B386">
        <v>1972</v>
      </c>
      <c r="C386" s="258">
        <v>51.5</v>
      </c>
      <c r="D386" s="212">
        <v>718089.58</v>
      </c>
      <c r="E386">
        <v>52</v>
      </c>
      <c r="F386">
        <v>22.692397</v>
      </c>
      <c r="G386" s="90">
        <f>'Proposed Rates'!$O$23/100</f>
        <v>-1.3</v>
      </c>
      <c r="H386" s="212">
        <f t="shared" si="41"/>
        <v>930857.96070916345</v>
      </c>
      <c r="I386" s="212">
        <f t="shared" si="42"/>
        <v>16295173.830923259</v>
      </c>
    </row>
    <row r="387" spans="1:9" outlineLevel="2" x14ac:dyDescent="0.25">
      <c r="A387">
        <v>38000</v>
      </c>
      <c r="B387">
        <v>1971</v>
      </c>
      <c r="C387" s="258">
        <v>52.5</v>
      </c>
      <c r="D387" s="212">
        <v>568804.89</v>
      </c>
      <c r="E387">
        <v>52</v>
      </c>
      <c r="F387">
        <v>22.212848000000001</v>
      </c>
      <c r="G387" s="90">
        <f>'Proposed Rates'!$O$23/100</f>
        <v>-1.3</v>
      </c>
      <c r="H387" s="212">
        <f t="shared" si="41"/>
        <v>749405.36054958741</v>
      </c>
      <c r="I387" s="212">
        <f t="shared" si="42"/>
        <v>12634776.56322672</v>
      </c>
    </row>
    <row r="388" spans="1:9" outlineLevel="2" x14ac:dyDescent="0.25">
      <c r="A388">
        <v>38000</v>
      </c>
      <c r="B388">
        <v>1970</v>
      </c>
      <c r="C388" s="258">
        <v>53.5</v>
      </c>
      <c r="D388" s="212">
        <v>358544.46</v>
      </c>
      <c r="E388">
        <v>52</v>
      </c>
      <c r="F388">
        <v>21.737731</v>
      </c>
      <c r="G388" s="90">
        <f>'Proposed Rates'!$O$23/100</f>
        <v>-1.3</v>
      </c>
      <c r="H388" s="212">
        <f t="shared" si="41"/>
        <v>479920.16275102692</v>
      </c>
      <c r="I388" s="212">
        <f t="shared" si="42"/>
        <v>7793943.023020261</v>
      </c>
    </row>
    <row r="389" spans="1:9" outlineLevel="2" x14ac:dyDescent="0.25">
      <c r="A389">
        <v>38000</v>
      </c>
      <c r="B389">
        <v>1969</v>
      </c>
      <c r="C389" s="258">
        <v>54.5</v>
      </c>
      <c r="D389" s="212">
        <v>473081.02</v>
      </c>
      <c r="E389">
        <v>52</v>
      </c>
      <c r="F389">
        <v>21.266983</v>
      </c>
      <c r="G389" s="90">
        <f>'Proposed Rates'!$O$23/100</f>
        <v>-1.3</v>
      </c>
      <c r="H389" s="212">
        <f t="shared" si="41"/>
        <v>643080.31094395916</v>
      </c>
      <c r="I389" s="212">
        <f t="shared" si="42"/>
        <v>10061006.009962661</v>
      </c>
    </row>
    <row r="390" spans="1:9" outlineLevel="2" x14ac:dyDescent="0.25">
      <c r="A390">
        <v>38000</v>
      </c>
      <c r="B390">
        <v>1968</v>
      </c>
      <c r="C390" s="258">
        <v>55.5</v>
      </c>
      <c r="D390" s="212">
        <v>454367.57</v>
      </c>
      <c r="E390">
        <v>52</v>
      </c>
      <c r="F390">
        <v>20.800560999999998</v>
      </c>
      <c r="G390" s="90">
        <f>'Proposed Rates'!$O$23/100</f>
        <v>-1.3</v>
      </c>
      <c r="H390" s="212">
        <f t="shared" si="41"/>
        <v>627015.97216777748</v>
      </c>
      <c r="I390" s="212">
        <f t="shared" si="42"/>
        <v>9451100.3562067691</v>
      </c>
    </row>
    <row r="391" spans="1:9" outlineLevel="2" x14ac:dyDescent="0.25">
      <c r="A391">
        <v>38000</v>
      </c>
      <c r="B391">
        <v>1967</v>
      </c>
      <c r="C391" s="258">
        <v>56.5</v>
      </c>
      <c r="D391" s="212">
        <v>625501.99</v>
      </c>
      <c r="E391">
        <v>52</v>
      </c>
      <c r="F391">
        <v>20.338417</v>
      </c>
      <c r="G391" s="90">
        <f>'Proposed Rates'!$O$23/100</f>
        <v>-1.3</v>
      </c>
      <c r="H391" s="212">
        <f t="shared" si="41"/>
        <v>875963.1018849113</v>
      </c>
      <c r="I391" s="212">
        <f t="shared" si="42"/>
        <v>12721720.30694983</v>
      </c>
    </row>
    <row r="392" spans="1:9" outlineLevel="2" x14ac:dyDescent="0.25">
      <c r="A392">
        <v>38000</v>
      </c>
      <c r="B392">
        <v>1966</v>
      </c>
      <c r="C392" s="258">
        <v>57.5</v>
      </c>
      <c r="D392" s="212">
        <v>585399.56999999995</v>
      </c>
      <c r="E392">
        <v>52</v>
      </c>
      <c r="F392">
        <v>19.880493999999999</v>
      </c>
      <c r="G392" s="90">
        <f>'Proposed Rates'!$O$23/100</f>
        <v>-1.3</v>
      </c>
      <c r="H392" s="212">
        <f t="shared" si="41"/>
        <v>831659.87504478008</v>
      </c>
      <c r="I392" s="212">
        <f t="shared" si="42"/>
        <v>11638032.638987578</v>
      </c>
    </row>
    <row r="393" spans="1:9" outlineLevel="2" x14ac:dyDescent="0.25">
      <c r="A393">
        <v>38000</v>
      </c>
      <c r="B393">
        <v>1965</v>
      </c>
      <c r="C393" s="258">
        <v>58.5</v>
      </c>
      <c r="D393" s="212">
        <v>213189.43</v>
      </c>
      <c r="E393">
        <v>52</v>
      </c>
      <c r="F393">
        <v>19.426732999999999</v>
      </c>
      <c r="G393" s="90">
        <f>'Proposed Rates'!$O$23/100</f>
        <v>-1.3</v>
      </c>
      <c r="H393" s="212">
        <f t="shared" si="41"/>
        <v>307150.6791812685</v>
      </c>
      <c r="I393" s="212">
        <f t="shared" si="42"/>
        <v>4141574.1350321895</v>
      </c>
    </row>
    <row r="394" spans="1:9" outlineLevel="2" x14ac:dyDescent="0.25">
      <c r="A394">
        <v>38000</v>
      </c>
      <c r="B394">
        <v>1964</v>
      </c>
      <c r="C394" s="258">
        <v>59.5</v>
      </c>
      <c r="D394" s="212">
        <v>251214.54</v>
      </c>
      <c r="E394">
        <v>52</v>
      </c>
      <c r="F394">
        <v>18.977060000000002</v>
      </c>
      <c r="G394" s="90">
        <f>'Proposed Rates'!$O$23/100</f>
        <v>-1.3</v>
      </c>
      <c r="H394" s="212">
        <f t="shared" ref="H394:H458" si="45">+D394*(1-F394/E394)*(1-G394)</f>
        <v>366931.5032222977</v>
      </c>
      <c r="I394" s="212">
        <f t="shared" si="42"/>
        <v>4767313.3984524002</v>
      </c>
    </row>
    <row r="395" spans="1:9" outlineLevel="2" x14ac:dyDescent="0.25">
      <c r="A395">
        <v>38000</v>
      </c>
      <c r="B395">
        <v>1963</v>
      </c>
      <c r="C395" s="258">
        <v>60.5</v>
      </c>
      <c r="D395" s="212">
        <v>181908.15</v>
      </c>
      <c r="E395">
        <v>52</v>
      </c>
      <c r="F395">
        <v>18.531407999999999</v>
      </c>
      <c r="G395" s="90">
        <f>'Proposed Rates'!$O$23/100</f>
        <v>-1.3</v>
      </c>
      <c r="H395" s="212">
        <f t="shared" si="45"/>
        <v>269286.1962268661</v>
      </c>
      <c r="I395" s="212">
        <f t="shared" si="42"/>
        <v>3371014.1461751997</v>
      </c>
    </row>
    <row r="396" spans="1:9" outlineLevel="2" x14ac:dyDescent="0.25">
      <c r="A396">
        <v>38000</v>
      </c>
      <c r="B396">
        <v>1962</v>
      </c>
      <c r="C396" s="258">
        <v>61.5</v>
      </c>
      <c r="D396" s="212">
        <v>173420.77</v>
      </c>
      <c r="E396">
        <v>52</v>
      </c>
      <c r="F396">
        <v>18.089690999999998</v>
      </c>
      <c r="G396" s="90">
        <f>'Proposed Rates'!$O$23/100</f>
        <v>-1.3</v>
      </c>
      <c r="H396" s="212">
        <f t="shared" si="45"/>
        <v>260110.18009136998</v>
      </c>
      <c r="I396" s="212">
        <f t="shared" si="42"/>
        <v>3137128.1422820697</v>
      </c>
    </row>
    <row r="397" spans="1:9" outlineLevel="2" x14ac:dyDescent="0.25">
      <c r="A397">
        <v>38000</v>
      </c>
      <c r="B397">
        <v>1961</v>
      </c>
      <c r="C397" s="258">
        <v>62.5</v>
      </c>
      <c r="D397" s="212">
        <v>169007.38</v>
      </c>
      <c r="E397">
        <v>52</v>
      </c>
      <c r="F397">
        <v>17.651816</v>
      </c>
      <c r="G397" s="90">
        <f>'Proposed Rates'!$O$23/100</f>
        <v>-1.3</v>
      </c>
      <c r="H397" s="212">
        <f t="shared" si="45"/>
        <v>256763.88743990799</v>
      </c>
      <c r="I397" s="212">
        <f t="shared" si="42"/>
        <v>2983287.17440208</v>
      </c>
    </row>
    <row r="398" spans="1:9" outlineLevel="2" x14ac:dyDescent="0.25">
      <c r="A398">
        <v>38000</v>
      </c>
      <c r="B398">
        <v>1960</v>
      </c>
      <c r="C398" s="258">
        <v>63.5</v>
      </c>
      <c r="D398" s="212">
        <v>420949.1</v>
      </c>
      <c r="E398">
        <v>52</v>
      </c>
      <c r="F398">
        <v>17.217690000000001</v>
      </c>
      <c r="G398" s="90">
        <f>'Proposed Rates'!$O$23/100</f>
        <v>-1.3</v>
      </c>
      <c r="H398" s="212">
        <f t="shared" si="45"/>
        <v>647608.43861477484</v>
      </c>
      <c r="I398" s="212">
        <f t="shared" si="42"/>
        <v>7247771.1095789997</v>
      </c>
    </row>
    <row r="399" spans="1:9" outlineLevel="2" x14ac:dyDescent="0.25">
      <c r="A399">
        <v>38000</v>
      </c>
      <c r="B399">
        <v>1959</v>
      </c>
      <c r="C399" s="258">
        <v>64.5</v>
      </c>
      <c r="D399" s="212">
        <v>1055736.48</v>
      </c>
      <c r="E399">
        <v>52</v>
      </c>
      <c r="F399">
        <v>16.787209000000001</v>
      </c>
      <c r="G399" s="90">
        <f>'Proposed Rates'!$O$23/100</f>
        <v>-1.3</v>
      </c>
      <c r="H399" s="212">
        <f t="shared" si="45"/>
        <v>1644297.7778658858</v>
      </c>
      <c r="I399" s="212">
        <f t="shared" si="42"/>
        <v>17722868.938684322</v>
      </c>
    </row>
    <row r="400" spans="1:9" outlineLevel="2" x14ac:dyDescent="0.25">
      <c r="A400">
        <v>38000</v>
      </c>
      <c r="B400">
        <v>1958</v>
      </c>
      <c r="C400" s="258">
        <v>65.5</v>
      </c>
      <c r="D400" s="212">
        <v>197644.32</v>
      </c>
      <c r="E400">
        <v>52</v>
      </c>
      <c r="F400">
        <v>16.360239</v>
      </c>
      <c r="G400" s="90">
        <f>'Proposed Rates'!$O$23/100</f>
        <v>-1.3</v>
      </c>
      <c r="H400" s="212">
        <f t="shared" si="45"/>
        <v>311561.37603764032</v>
      </c>
      <c r="I400" s="212">
        <f t="shared" si="42"/>
        <v>3233508.3121924801</v>
      </c>
    </row>
    <row r="401" spans="1:9" outlineLevel="2" x14ac:dyDescent="0.25">
      <c r="A401">
        <v>38000</v>
      </c>
      <c r="B401">
        <v>1957</v>
      </c>
      <c r="C401" s="258">
        <v>66.5</v>
      </c>
      <c r="D401" s="212">
        <v>102028.47</v>
      </c>
      <c r="E401">
        <v>52</v>
      </c>
      <c r="F401">
        <v>15.936640000000001</v>
      </c>
      <c r="G401" s="90">
        <f>'Proposed Rates'!$O$23/100</f>
        <v>-1.3</v>
      </c>
      <c r="H401" s="212">
        <f t="shared" si="45"/>
        <v>162746.64847838768</v>
      </c>
      <c r="I401" s="212">
        <f t="shared" si="42"/>
        <v>1625990.9961408002</v>
      </c>
    </row>
    <row r="402" spans="1:9" outlineLevel="2" x14ac:dyDescent="0.25">
      <c r="A402">
        <v>38000</v>
      </c>
      <c r="B402">
        <v>1956</v>
      </c>
      <c r="C402" s="258">
        <v>67.5</v>
      </c>
      <c r="D402" s="212">
        <v>65169.81</v>
      </c>
      <c r="E402">
        <v>52</v>
      </c>
      <c r="F402">
        <v>15.516294</v>
      </c>
      <c r="G402" s="90">
        <f>'Proposed Rates'!$O$23/100</f>
        <v>-1.3</v>
      </c>
      <c r="H402" s="212">
        <f t="shared" si="45"/>
        <v>105164.67755127841</v>
      </c>
      <c r="I402" s="212">
        <f t="shared" si="42"/>
        <v>1011193.93188414</v>
      </c>
    </row>
    <row r="403" spans="1:9" outlineLevel="2" x14ac:dyDescent="0.25">
      <c r="A403">
        <v>38000</v>
      </c>
      <c r="B403">
        <v>1955</v>
      </c>
      <c r="C403" s="258">
        <v>68.5</v>
      </c>
      <c r="D403" s="212">
        <v>18368.150000000001</v>
      </c>
      <c r="E403">
        <v>52</v>
      </c>
      <c r="F403">
        <v>15.099062999999999</v>
      </c>
      <c r="G403" s="90">
        <f>'Proposed Rates'!$O$23/100</f>
        <v>-1.3</v>
      </c>
      <c r="H403" s="212">
        <f t="shared" si="45"/>
        <v>29979.701455770479</v>
      </c>
      <c r="I403" s="212">
        <f t="shared" si="42"/>
        <v>277341.85404345003</v>
      </c>
    </row>
    <row r="404" spans="1:9" outlineLevel="2" x14ac:dyDescent="0.25">
      <c r="A404">
        <v>38000</v>
      </c>
      <c r="B404">
        <v>1954</v>
      </c>
      <c r="C404" s="258">
        <v>69.5</v>
      </c>
      <c r="D404" s="212">
        <v>18214.09</v>
      </c>
      <c r="E404">
        <v>52</v>
      </c>
      <c r="F404">
        <v>14.684789</v>
      </c>
      <c r="G404" s="90">
        <f>'Proposed Rates'!$O$23/100</f>
        <v>-1.3</v>
      </c>
      <c r="H404" s="212">
        <f t="shared" si="45"/>
        <v>30062.000125055325</v>
      </c>
      <c r="I404" s="212">
        <f t="shared" si="42"/>
        <v>267470.06847701001</v>
      </c>
    </row>
    <row r="405" spans="1:9" outlineLevel="2" x14ac:dyDescent="0.25">
      <c r="A405">
        <v>38000</v>
      </c>
      <c r="B405">
        <v>1953</v>
      </c>
      <c r="C405" s="258">
        <v>70.5</v>
      </c>
      <c r="D405" s="212">
        <v>7647.47</v>
      </c>
      <c r="E405">
        <v>52</v>
      </c>
      <c r="F405">
        <v>14.273313</v>
      </c>
      <c r="G405" s="90">
        <f>'Proposed Rates'!$O$23/100</f>
        <v>-1.3</v>
      </c>
      <c r="H405" s="212">
        <f t="shared" si="45"/>
        <v>12761.183195641288</v>
      </c>
      <c r="I405" s="212">
        <f t="shared" si="42"/>
        <v>109154.73296811001</v>
      </c>
    </row>
    <row r="406" spans="1:9" outlineLevel="2" x14ac:dyDescent="0.25">
      <c r="A406">
        <v>38000</v>
      </c>
      <c r="B406">
        <v>1952</v>
      </c>
      <c r="C406" s="258">
        <v>71.5</v>
      </c>
      <c r="D406" s="212">
        <v>17254.91</v>
      </c>
      <c r="E406">
        <v>52</v>
      </c>
      <c r="F406">
        <v>13.864464</v>
      </c>
      <c r="G406" s="90">
        <f>'Proposed Rates'!$O$23/100</f>
        <v>-1.3</v>
      </c>
      <c r="H406" s="212">
        <f t="shared" ref="H406:H415" si="46">+D406*(1-F406/E406)*(1-G406)</f>
        <v>29104.962604000917</v>
      </c>
      <c r="I406" s="212">
        <f t="shared" ref="I406:I415" si="47">+D406*F406</f>
        <v>239230.07851823998</v>
      </c>
    </row>
    <row r="407" spans="1:9" outlineLevel="2" x14ac:dyDescent="0.25">
      <c r="A407">
        <v>38000</v>
      </c>
      <c r="B407">
        <v>1951</v>
      </c>
      <c r="C407" s="258">
        <v>72.5</v>
      </c>
      <c r="D407" s="212">
        <v>8833.85</v>
      </c>
      <c r="E407">
        <v>52</v>
      </c>
      <c r="F407">
        <v>13.458057</v>
      </c>
      <c r="G407" s="90">
        <f>'Proposed Rates'!$O$23/100</f>
        <v>-1.3</v>
      </c>
      <c r="H407" s="212">
        <f t="shared" si="46"/>
        <v>15059.415563312788</v>
      </c>
      <c r="I407" s="212">
        <f t="shared" si="47"/>
        <v>118886.45682945001</v>
      </c>
    </row>
    <row r="408" spans="1:9" outlineLevel="2" x14ac:dyDescent="0.25">
      <c r="A408">
        <v>38000</v>
      </c>
      <c r="B408">
        <v>1950</v>
      </c>
      <c r="C408" s="258">
        <v>73.5</v>
      </c>
      <c r="D408" s="212">
        <v>11168.13</v>
      </c>
      <c r="E408">
        <v>52</v>
      </c>
      <c r="F408">
        <v>13.053890000000001</v>
      </c>
      <c r="G408" s="90">
        <f>'Proposed Rates'!$O$23/100</f>
        <v>-1.3</v>
      </c>
      <c r="H408" s="212">
        <f t="shared" si="46"/>
        <v>19238.403938286345</v>
      </c>
      <c r="I408" s="212">
        <f t="shared" si="47"/>
        <v>145787.54052569999</v>
      </c>
    </row>
    <row r="409" spans="1:9" outlineLevel="2" x14ac:dyDescent="0.25">
      <c r="A409">
        <v>38000</v>
      </c>
      <c r="B409">
        <v>1949</v>
      </c>
      <c r="C409" s="258">
        <v>74.5</v>
      </c>
      <c r="D409" s="212">
        <v>16287.73</v>
      </c>
      <c r="E409">
        <v>52</v>
      </c>
      <c r="F409">
        <v>12.651756000000001</v>
      </c>
      <c r="G409" s="90">
        <f>'Proposed Rates'!$O$23/100</f>
        <v>-1.3</v>
      </c>
      <c r="H409" s="212">
        <f t="shared" si="46"/>
        <v>28347.215783962994</v>
      </c>
      <c r="I409" s="212">
        <f t="shared" si="47"/>
        <v>206068.38575387999</v>
      </c>
    </row>
    <row r="410" spans="1:9" outlineLevel="2" x14ac:dyDescent="0.25">
      <c r="A410">
        <v>38000</v>
      </c>
      <c r="B410">
        <v>1948</v>
      </c>
      <c r="C410" s="258">
        <v>75.5</v>
      </c>
      <c r="D410" s="212">
        <v>40407.839999999997</v>
      </c>
      <c r="E410">
        <v>52</v>
      </c>
      <c r="F410">
        <v>12.25142</v>
      </c>
      <c r="G410" s="90">
        <f>'Proposed Rates'!$O$23/100</f>
        <v>-1.3</v>
      </c>
      <c r="H410" s="212">
        <f t="shared" si="46"/>
        <v>71041.438461433834</v>
      </c>
      <c r="I410" s="212">
        <f t="shared" si="47"/>
        <v>495053.41913279996</v>
      </c>
    </row>
    <row r="411" spans="1:9" outlineLevel="2" x14ac:dyDescent="0.25">
      <c r="A411">
        <v>38000</v>
      </c>
      <c r="B411">
        <v>1947</v>
      </c>
      <c r="C411" s="258">
        <v>76.5</v>
      </c>
      <c r="D411" s="212">
        <v>4023.91</v>
      </c>
      <c r="E411">
        <v>52</v>
      </c>
      <c r="F411">
        <v>11.852641999999999</v>
      </c>
      <c r="G411" s="90">
        <f>'Proposed Rates'!$O$23/100</f>
        <v>-1.3</v>
      </c>
      <c r="H411" s="212">
        <f t="shared" si="46"/>
        <v>7145.4522549710382</v>
      </c>
      <c r="I411" s="212">
        <f t="shared" si="47"/>
        <v>47693.964670219997</v>
      </c>
    </row>
    <row r="412" spans="1:9" outlineLevel="2" x14ac:dyDescent="0.25">
      <c r="A412">
        <v>38000</v>
      </c>
      <c r="B412">
        <v>1946</v>
      </c>
      <c r="C412" s="258">
        <v>77.5</v>
      </c>
      <c r="D412" s="212">
        <v>17282.78</v>
      </c>
      <c r="E412">
        <v>52</v>
      </c>
      <c r="F412">
        <v>11.455164999999999</v>
      </c>
      <c r="G412" s="90">
        <f>'Proposed Rates'!$O$23/100</f>
        <v>-1.3</v>
      </c>
      <c r="H412" s="212">
        <f t="shared" si="46"/>
        <v>30993.714729134419</v>
      </c>
      <c r="I412" s="212">
        <f t="shared" si="47"/>
        <v>197977.09655869997</v>
      </c>
    </row>
    <row r="413" spans="1:9" outlineLevel="2" x14ac:dyDescent="0.25">
      <c r="A413">
        <v>38000</v>
      </c>
      <c r="B413">
        <v>1945</v>
      </c>
      <c r="C413" s="258">
        <v>78.5</v>
      </c>
      <c r="D413" s="212">
        <v>127.48</v>
      </c>
      <c r="E413">
        <v>52</v>
      </c>
      <c r="F413">
        <v>11.058581999999999</v>
      </c>
      <c r="G413" s="90">
        <f>'Proposed Rates'!$O$23/100</f>
        <v>-1.3</v>
      </c>
      <c r="H413" s="212">
        <f t="shared" si="46"/>
        <v>230.84976006292305</v>
      </c>
      <c r="I413" s="212">
        <f t="shared" si="47"/>
        <v>1409.7480333599999</v>
      </c>
    </row>
    <row r="414" spans="1:9" outlineLevel="2" x14ac:dyDescent="0.25">
      <c r="A414">
        <v>38000</v>
      </c>
      <c r="B414">
        <v>1944</v>
      </c>
      <c r="C414" s="258">
        <v>79.5</v>
      </c>
      <c r="D414" s="212">
        <v>5546.35</v>
      </c>
      <c r="E414">
        <v>52</v>
      </c>
      <c r="F414">
        <v>10.662559999999999</v>
      </c>
      <c r="G414" s="90">
        <f>'Proposed Rates'!$O$23/100</f>
        <v>-1.3</v>
      </c>
      <c r="H414" s="212">
        <f t="shared" si="46"/>
        <v>10140.872957523077</v>
      </c>
      <c r="I414" s="212">
        <f t="shared" si="47"/>
        <v>59138.289656000001</v>
      </c>
    </row>
    <row r="415" spans="1:9" outlineLevel="2" x14ac:dyDescent="0.25">
      <c r="A415">
        <v>38000</v>
      </c>
      <c r="B415">
        <v>1943</v>
      </c>
      <c r="C415" s="258">
        <v>80.5</v>
      </c>
      <c r="D415" s="212">
        <v>17809.830000000002</v>
      </c>
      <c r="E415">
        <v>52</v>
      </c>
      <c r="F415">
        <v>10.266866</v>
      </c>
      <c r="G415" s="90">
        <f>'Proposed Rates'!$O$23/100</f>
        <v>-1.3</v>
      </c>
      <c r="H415" s="212">
        <f t="shared" si="46"/>
        <v>32874.962507434728</v>
      </c>
      <c r="I415" s="212">
        <f t="shared" si="47"/>
        <v>182851.13809278002</v>
      </c>
    </row>
    <row r="416" spans="1:9" outlineLevel="2" x14ac:dyDescent="0.25">
      <c r="A416">
        <v>38000</v>
      </c>
      <c r="B416">
        <v>1942</v>
      </c>
      <c r="C416" s="258">
        <v>81.5</v>
      </c>
      <c r="D416" s="212">
        <v>8296.66</v>
      </c>
      <c r="E416">
        <v>52</v>
      </c>
      <c r="F416">
        <v>9.8711450000000003</v>
      </c>
      <c r="G416" s="90">
        <f>'Proposed Rates'!$O$23/100</f>
        <v>-1.3</v>
      </c>
      <c r="H416" s="212">
        <f t="shared" si="45"/>
        <v>15459.927078574807</v>
      </c>
      <c r="I416" s="212">
        <f t="shared" si="42"/>
        <v>81897.533875699999</v>
      </c>
    </row>
    <row r="417" spans="1:10" outlineLevel="2" x14ac:dyDescent="0.25">
      <c r="A417">
        <v>38000</v>
      </c>
      <c r="B417">
        <v>1941</v>
      </c>
      <c r="C417" s="258">
        <v>82.5</v>
      </c>
      <c r="D417" s="212">
        <v>4729.75</v>
      </c>
      <c r="E417">
        <v>52</v>
      </c>
      <c r="F417">
        <v>9.4750130000000006</v>
      </c>
      <c r="G417" s="90">
        <f>'Proposed Rates'!$O$23/100</f>
        <v>-1.3</v>
      </c>
      <c r="H417" s="212">
        <f t="shared" si="45"/>
        <v>8896.2477251052878</v>
      </c>
      <c r="I417" s="212">
        <f t="shared" ref="I417:I469" si="48">+D417*F417</f>
        <v>44814.442736750003</v>
      </c>
    </row>
    <row r="418" spans="1:10" outlineLevel="2" x14ac:dyDescent="0.25">
      <c r="A418">
        <v>38000</v>
      </c>
      <c r="B418">
        <v>1940</v>
      </c>
      <c r="C418" s="258">
        <v>83.5</v>
      </c>
      <c r="D418" s="212">
        <v>81.069999999999993</v>
      </c>
      <c r="E418">
        <v>52</v>
      </c>
      <c r="F418">
        <v>9.0780709999999996</v>
      </c>
      <c r="G418" s="90">
        <f>'Proposed Rates'!$O$23/100</f>
        <v>-1.3</v>
      </c>
      <c r="H418" s="212">
        <f t="shared" ref="H418:H425" si="49">+D418*(1-F418/E418)*(1-G418)</f>
        <v>153.90895775517308</v>
      </c>
      <c r="I418" s="212">
        <f t="shared" ref="I418:I425" si="50">+D418*F418</f>
        <v>735.95921596999995</v>
      </c>
    </row>
    <row r="419" spans="1:10" outlineLevel="2" x14ac:dyDescent="0.25">
      <c r="A419">
        <v>38000</v>
      </c>
      <c r="B419">
        <v>1939</v>
      </c>
      <c r="C419" s="258">
        <v>84.5</v>
      </c>
      <c r="D419" s="212">
        <v>1710.51</v>
      </c>
      <c r="E419">
        <v>52</v>
      </c>
      <c r="F419">
        <v>8.6798730000000006</v>
      </c>
      <c r="G419" s="90">
        <f>'Proposed Rates'!$O$23/100</f>
        <v>-1.3</v>
      </c>
      <c r="H419" s="212">
        <f t="shared" si="49"/>
        <v>3277.4783461532879</v>
      </c>
      <c r="I419" s="212">
        <f t="shared" si="50"/>
        <v>14847.009565230001</v>
      </c>
    </row>
    <row r="420" spans="1:10" outlineLevel="2" x14ac:dyDescent="0.25">
      <c r="A420">
        <v>38000</v>
      </c>
      <c r="B420">
        <v>1938</v>
      </c>
      <c r="C420" s="258">
        <v>85.5</v>
      </c>
      <c r="D420" s="212">
        <v>2962.28</v>
      </c>
      <c r="E420">
        <v>52</v>
      </c>
      <c r="F420">
        <v>8.2799549999999993</v>
      </c>
      <c r="G420" s="90">
        <f>'Proposed Rates'!$O$23/100</f>
        <v>-1.3</v>
      </c>
      <c r="H420" s="212">
        <f t="shared" si="49"/>
        <v>5728.3718129996159</v>
      </c>
      <c r="I420" s="212">
        <f t="shared" si="50"/>
        <v>24527.545097399998</v>
      </c>
    </row>
    <row r="421" spans="1:10" outlineLevel="2" x14ac:dyDescent="0.25">
      <c r="A421">
        <v>38000</v>
      </c>
      <c r="B421">
        <v>1937</v>
      </c>
      <c r="C421" s="258">
        <v>86.5</v>
      </c>
      <c r="D421" s="212">
        <v>59.6</v>
      </c>
      <c r="E421">
        <v>52</v>
      </c>
      <c r="F421">
        <v>7.8778300000000003</v>
      </c>
      <c r="G421" s="90">
        <f>'Proposed Rates'!$O$23/100</f>
        <v>-1.3</v>
      </c>
      <c r="H421" s="212">
        <f t="shared" si="49"/>
        <v>116.31282814615383</v>
      </c>
      <c r="I421" s="212">
        <f t="shared" si="50"/>
        <v>469.51866800000005</v>
      </c>
    </row>
    <row r="422" spans="1:10" outlineLevel="2" x14ac:dyDescent="0.25">
      <c r="A422">
        <v>38000</v>
      </c>
      <c r="B422">
        <v>1936</v>
      </c>
      <c r="C422" s="258">
        <v>87.5</v>
      </c>
      <c r="D422" s="212">
        <v>2038.16</v>
      </c>
      <c r="E422">
        <v>52</v>
      </c>
      <c r="F422">
        <v>7.4729679999999998</v>
      </c>
      <c r="G422" s="90">
        <f>'Proposed Rates'!$O$23/100</f>
        <v>-1.3</v>
      </c>
      <c r="H422" s="212">
        <f t="shared" si="49"/>
        <v>4014.0845335495383</v>
      </c>
      <c r="I422" s="212">
        <f t="shared" si="50"/>
        <v>15231.10445888</v>
      </c>
    </row>
    <row r="423" spans="1:10" outlineLevel="2" x14ac:dyDescent="0.25">
      <c r="A423">
        <v>38000</v>
      </c>
      <c r="B423">
        <v>1935</v>
      </c>
      <c r="C423" s="258">
        <v>88.5</v>
      </c>
      <c r="D423" s="212">
        <v>103.11</v>
      </c>
      <c r="E423">
        <v>52</v>
      </c>
      <c r="F423">
        <v>7.0648249999999999</v>
      </c>
      <c r="G423" s="90">
        <f>'Proposed Rates'!$O$23/100</f>
        <v>-1.3</v>
      </c>
      <c r="H423" s="212">
        <f t="shared" si="49"/>
        <v>204.93291455336535</v>
      </c>
      <c r="I423" s="212">
        <f t="shared" si="50"/>
        <v>728.45410574999994</v>
      </c>
    </row>
    <row r="424" spans="1:10" outlineLevel="2" x14ac:dyDescent="0.25">
      <c r="A424">
        <v>38000</v>
      </c>
      <c r="B424">
        <v>1934</v>
      </c>
      <c r="C424" s="258">
        <v>89.5</v>
      </c>
      <c r="D424" s="212">
        <v>84.24</v>
      </c>
      <c r="E424">
        <v>52</v>
      </c>
      <c r="F424">
        <v>6.6528260000000001</v>
      </c>
      <c r="G424" s="90">
        <f>'Proposed Rates'!$O$23/100</f>
        <v>-1.3</v>
      </c>
      <c r="H424" s="212">
        <f t="shared" si="49"/>
        <v>168.96357032399996</v>
      </c>
      <c r="I424" s="212">
        <f t="shared" si="50"/>
        <v>560.43406224</v>
      </c>
    </row>
    <row r="425" spans="1:10" outlineLevel="2" x14ac:dyDescent="0.25">
      <c r="A425">
        <v>38000</v>
      </c>
      <c r="B425">
        <v>1933</v>
      </c>
      <c r="C425" s="258">
        <v>90.5</v>
      </c>
      <c r="D425" s="212">
        <v>157.80000000000001</v>
      </c>
      <c r="E425">
        <v>52</v>
      </c>
      <c r="F425">
        <v>6.2363980000000003</v>
      </c>
      <c r="G425" s="90">
        <f>'Proposed Rates'!$O$23/100</f>
        <v>-1.3</v>
      </c>
      <c r="H425" s="212">
        <f t="shared" si="49"/>
        <v>319.41234057461543</v>
      </c>
      <c r="I425" s="212">
        <f t="shared" si="50"/>
        <v>984.10360440000011</v>
      </c>
    </row>
    <row r="426" spans="1:10" outlineLevel="2" x14ac:dyDescent="0.25">
      <c r="A426">
        <v>38000</v>
      </c>
      <c r="B426">
        <v>1932</v>
      </c>
      <c r="C426" s="258">
        <v>91.5</v>
      </c>
      <c r="D426" s="212">
        <v>1402.61</v>
      </c>
      <c r="E426">
        <v>52</v>
      </c>
      <c r="F426">
        <v>5.8147080000000004</v>
      </c>
      <c r="G426" s="90">
        <f>'Proposed Rates'!$O$23/100</f>
        <v>-1.3</v>
      </c>
      <c r="H426" s="212">
        <f t="shared" si="45"/>
        <v>2865.2671259206918</v>
      </c>
      <c r="I426" s="212">
        <f t="shared" si="48"/>
        <v>8155.7675878800001</v>
      </c>
    </row>
    <row r="427" spans="1:10" ht="13.5" customHeight="1" outlineLevel="2" x14ac:dyDescent="0.25">
      <c r="A427">
        <v>38000</v>
      </c>
      <c r="B427">
        <v>1930</v>
      </c>
      <c r="C427" s="258">
        <v>93.5</v>
      </c>
      <c r="D427" s="212">
        <v>1242.3800000000001</v>
      </c>
      <c r="E427">
        <v>52</v>
      </c>
      <c r="F427">
        <v>4.953341</v>
      </c>
      <c r="G427" s="90">
        <f>'Proposed Rates'!$O$23/100</f>
        <v>-1.3</v>
      </c>
      <c r="H427" s="212">
        <f t="shared" ref="H427" si="51">+D427*(1-F427/E427)*(1-G427)</f>
        <v>2585.280863064731</v>
      </c>
      <c r="I427" s="212">
        <f t="shared" ref="I427" si="52">+D427*F427</f>
        <v>6153.9317915800002</v>
      </c>
    </row>
    <row r="428" spans="1:10" ht="13" outlineLevel="1" x14ac:dyDescent="0.3">
      <c r="A428" s="18" t="s">
        <v>1185</v>
      </c>
      <c r="C428" s="258"/>
      <c r="D428" s="212">
        <f>SUBTOTAL(9,D336:D427)</f>
        <v>68085342.289999977</v>
      </c>
      <c r="H428" s="212">
        <f>SUBTOTAL(9,H336:H427)</f>
        <v>38184988.990557551</v>
      </c>
      <c r="I428" s="212">
        <f>SUBTOTAL(9,I336:I427)</f>
        <v>2677125004.5108747</v>
      </c>
      <c r="J428" s="212">
        <f>+I428/D428</f>
        <v>39.320137264024254</v>
      </c>
    </row>
    <row r="429" spans="1:10" outlineLevel="2" x14ac:dyDescent="0.25">
      <c r="A429">
        <v>38002</v>
      </c>
      <c r="B429">
        <v>2023</v>
      </c>
      <c r="C429" s="258">
        <v>0.5</v>
      </c>
      <c r="D429" s="212">
        <v>66087725.829999998</v>
      </c>
      <c r="E429">
        <v>55</v>
      </c>
      <c r="F429">
        <v>54.527462999999997</v>
      </c>
      <c r="G429" s="90">
        <f>'Proposed Rates'!$O$24/100</f>
        <v>-0.75</v>
      </c>
      <c r="H429" s="212">
        <f t="shared" si="45"/>
        <v>993646.68138052861</v>
      </c>
      <c r="I429" s="212">
        <f t="shared" si="48"/>
        <v>3603596024.9494691</v>
      </c>
    </row>
    <row r="430" spans="1:10" outlineLevel="2" x14ac:dyDescent="0.25">
      <c r="A430">
        <v>38002</v>
      </c>
      <c r="B430">
        <v>2022</v>
      </c>
      <c r="C430" s="258">
        <v>1.5</v>
      </c>
      <c r="D430" s="212">
        <v>62233681.32</v>
      </c>
      <c r="E430">
        <v>55</v>
      </c>
      <c r="F430">
        <v>53.58484</v>
      </c>
      <c r="G430" s="90">
        <f>'Proposed Rates'!$O$24/100</f>
        <v>-0.75</v>
      </c>
      <c r="H430" s="212">
        <f t="shared" si="45"/>
        <v>2802246.8872621804</v>
      </c>
      <c r="I430" s="212">
        <f t="shared" si="48"/>
        <v>3334781856.143189</v>
      </c>
    </row>
    <row r="431" spans="1:10" outlineLevel="2" x14ac:dyDescent="0.25">
      <c r="A431">
        <v>38002</v>
      </c>
      <c r="B431">
        <v>2021</v>
      </c>
      <c r="C431" s="258">
        <v>2.5</v>
      </c>
      <c r="D431" s="212">
        <v>54543732.350000001</v>
      </c>
      <c r="E431">
        <v>55</v>
      </c>
      <c r="F431">
        <v>52.645606000000001</v>
      </c>
      <c r="G431" s="90">
        <f>'Proposed Rates'!$O$24/100</f>
        <v>-0.75</v>
      </c>
      <c r="H431" s="212">
        <f t="shared" ref="H431:H437" si="53">+D431*(1-F431/E431)*(1-G431)</f>
        <v>4086009.3330778219</v>
      </c>
      <c r="I431" s="212">
        <f t="shared" ref="I431:I437" si="54">+D431*F431</f>
        <v>2871487843.067554</v>
      </c>
    </row>
    <row r="432" spans="1:10" outlineLevel="2" x14ac:dyDescent="0.25">
      <c r="A432">
        <v>38002</v>
      </c>
      <c r="B432">
        <v>2020</v>
      </c>
      <c r="C432" s="258">
        <v>3.5</v>
      </c>
      <c r="D432" s="212">
        <v>49738113.32</v>
      </c>
      <c r="E432">
        <v>55</v>
      </c>
      <c r="F432">
        <v>51.709918999999999</v>
      </c>
      <c r="G432" s="90">
        <f>'Proposed Rates'!$O$24/100</f>
        <v>-0.75</v>
      </c>
      <c r="H432" s="212">
        <f t="shared" si="53"/>
        <v>5206804.3239538763</v>
      </c>
      <c r="I432" s="212">
        <f t="shared" si="54"/>
        <v>2571953810.9900212</v>
      </c>
    </row>
    <row r="433" spans="1:9" outlineLevel="2" x14ac:dyDescent="0.25">
      <c r="A433">
        <v>38002</v>
      </c>
      <c r="B433">
        <v>2019</v>
      </c>
      <c r="C433" s="258">
        <v>4.5</v>
      </c>
      <c r="D433" s="212">
        <v>41279315.600000001</v>
      </c>
      <c r="E433">
        <v>55</v>
      </c>
      <c r="F433">
        <v>50.777949</v>
      </c>
      <c r="G433" s="90">
        <f>'Proposed Rates'!$O$24/100</f>
        <v>-0.75</v>
      </c>
      <c r="H433" s="212">
        <f t="shared" si="53"/>
        <v>5545380.1361730425</v>
      </c>
      <c r="I433" s="212">
        <f t="shared" si="54"/>
        <v>2096078982.2917044</v>
      </c>
    </row>
    <row r="434" spans="1:9" outlineLevel="2" x14ac:dyDescent="0.25">
      <c r="A434">
        <v>38002</v>
      </c>
      <c r="B434">
        <v>2018</v>
      </c>
      <c r="C434" s="258">
        <v>5.5</v>
      </c>
      <c r="D434" s="212">
        <v>42070531.100000001</v>
      </c>
      <c r="E434">
        <v>55</v>
      </c>
      <c r="F434">
        <v>49.849876000000002</v>
      </c>
      <c r="G434" s="90">
        <f>'Proposed Rates'!$O$24/100</f>
        <v>-0.75</v>
      </c>
      <c r="H434" s="212">
        <f t="shared" si="53"/>
        <v>6893996.1971636126</v>
      </c>
      <c r="I434" s="212">
        <f t="shared" si="54"/>
        <v>2097210758.5891438</v>
      </c>
    </row>
    <row r="435" spans="1:9" outlineLevel="2" x14ac:dyDescent="0.25">
      <c r="A435">
        <v>38002</v>
      </c>
      <c r="B435">
        <v>2017</v>
      </c>
      <c r="C435" s="258">
        <v>6.5</v>
      </c>
      <c r="D435" s="212">
        <v>25325870.02</v>
      </c>
      <c r="E435">
        <v>55</v>
      </c>
      <c r="F435">
        <v>48.926183000000002</v>
      </c>
      <c r="G435" s="90">
        <f>'Proposed Rates'!$O$24/100</f>
        <v>-0.75</v>
      </c>
      <c r="H435" s="212">
        <f t="shared" si="53"/>
        <v>4894422.2685039276</v>
      </c>
      <c r="I435" s="212">
        <f t="shared" si="54"/>
        <v>1239098151.2327337</v>
      </c>
    </row>
    <row r="436" spans="1:9" outlineLevel="2" x14ac:dyDescent="0.25">
      <c r="A436">
        <v>38002</v>
      </c>
      <c r="B436">
        <v>2016</v>
      </c>
      <c r="C436" s="258">
        <v>7.5</v>
      </c>
      <c r="D436" s="212">
        <v>24706396.629999999</v>
      </c>
      <c r="E436">
        <v>55</v>
      </c>
      <c r="F436">
        <v>48.006779000000002</v>
      </c>
      <c r="G436" s="90">
        <f>'Proposed Rates'!$O$24/100</f>
        <v>-0.75</v>
      </c>
      <c r="H436" s="212">
        <f t="shared" si="53"/>
        <v>5497459.2828668933</v>
      </c>
      <c r="I436" s="212">
        <f t="shared" si="54"/>
        <v>1186074522.9027548</v>
      </c>
    </row>
    <row r="437" spans="1:9" outlineLevel="2" x14ac:dyDescent="0.25">
      <c r="A437">
        <v>38002</v>
      </c>
      <c r="B437">
        <v>2015</v>
      </c>
      <c r="C437" s="258">
        <v>8.5</v>
      </c>
      <c r="D437" s="212">
        <v>17667666.34</v>
      </c>
      <c r="E437">
        <v>55</v>
      </c>
      <c r="F437">
        <v>47.091845999999997</v>
      </c>
      <c r="G437" s="90">
        <f>'Proposed Rates'!$O$24/100</f>
        <v>-0.75</v>
      </c>
      <c r="H437" s="212">
        <f t="shared" si="53"/>
        <v>4445592.6530061578</v>
      </c>
      <c r="I437" s="212">
        <f t="shared" si="54"/>
        <v>832003022.46266353</v>
      </c>
    </row>
    <row r="438" spans="1:9" outlineLevel="2" x14ac:dyDescent="0.25">
      <c r="A438">
        <v>38002</v>
      </c>
      <c r="B438">
        <v>2014</v>
      </c>
      <c r="C438" s="258">
        <v>9.5</v>
      </c>
      <c r="D438" s="212">
        <v>16039838.689999999</v>
      </c>
      <c r="E438">
        <v>55</v>
      </c>
      <c r="F438">
        <v>46.181572000000003</v>
      </c>
      <c r="G438" s="90">
        <f>'Proposed Rates'!$O$24/100</f>
        <v>-0.75</v>
      </c>
      <c r="H438" s="212">
        <f t="shared" si="45"/>
        <v>4500559.7197075225</v>
      </c>
      <c r="I438" s="212">
        <f t="shared" si="48"/>
        <v>740744965.33062065</v>
      </c>
    </row>
    <row r="439" spans="1:9" outlineLevel="2" x14ac:dyDescent="0.25">
      <c r="A439">
        <v>38002</v>
      </c>
      <c r="B439">
        <v>2013</v>
      </c>
      <c r="C439" s="258">
        <v>10.5</v>
      </c>
      <c r="D439" s="212">
        <v>13640697.210000001</v>
      </c>
      <c r="E439">
        <v>55</v>
      </c>
      <c r="F439">
        <v>45.276145</v>
      </c>
      <c r="G439" s="90">
        <f>'Proposed Rates'!$O$24/100</f>
        <v>-0.75</v>
      </c>
      <c r="H439" s="212">
        <f t="shared" si="45"/>
        <v>4220368.7835573275</v>
      </c>
      <c r="I439" s="212">
        <f t="shared" si="48"/>
        <v>617598184.78105545</v>
      </c>
    </row>
    <row r="440" spans="1:9" outlineLevel="2" x14ac:dyDescent="0.25">
      <c r="A440">
        <v>38002</v>
      </c>
      <c r="B440">
        <v>2012</v>
      </c>
      <c r="C440" s="258">
        <v>11.5</v>
      </c>
      <c r="D440" s="212">
        <v>11400806.609999999</v>
      </c>
      <c r="E440">
        <v>55</v>
      </c>
      <c r="F440">
        <v>44.375951999999998</v>
      </c>
      <c r="G440" s="90">
        <f>'Proposed Rates'!$O$24/100</f>
        <v>-0.75</v>
      </c>
      <c r="H440" s="212">
        <f t="shared" si="45"/>
        <v>3853904.6211068225</v>
      </c>
      <c r="I440" s="212">
        <f t="shared" si="48"/>
        <v>505921646.88664269</v>
      </c>
    </row>
    <row r="441" spans="1:9" outlineLevel="2" x14ac:dyDescent="0.25">
      <c r="A441">
        <v>38002</v>
      </c>
      <c r="B441">
        <v>2011</v>
      </c>
      <c r="C441" s="258">
        <v>12.5</v>
      </c>
      <c r="D441" s="212">
        <v>9120883.8599999994</v>
      </c>
      <c r="E441">
        <v>55</v>
      </c>
      <c r="F441">
        <v>43.481214000000001</v>
      </c>
      <c r="G441" s="90">
        <f>'Proposed Rates'!$O$24/100</f>
        <v>-0.75</v>
      </c>
      <c r="H441" s="212">
        <f t="shared" si="45"/>
        <v>3342866.2054516259</v>
      </c>
      <c r="I441" s="212">
        <f t="shared" si="48"/>
        <v>396587102.98580605</v>
      </c>
    </row>
    <row r="442" spans="1:9" outlineLevel="2" x14ac:dyDescent="0.25">
      <c r="A442">
        <v>38002</v>
      </c>
      <c r="B442">
        <v>2010</v>
      </c>
      <c r="C442" s="258">
        <v>13.5</v>
      </c>
      <c r="D442" s="212">
        <v>8235451.8300000001</v>
      </c>
      <c r="E442">
        <v>55</v>
      </c>
      <c r="F442">
        <v>42.591940999999998</v>
      </c>
      <c r="G442" s="90">
        <f>'Proposed Rates'!$O$24/100</f>
        <v>-0.75</v>
      </c>
      <c r="H442" s="212">
        <f t="shared" si="45"/>
        <v>3251371.8426731168</v>
      </c>
      <c r="I442" s="212">
        <f t="shared" si="48"/>
        <v>350763878.451702</v>
      </c>
    </row>
    <row r="443" spans="1:9" outlineLevel="2" x14ac:dyDescent="0.25">
      <c r="A443">
        <v>38002</v>
      </c>
      <c r="B443">
        <v>2009</v>
      </c>
      <c r="C443" s="258">
        <v>14.5</v>
      </c>
      <c r="D443" s="212">
        <v>6158919.2699999996</v>
      </c>
      <c r="E443">
        <v>55</v>
      </c>
      <c r="F443">
        <v>41.708323</v>
      </c>
      <c r="G443" s="90">
        <f>'Proposed Rates'!$O$24/100</f>
        <v>-0.75</v>
      </c>
      <c r="H443" s="212">
        <f t="shared" si="45"/>
        <v>2604711.6329155024</v>
      </c>
      <c r="I443" s="212">
        <f t="shared" si="48"/>
        <v>256878194.24408418</v>
      </c>
    </row>
    <row r="444" spans="1:9" outlineLevel="2" x14ac:dyDescent="0.25">
      <c r="A444">
        <v>38002</v>
      </c>
      <c r="B444">
        <v>2008</v>
      </c>
      <c r="C444" s="258">
        <v>15.5</v>
      </c>
      <c r="D444" s="212">
        <v>7961666.0899999999</v>
      </c>
      <c r="E444">
        <v>55</v>
      </c>
      <c r="F444">
        <v>40.830542999999999</v>
      </c>
      <c r="G444" s="90">
        <f>'Proposed Rates'!$O$24/100</f>
        <v>-0.75</v>
      </c>
      <c r="H444" s="212">
        <f t="shared" si="45"/>
        <v>3589488.168974055</v>
      </c>
      <c r="I444" s="212">
        <f t="shared" si="48"/>
        <v>325079149.63938683</v>
      </c>
    </row>
    <row r="445" spans="1:9" outlineLevel="2" x14ac:dyDescent="0.25">
      <c r="A445">
        <v>38002</v>
      </c>
      <c r="B445">
        <v>2007</v>
      </c>
      <c r="C445" s="258">
        <v>16.5</v>
      </c>
      <c r="D445" s="212">
        <v>9570012.0700000003</v>
      </c>
      <c r="E445">
        <v>55</v>
      </c>
      <c r="F445">
        <v>39.958790999999998</v>
      </c>
      <c r="G445" s="90">
        <f>'Proposed Rates'!$O$24/100</f>
        <v>-0.75</v>
      </c>
      <c r="H445" s="212">
        <f t="shared" si="45"/>
        <v>4580053.9170079483</v>
      </c>
      <c r="I445" s="212">
        <f t="shared" si="48"/>
        <v>382406112.17260736</v>
      </c>
    </row>
    <row r="446" spans="1:9" outlineLevel="2" x14ac:dyDescent="0.25">
      <c r="A446">
        <v>38002</v>
      </c>
      <c r="B446">
        <v>2006</v>
      </c>
      <c r="C446" s="258">
        <v>17.5</v>
      </c>
      <c r="D446" s="212">
        <v>10833211.640000001</v>
      </c>
      <c r="E446">
        <v>55</v>
      </c>
      <c r="F446">
        <v>39.093756999999997</v>
      </c>
      <c r="G446" s="90">
        <f>'Proposed Rates'!$O$24/100</f>
        <v>-0.75</v>
      </c>
      <c r="H446" s="212">
        <f t="shared" si="45"/>
        <v>5482772.1714267265</v>
      </c>
      <c r="I446" s="212">
        <f t="shared" si="48"/>
        <v>423510943.38373148</v>
      </c>
    </row>
    <row r="447" spans="1:9" outlineLevel="2" x14ac:dyDescent="0.25">
      <c r="A447">
        <v>38002</v>
      </c>
      <c r="B447">
        <v>2005</v>
      </c>
      <c r="C447" s="258">
        <v>18.5</v>
      </c>
      <c r="D447" s="212">
        <v>10242225.91</v>
      </c>
      <c r="E447">
        <v>55</v>
      </c>
      <c r="F447">
        <v>38.235174000000001</v>
      </c>
      <c r="G447" s="90">
        <f>'Proposed Rates'!$O$24/100</f>
        <v>-0.75</v>
      </c>
      <c r="H447" s="212">
        <f t="shared" si="45"/>
        <v>5463472.4847131446</v>
      </c>
      <c r="I447" s="212">
        <f t="shared" si="48"/>
        <v>391613289.81615835</v>
      </c>
    </row>
    <row r="448" spans="1:9" outlineLevel="2" x14ac:dyDescent="0.25">
      <c r="A448">
        <v>38002</v>
      </c>
      <c r="B448">
        <v>2004</v>
      </c>
      <c r="C448" s="258">
        <v>19.5</v>
      </c>
      <c r="D448" s="212">
        <v>10785749.57</v>
      </c>
      <c r="E448">
        <v>55</v>
      </c>
      <c r="F448">
        <v>37.383212999999998</v>
      </c>
      <c r="G448" s="90">
        <f>'Proposed Rates'!$O$24/100</f>
        <v>-0.75</v>
      </c>
      <c r="H448" s="212">
        <f t="shared" si="45"/>
        <v>6045780.771228279</v>
      </c>
      <c r="I448" s="212">
        <f t="shared" si="48"/>
        <v>403205973.53996837</v>
      </c>
    </row>
    <row r="449" spans="1:9" outlineLevel="2" x14ac:dyDescent="0.25">
      <c r="A449">
        <v>38002</v>
      </c>
      <c r="B449">
        <v>2003</v>
      </c>
      <c r="C449" s="258">
        <v>20.5</v>
      </c>
      <c r="D449" s="212">
        <v>10675414.15</v>
      </c>
      <c r="E449">
        <v>55</v>
      </c>
      <c r="F449">
        <v>36.538049999999998</v>
      </c>
      <c r="G449" s="90">
        <f>'Proposed Rates'!$O$24/100</f>
        <v>-0.75</v>
      </c>
      <c r="H449" s="212">
        <f t="shared" si="45"/>
        <v>6271012.4357552165</v>
      </c>
      <c r="I449" s="212">
        <f t="shared" si="48"/>
        <v>390058815.9834075</v>
      </c>
    </row>
    <row r="450" spans="1:9" outlineLevel="2" x14ac:dyDescent="0.25">
      <c r="A450">
        <v>38002</v>
      </c>
      <c r="B450">
        <v>2002</v>
      </c>
      <c r="C450" s="258">
        <v>21.5</v>
      </c>
      <c r="D450" s="212">
        <v>9561016.3100000005</v>
      </c>
      <c r="E450">
        <v>55</v>
      </c>
      <c r="F450">
        <v>35.699860000000001</v>
      </c>
      <c r="G450" s="90">
        <f>'Proposed Rates'!$O$24/100</f>
        <v>-0.75</v>
      </c>
      <c r="H450" s="212">
        <f t="shared" si="45"/>
        <v>5871375.7876226529</v>
      </c>
      <c r="I450" s="212">
        <f t="shared" si="48"/>
        <v>341326943.7247166</v>
      </c>
    </row>
    <row r="451" spans="1:9" outlineLevel="2" x14ac:dyDescent="0.25">
      <c r="A451">
        <v>38002</v>
      </c>
      <c r="B451">
        <v>2001</v>
      </c>
      <c r="C451" s="258">
        <v>22.5</v>
      </c>
      <c r="D451" s="212">
        <v>2636333.21</v>
      </c>
      <c r="E451">
        <v>55</v>
      </c>
      <c r="F451">
        <v>34.869098999999999</v>
      </c>
      <c r="G451" s="90">
        <f>'Proposed Rates'!$O$24/100</f>
        <v>-0.75</v>
      </c>
      <c r="H451" s="212">
        <f t="shared" si="45"/>
        <v>1688646.9998847977</v>
      </c>
      <c r="I451" s="212">
        <f t="shared" si="48"/>
        <v>91926563.696477786</v>
      </c>
    </row>
    <row r="452" spans="1:9" outlineLevel="2" x14ac:dyDescent="0.25">
      <c r="A452">
        <v>38002</v>
      </c>
      <c r="B452">
        <v>2000</v>
      </c>
      <c r="C452" s="258">
        <v>23.5</v>
      </c>
      <c r="D452" s="212">
        <v>22372714.649999999</v>
      </c>
      <c r="E452">
        <v>55</v>
      </c>
      <c r="F452">
        <v>34.045976000000003</v>
      </c>
      <c r="G452" s="90">
        <f>'Proposed Rates'!$O$24/100</f>
        <v>-0.75</v>
      </c>
      <c r="H452" s="212">
        <f t="shared" si="45"/>
        <v>14916312.718403457</v>
      </c>
      <c r="I452" s="212">
        <f t="shared" si="48"/>
        <v>761700906.02874839</v>
      </c>
    </row>
    <row r="453" spans="1:9" outlineLevel="2" x14ac:dyDescent="0.25">
      <c r="A453">
        <v>38002</v>
      </c>
      <c r="B453">
        <v>1999</v>
      </c>
      <c r="C453" s="258">
        <v>24.5</v>
      </c>
      <c r="D453" s="212">
        <v>7483457.8899999997</v>
      </c>
      <c r="E453">
        <v>55</v>
      </c>
      <c r="F453">
        <v>33.230370999999998</v>
      </c>
      <c r="G453" s="90">
        <f>'Proposed Rates'!$O$24/100</f>
        <v>-0.75</v>
      </c>
      <c r="H453" s="212">
        <f t="shared" si="45"/>
        <v>5183566.8787134532</v>
      </c>
      <c r="I453" s="212">
        <f t="shared" si="48"/>
        <v>248678082.04757717</v>
      </c>
    </row>
    <row r="454" spans="1:9" outlineLevel="2" x14ac:dyDescent="0.25">
      <c r="A454">
        <v>38002</v>
      </c>
      <c r="B454">
        <v>1998</v>
      </c>
      <c r="C454" s="258">
        <v>25.5</v>
      </c>
      <c r="D454" s="212">
        <v>5783972.9000000004</v>
      </c>
      <c r="E454">
        <v>55</v>
      </c>
      <c r="F454">
        <v>32.422434000000003</v>
      </c>
      <c r="G454" s="90">
        <f>'Proposed Rates'!$O$24/100</f>
        <v>-0.75</v>
      </c>
      <c r="H454" s="212">
        <f t="shared" si="45"/>
        <v>4155073.6783805895</v>
      </c>
      <c r="I454" s="212">
        <f t="shared" si="48"/>
        <v>187530479.60803863</v>
      </c>
    </row>
    <row r="455" spans="1:9" outlineLevel="2" x14ac:dyDescent="0.25">
      <c r="A455">
        <v>38002</v>
      </c>
      <c r="B455">
        <v>1997</v>
      </c>
      <c r="C455" s="258">
        <v>26.5</v>
      </c>
      <c r="D455" s="212">
        <v>5793613.7400000002</v>
      </c>
      <c r="E455">
        <v>55</v>
      </c>
      <c r="F455">
        <v>31.622323999999999</v>
      </c>
      <c r="G455" s="90">
        <f>'Proposed Rates'!$O$24/100</f>
        <v>-0.75</v>
      </c>
      <c r="H455" s="212">
        <f t="shared" si="45"/>
        <v>4309493.5190003533</v>
      </c>
      <c r="I455" s="212">
        <f t="shared" si="48"/>
        <v>183207530.81713176</v>
      </c>
    </row>
    <row r="456" spans="1:9" outlineLevel="2" x14ac:dyDescent="0.25">
      <c r="A456">
        <v>38002</v>
      </c>
      <c r="B456">
        <v>1996</v>
      </c>
      <c r="C456" s="258">
        <v>27.5</v>
      </c>
      <c r="D456" s="212">
        <v>4978692.4400000004</v>
      </c>
      <c r="E456">
        <v>55</v>
      </c>
      <c r="F456">
        <v>30.830190000000002</v>
      </c>
      <c r="G456" s="90">
        <f>'Proposed Rates'!$O$24/100</f>
        <v>-0.75</v>
      </c>
      <c r="H456" s="212">
        <f t="shared" si="45"/>
        <v>3828810.6921029757</v>
      </c>
      <c r="I456" s="212">
        <f t="shared" si="48"/>
        <v>153494033.87676361</v>
      </c>
    </row>
    <row r="457" spans="1:9" outlineLevel="2" x14ac:dyDescent="0.25">
      <c r="A457">
        <v>38002</v>
      </c>
      <c r="B457">
        <v>1995</v>
      </c>
      <c r="C457" s="258">
        <v>28.5</v>
      </c>
      <c r="D457" s="212">
        <v>4686480.8600000003</v>
      </c>
      <c r="E457">
        <v>55</v>
      </c>
      <c r="F457">
        <v>30.046896</v>
      </c>
      <c r="G457" s="90">
        <f>'Proposed Rates'!$O$24/100</f>
        <v>-0.75</v>
      </c>
      <c r="H457" s="212">
        <f t="shared" si="45"/>
        <v>3720889.5911596641</v>
      </c>
      <c r="I457" s="212">
        <f t="shared" si="48"/>
        <v>140814203.00641057</v>
      </c>
    </row>
    <row r="458" spans="1:9" outlineLevel="2" x14ac:dyDescent="0.25">
      <c r="A458">
        <v>38002</v>
      </c>
      <c r="B458">
        <v>1994</v>
      </c>
      <c r="C458" s="258">
        <v>29.5</v>
      </c>
      <c r="D458" s="212">
        <v>4973523.9800000004</v>
      </c>
      <c r="E458">
        <v>55</v>
      </c>
      <c r="F458">
        <v>29.271951000000001</v>
      </c>
      <c r="G458" s="90">
        <f>'Proposed Rates'!$O$24/100</f>
        <v>-0.75</v>
      </c>
      <c r="H458" s="212">
        <f t="shared" si="45"/>
        <v>4071424.9119127505</v>
      </c>
      <c r="I458" s="212">
        <f t="shared" si="48"/>
        <v>145584750.239885</v>
      </c>
    </row>
    <row r="459" spans="1:9" outlineLevel="2" x14ac:dyDescent="0.25">
      <c r="A459">
        <v>38002</v>
      </c>
      <c r="B459">
        <v>1993</v>
      </c>
      <c r="C459" s="258">
        <v>30.5</v>
      </c>
      <c r="D459" s="212">
        <v>4886374.05</v>
      </c>
      <c r="E459">
        <v>55</v>
      </c>
      <c r="F459">
        <v>28.505514999999999</v>
      </c>
      <c r="G459" s="90">
        <f>'Proposed Rates'!$O$24/100</f>
        <v>-0.75</v>
      </c>
      <c r="H459" s="212">
        <f t="shared" ref="H459:H511" si="55">+D459*(1-F459/E459)*(1-G459)</f>
        <v>4119244.3082036353</v>
      </c>
      <c r="I459" s="212">
        <f t="shared" si="48"/>
        <v>139288608.77788574</v>
      </c>
    </row>
    <row r="460" spans="1:9" outlineLevel="2" x14ac:dyDescent="0.25">
      <c r="A460">
        <v>38002</v>
      </c>
      <c r="B460">
        <v>1992</v>
      </c>
      <c r="C460" s="258">
        <v>31.5</v>
      </c>
      <c r="D460" s="212">
        <v>3616386.29</v>
      </c>
      <c r="E460">
        <v>55</v>
      </c>
      <c r="F460">
        <v>27.747754</v>
      </c>
      <c r="G460" s="90">
        <f>'Proposed Rates'!$O$24/100</f>
        <v>-0.75</v>
      </c>
      <c r="H460" s="212">
        <f t="shared" si="55"/>
        <v>3135829.7347397786</v>
      </c>
      <c r="I460" s="212">
        <f t="shared" si="48"/>
        <v>100346597.14389266</v>
      </c>
    </row>
    <row r="461" spans="1:9" outlineLevel="2" x14ac:dyDescent="0.25">
      <c r="A461">
        <v>38002</v>
      </c>
      <c r="B461">
        <v>1991</v>
      </c>
      <c r="C461" s="258">
        <v>32.5</v>
      </c>
      <c r="D461" s="212">
        <v>3654743.39</v>
      </c>
      <c r="E461">
        <v>55</v>
      </c>
      <c r="F461">
        <v>26.998839</v>
      </c>
      <c r="G461" s="90">
        <f>'Proposed Rates'!$O$24/100</f>
        <v>-0.75</v>
      </c>
      <c r="H461" s="212">
        <f t="shared" si="55"/>
        <v>3256179.1206342299</v>
      </c>
      <c r="I461" s="212">
        <f t="shared" si="48"/>
        <v>98673828.372924209</v>
      </c>
    </row>
    <row r="462" spans="1:9" outlineLevel="2" x14ac:dyDescent="0.25">
      <c r="A462">
        <v>38002</v>
      </c>
      <c r="B462">
        <v>1990</v>
      </c>
      <c r="C462" s="258">
        <v>33.5</v>
      </c>
      <c r="D462" s="212">
        <v>3839374.61</v>
      </c>
      <c r="E462">
        <v>55</v>
      </c>
      <c r="F462">
        <v>26.259350999999999</v>
      </c>
      <c r="G462" s="90">
        <f>'Proposed Rates'!$O$24/100</f>
        <v>-0.75</v>
      </c>
      <c r="H462" s="212">
        <f t="shared" si="55"/>
        <v>3511012.8469029693</v>
      </c>
      <c r="I462" s="212">
        <f t="shared" si="48"/>
        <v>100819485.5044781</v>
      </c>
    </row>
    <row r="463" spans="1:9" outlineLevel="2" x14ac:dyDescent="0.25">
      <c r="A463">
        <v>38002</v>
      </c>
      <c r="B463">
        <v>1989</v>
      </c>
      <c r="C463" s="258">
        <v>34.5</v>
      </c>
      <c r="D463" s="212">
        <v>2931766.99</v>
      </c>
      <c r="E463">
        <v>55</v>
      </c>
      <c r="F463">
        <v>25.529532</v>
      </c>
      <c r="G463" s="90">
        <f>'Proposed Rates'!$O$24/100</f>
        <v>-0.75</v>
      </c>
      <c r="H463" s="212">
        <f t="shared" si="55"/>
        <v>2749108.2583443606</v>
      </c>
      <c r="I463" s="212">
        <f t="shared" si="48"/>
        <v>74846639.187748685</v>
      </c>
    </row>
    <row r="464" spans="1:9" outlineLevel="2" x14ac:dyDescent="0.25">
      <c r="A464">
        <v>38002</v>
      </c>
      <c r="B464">
        <v>1988</v>
      </c>
      <c r="C464" s="258">
        <v>35.5</v>
      </c>
      <c r="D464" s="212">
        <v>3232091.47</v>
      </c>
      <c r="E464">
        <v>55</v>
      </c>
      <c r="F464">
        <v>24.80922</v>
      </c>
      <c r="G464" s="90">
        <f>'Proposed Rates'!$O$24/100</f>
        <v>-0.75</v>
      </c>
      <c r="H464" s="212">
        <f t="shared" si="55"/>
        <v>3104797.898066028</v>
      </c>
      <c r="I464" s="212">
        <f t="shared" si="48"/>
        <v>80185668.339353397</v>
      </c>
    </row>
    <row r="465" spans="1:10" outlineLevel="2" x14ac:dyDescent="0.25">
      <c r="A465">
        <v>38002</v>
      </c>
      <c r="B465">
        <v>1987</v>
      </c>
      <c r="C465" s="258">
        <v>36.5</v>
      </c>
      <c r="D465" s="212">
        <v>2663338.87</v>
      </c>
      <c r="E465">
        <v>55</v>
      </c>
      <c r="F465">
        <v>24.098642000000002</v>
      </c>
      <c r="G465" s="90">
        <f>'Proposed Rates'!$O$24/100</f>
        <v>-0.75</v>
      </c>
      <c r="H465" s="212">
        <f t="shared" si="55"/>
        <v>2618661.433092264</v>
      </c>
      <c r="I465" s="212">
        <f t="shared" si="48"/>
        <v>64182849.952814549</v>
      </c>
    </row>
    <row r="466" spans="1:10" outlineLevel="2" x14ac:dyDescent="0.25">
      <c r="A466">
        <v>38002</v>
      </c>
      <c r="B466">
        <v>1986</v>
      </c>
      <c r="C466" s="258">
        <v>37.5</v>
      </c>
      <c r="D466" s="212">
        <v>2463685.46</v>
      </c>
      <c r="E466">
        <v>55</v>
      </c>
      <c r="F466">
        <v>23.398046000000001</v>
      </c>
      <c r="G466" s="90">
        <f>'Proposed Rates'!$O$24/100</f>
        <v>-0.75</v>
      </c>
      <c r="H466" s="212">
        <f t="shared" si="55"/>
        <v>2477276.9183714627</v>
      </c>
      <c r="I466" s="212">
        <f t="shared" si="48"/>
        <v>57645425.722611159</v>
      </c>
    </row>
    <row r="467" spans="1:10" outlineLevel="2" x14ac:dyDescent="0.25">
      <c r="A467">
        <v>38002</v>
      </c>
      <c r="B467">
        <v>1985</v>
      </c>
      <c r="C467" s="258">
        <v>38.5</v>
      </c>
      <c r="D467" s="212">
        <v>1754453.59</v>
      </c>
      <c r="E467">
        <v>55</v>
      </c>
      <c r="F467">
        <v>22.707698000000001</v>
      </c>
      <c r="G467" s="90">
        <f>'Proposed Rates'!$O$24/100</f>
        <v>-0.75</v>
      </c>
      <c r="H467" s="212">
        <f t="shared" si="55"/>
        <v>1802670.0736947695</v>
      </c>
      <c r="I467" s="212">
        <f t="shared" si="48"/>
        <v>39839602.27673582</v>
      </c>
    </row>
    <row r="468" spans="1:10" outlineLevel="2" x14ac:dyDescent="0.25">
      <c r="A468">
        <v>38002</v>
      </c>
      <c r="B468">
        <v>1984</v>
      </c>
      <c r="C468" s="258">
        <v>39.5</v>
      </c>
      <c r="D468" s="212">
        <v>1386418.34</v>
      </c>
      <c r="E468">
        <v>55</v>
      </c>
      <c r="F468">
        <v>22.028793</v>
      </c>
      <c r="G468" s="90">
        <f>'Proposed Rates'!$O$24/100</f>
        <v>-0.75</v>
      </c>
      <c r="H468" s="212">
        <f t="shared" si="55"/>
        <v>1454469.1024416119</v>
      </c>
      <c r="I468" s="212">
        <f t="shared" si="48"/>
        <v>30541122.623263624</v>
      </c>
    </row>
    <row r="469" spans="1:10" outlineLevel="2" x14ac:dyDescent="0.25">
      <c r="A469">
        <v>38002</v>
      </c>
      <c r="B469">
        <v>1983</v>
      </c>
      <c r="C469" s="258">
        <v>40.5</v>
      </c>
      <c r="D469" s="212">
        <v>1383346.29</v>
      </c>
      <c r="E469">
        <v>55</v>
      </c>
      <c r="F469">
        <v>21.360810000000001</v>
      </c>
      <c r="G469" s="90">
        <f>'Proposed Rates'!$O$24/100</f>
        <v>-0.75</v>
      </c>
      <c r="H469" s="212">
        <f t="shared" si="55"/>
        <v>1480647.9127078897</v>
      </c>
      <c r="I469" s="212">
        <f t="shared" si="48"/>
        <v>29549397.264894903</v>
      </c>
    </row>
    <row r="470" spans="1:10" outlineLevel="2" x14ac:dyDescent="0.25">
      <c r="A470">
        <v>38002</v>
      </c>
      <c r="B470">
        <v>1982</v>
      </c>
      <c r="C470" s="258">
        <v>41.5</v>
      </c>
      <c r="D470" s="212">
        <v>1200463.74</v>
      </c>
      <c r="E470">
        <v>55</v>
      </c>
      <c r="F470">
        <v>20.704077000000002</v>
      </c>
      <c r="G470" s="90">
        <f>'Proposed Rates'!$O$24/100</f>
        <v>-0.75</v>
      </c>
      <c r="H470" s="212">
        <f t="shared" ref="H470:H471" si="56">+D470*(1-F470/E470)*(1-G470)</f>
        <v>1309986.7451787461</v>
      </c>
      <c r="I470" s="212">
        <f t="shared" ref="I470:I471" si="57">+D470*F470</f>
        <v>24854493.708667982</v>
      </c>
    </row>
    <row r="471" spans="1:10" outlineLevel="2" x14ac:dyDescent="0.25">
      <c r="A471">
        <v>38002</v>
      </c>
      <c r="B471">
        <v>1981</v>
      </c>
      <c r="C471" s="258">
        <v>42.5</v>
      </c>
      <c r="D471" s="212">
        <v>480379.85</v>
      </c>
      <c r="E471">
        <v>55</v>
      </c>
      <c r="F471">
        <v>20.058941000000001</v>
      </c>
      <c r="G471" s="90">
        <f>'Proposed Rates'!$O$24/100</f>
        <v>-0.75</v>
      </c>
      <c r="H471" s="212">
        <f t="shared" si="56"/>
        <v>534067.56713103654</v>
      </c>
      <c r="I471" s="212">
        <f t="shared" si="57"/>
        <v>9635911.0687388498</v>
      </c>
    </row>
    <row r="472" spans="1:10" ht="13" outlineLevel="1" x14ac:dyDescent="0.3">
      <c r="A472" s="18" t="s">
        <v>1186</v>
      </c>
      <c r="C472" s="258" t="s">
        <v>1229</v>
      </c>
      <c r="D472" s="212">
        <f>SUBTOTAL(9,D429:D471)</f>
        <v>610080538.33000004</v>
      </c>
      <c r="H472" s="212">
        <f>SUBTOTAL(9,H429:H471)</f>
        <v>172871467.21459481</v>
      </c>
      <c r="I472" s="212">
        <f>SUBTOTAL(9,I429:I471)</f>
        <v>28121326352.834148</v>
      </c>
      <c r="J472" s="212">
        <f>+I472/D472</f>
        <v>46.094449152257631</v>
      </c>
    </row>
    <row r="473" spans="1:10" outlineLevel="2" x14ac:dyDescent="0.25">
      <c r="A473">
        <v>38100</v>
      </c>
      <c r="B473">
        <v>2023</v>
      </c>
      <c r="C473" s="258">
        <v>0.5</v>
      </c>
      <c r="D473" s="212">
        <v>7270521.6100000003</v>
      </c>
      <c r="E473">
        <v>20</v>
      </c>
      <c r="F473">
        <v>19.54824</v>
      </c>
      <c r="G473" s="90">
        <f>'Proposed Rates'!$O$25/100</f>
        <v>0</v>
      </c>
      <c r="H473" s="212">
        <f t="shared" si="55"/>
        <v>164226.54212668038</v>
      </c>
      <c r="I473" s="212">
        <f t="shared" ref="I473:I527" si="58">+D473*F473</f>
        <v>142125901.3574664</v>
      </c>
    </row>
    <row r="474" spans="1:10" outlineLevel="2" x14ac:dyDescent="0.25">
      <c r="A474">
        <v>38100</v>
      </c>
      <c r="B474">
        <v>2022</v>
      </c>
      <c r="C474" s="258">
        <v>1.5</v>
      </c>
      <c r="D474" s="212">
        <v>7955614.29</v>
      </c>
      <c r="E474">
        <v>20</v>
      </c>
      <c r="F474">
        <v>18.654191999999998</v>
      </c>
      <c r="G474" s="90">
        <f>'Proposed Rates'!$O$25/100</f>
        <v>0</v>
      </c>
      <c r="H474" s="212">
        <f t="shared" si="55"/>
        <v>535336.46781981667</v>
      </c>
      <c r="I474" s="212">
        <f t="shared" si="58"/>
        <v>148405556.44360366</v>
      </c>
    </row>
    <row r="475" spans="1:10" outlineLevel="2" x14ac:dyDescent="0.25">
      <c r="A475">
        <v>38100</v>
      </c>
      <c r="B475">
        <v>2021</v>
      </c>
      <c r="C475" s="258">
        <v>2.5</v>
      </c>
      <c r="D475" s="212">
        <v>6363475.7999999998</v>
      </c>
      <c r="E475">
        <v>20</v>
      </c>
      <c r="F475">
        <v>17.773679999999999</v>
      </c>
      <c r="G475" s="90">
        <f>'Proposed Rates'!$O$25/100</f>
        <v>0</v>
      </c>
      <c r="H475" s="212">
        <f t="shared" si="55"/>
        <v>708356.67215280049</v>
      </c>
      <c r="I475" s="212">
        <f t="shared" si="58"/>
        <v>113102382.55694398</v>
      </c>
    </row>
    <row r="476" spans="1:10" outlineLevel="2" x14ac:dyDescent="0.25">
      <c r="A476">
        <v>38100</v>
      </c>
      <c r="B476">
        <v>2020</v>
      </c>
      <c r="C476" s="258">
        <v>3.5</v>
      </c>
      <c r="D476" s="212">
        <v>4880024.6900000004</v>
      </c>
      <c r="E476">
        <v>20</v>
      </c>
      <c r="F476">
        <v>16.907615</v>
      </c>
      <c r="G476" s="90">
        <f>'Proposed Rates'!$O$25/100</f>
        <v>0</v>
      </c>
      <c r="H476" s="212">
        <f t="shared" ref="H476:H485" si="59">+D476*(1-F476/E476)*(1-G476)</f>
        <v>754545.75754928251</v>
      </c>
      <c r="I476" s="212">
        <f t="shared" ref="I476:I485" si="60">+D476*F476</f>
        <v>82509578.649014354</v>
      </c>
    </row>
    <row r="477" spans="1:10" outlineLevel="2" x14ac:dyDescent="0.25">
      <c r="A477">
        <v>38100</v>
      </c>
      <c r="B477">
        <v>2019</v>
      </c>
      <c r="C477" s="258">
        <v>4.5</v>
      </c>
      <c r="D477" s="212">
        <v>5992488.0499999998</v>
      </c>
      <c r="E477">
        <v>20</v>
      </c>
      <c r="F477">
        <v>16.056894</v>
      </c>
      <c r="G477" s="90">
        <f>'Proposed Rates'!$O$25/100</f>
        <v>0</v>
      </c>
      <c r="H477" s="212">
        <f t="shared" si="59"/>
        <v>1181450.7792441652</v>
      </c>
      <c r="I477" s="212">
        <f t="shared" si="60"/>
        <v>96220745.415116698</v>
      </c>
    </row>
    <row r="478" spans="1:10" outlineLevel="2" x14ac:dyDescent="0.25">
      <c r="A478">
        <v>38100</v>
      </c>
      <c r="B478">
        <v>2018</v>
      </c>
      <c r="C478" s="258">
        <v>5.5</v>
      </c>
      <c r="D478" s="212">
        <v>3781157.14</v>
      </c>
      <c r="E478">
        <v>20</v>
      </c>
      <c r="F478">
        <v>15.2224</v>
      </c>
      <c r="G478" s="90">
        <f>'Proposed Rates'!$O$25/100</f>
        <v>0</v>
      </c>
      <c r="H478" s="212">
        <f t="shared" si="59"/>
        <v>903242.81760319998</v>
      </c>
      <c r="I478" s="212">
        <f t="shared" si="60"/>
        <v>57558286.447936006</v>
      </c>
    </row>
    <row r="479" spans="1:10" outlineLevel="2" x14ac:dyDescent="0.25">
      <c r="A479">
        <v>38100</v>
      </c>
      <c r="B479">
        <v>2017</v>
      </c>
      <c r="C479" s="258">
        <v>6.5</v>
      </c>
      <c r="D479" s="212">
        <v>5069819.4800000004</v>
      </c>
      <c r="E479">
        <v>20</v>
      </c>
      <c r="F479">
        <v>14.405016</v>
      </c>
      <c r="G479" s="90">
        <f>'Proposed Rates'!$O$25/100</f>
        <v>0</v>
      </c>
      <c r="H479" s="212">
        <f t="shared" si="59"/>
        <v>1418277.9436744163</v>
      </c>
      <c r="I479" s="212">
        <f t="shared" si="60"/>
        <v>73030830.726511687</v>
      </c>
    </row>
    <row r="480" spans="1:10" outlineLevel="2" x14ac:dyDescent="0.25">
      <c r="A480">
        <v>38100</v>
      </c>
      <c r="B480">
        <v>2016</v>
      </c>
      <c r="C480" s="258">
        <v>7.5</v>
      </c>
      <c r="D480" s="212">
        <v>3923394.52</v>
      </c>
      <c r="E480">
        <v>20</v>
      </c>
      <c r="F480">
        <v>13.605627</v>
      </c>
      <c r="G480" s="90">
        <f>'Proposed Rates'!$O$25/100</f>
        <v>0</v>
      </c>
      <c r="H480" s="212">
        <f t="shared" si="59"/>
        <v>1254382.399351798</v>
      </c>
      <c r="I480" s="212">
        <f t="shared" si="60"/>
        <v>53380242.412964039</v>
      </c>
    </row>
    <row r="481" spans="1:9" outlineLevel="2" x14ac:dyDescent="0.25">
      <c r="A481">
        <v>38100</v>
      </c>
      <c r="B481">
        <v>2015</v>
      </c>
      <c r="C481" s="258">
        <v>8.5</v>
      </c>
      <c r="D481" s="212">
        <v>4293558.7300000004</v>
      </c>
      <c r="E481">
        <v>20</v>
      </c>
      <c r="F481">
        <v>12.825138000000001</v>
      </c>
      <c r="G481" s="90">
        <f>'Proposed Rates'!$O$25/100</f>
        <v>0</v>
      </c>
      <c r="H481" s="212">
        <f t="shared" si="59"/>
        <v>1540284.5688322631</v>
      </c>
      <c r="I481" s="212">
        <f t="shared" si="60"/>
        <v>55065483.223354749</v>
      </c>
    </row>
    <row r="482" spans="1:9" outlineLevel="2" x14ac:dyDescent="0.25">
      <c r="A482">
        <v>38100</v>
      </c>
      <c r="B482">
        <v>2014</v>
      </c>
      <c r="C482" s="258">
        <v>9.5</v>
      </c>
      <c r="D482" s="212">
        <v>2359484.58</v>
      </c>
      <c r="E482">
        <v>20</v>
      </c>
      <c r="F482">
        <v>12.064488000000001</v>
      </c>
      <c r="G482" s="90">
        <f>'Proposed Rates'!$O$25/100</f>
        <v>0</v>
      </c>
      <c r="H482" s="212">
        <f t="shared" si="59"/>
        <v>936185.90992024809</v>
      </c>
      <c r="I482" s="212">
        <f t="shared" si="60"/>
        <v>28465973.401595041</v>
      </c>
    </row>
    <row r="483" spans="1:9" outlineLevel="2" x14ac:dyDescent="0.25">
      <c r="A483">
        <v>38100</v>
      </c>
      <c r="B483">
        <v>2013</v>
      </c>
      <c r="C483" s="258">
        <v>10.5</v>
      </c>
      <c r="D483" s="212">
        <v>2991226.1</v>
      </c>
      <c r="E483">
        <v>20</v>
      </c>
      <c r="F483">
        <v>11.324655</v>
      </c>
      <c r="G483" s="90">
        <f>'Proposed Rates'!$O$25/100</f>
        <v>0</v>
      </c>
      <c r="H483" s="212">
        <f t="shared" si="59"/>
        <v>1297495.9195252252</v>
      </c>
      <c r="I483" s="212">
        <f t="shared" si="60"/>
        <v>33874603.609495498</v>
      </c>
    </row>
    <row r="484" spans="1:9" outlineLevel="2" x14ac:dyDescent="0.25">
      <c r="A484">
        <v>38100</v>
      </c>
      <c r="B484">
        <v>2012</v>
      </c>
      <c r="C484" s="258">
        <v>11.5</v>
      </c>
      <c r="D484" s="212">
        <v>4915452.76</v>
      </c>
      <c r="E484">
        <v>20</v>
      </c>
      <c r="F484">
        <v>10.606671</v>
      </c>
      <c r="G484" s="90">
        <f>'Proposed Rates'!$O$25/100</f>
        <v>0</v>
      </c>
      <c r="H484" s="212">
        <f t="shared" si="59"/>
        <v>2308623.2479319018</v>
      </c>
      <c r="I484" s="212">
        <f t="shared" si="60"/>
        <v>52136590.241361961</v>
      </c>
    </row>
    <row r="485" spans="1:9" outlineLevel="2" x14ac:dyDescent="0.25">
      <c r="A485">
        <v>38100</v>
      </c>
      <c r="B485">
        <v>2011</v>
      </c>
      <c r="C485" s="258">
        <v>12.5</v>
      </c>
      <c r="D485" s="212">
        <v>8431805.2899999991</v>
      </c>
      <c r="E485">
        <v>20</v>
      </c>
      <c r="F485">
        <v>9.9116210000000002</v>
      </c>
      <c r="G485" s="90">
        <f>'Proposed Rates'!$O$25/100</f>
        <v>0</v>
      </c>
      <c r="H485" s="212">
        <f t="shared" si="59"/>
        <v>4253162.3709862456</v>
      </c>
      <c r="I485" s="212">
        <f t="shared" si="60"/>
        <v>83572858.380275086</v>
      </c>
    </row>
    <row r="486" spans="1:9" outlineLevel="2" x14ac:dyDescent="0.25">
      <c r="A486">
        <v>38100</v>
      </c>
      <c r="B486">
        <v>2010</v>
      </c>
      <c r="C486" s="258">
        <v>13.5</v>
      </c>
      <c r="D486" s="212">
        <v>5179866.3600000003</v>
      </c>
      <c r="E486">
        <v>20</v>
      </c>
      <c r="F486">
        <v>9.2406349999999993</v>
      </c>
      <c r="G486" s="90">
        <f>'Proposed Rates'!$O$25/100</f>
        <v>0</v>
      </c>
      <c r="H486" s="212">
        <f t="shared" si="55"/>
        <v>2786603.6409230703</v>
      </c>
      <c r="I486" s="212">
        <f t="shared" si="58"/>
        <v>47865254.3815386</v>
      </c>
    </row>
    <row r="487" spans="1:9" outlineLevel="2" x14ac:dyDescent="0.25">
      <c r="A487">
        <v>38100</v>
      </c>
      <c r="B487">
        <v>2009</v>
      </c>
      <c r="C487" s="258">
        <v>14.5</v>
      </c>
      <c r="D487" s="212">
        <v>1718648.02</v>
      </c>
      <c r="E487">
        <v>20</v>
      </c>
      <c r="F487">
        <v>8.5948670000000007</v>
      </c>
      <c r="G487" s="90">
        <f>'Proposed Rates'!$O$25/100</f>
        <v>0</v>
      </c>
      <c r="H487" s="212">
        <f t="shared" si="55"/>
        <v>980070.4624143329</v>
      </c>
      <c r="I487" s="212">
        <f t="shared" si="58"/>
        <v>14771551.151713341</v>
      </c>
    </row>
    <row r="488" spans="1:9" outlineLevel="2" x14ac:dyDescent="0.25">
      <c r="A488">
        <v>38100</v>
      </c>
      <c r="B488">
        <v>2008</v>
      </c>
      <c r="C488" s="258">
        <v>15.5</v>
      </c>
      <c r="D488" s="212">
        <v>3289624.18</v>
      </c>
      <c r="E488">
        <v>20</v>
      </c>
      <c r="F488">
        <v>7.9754639999999997</v>
      </c>
      <c r="G488" s="90">
        <f>'Proposed Rates'!$O$25/100</f>
        <v>0</v>
      </c>
      <c r="H488" s="212">
        <f t="shared" si="55"/>
        <v>1977810.2189440243</v>
      </c>
      <c r="I488" s="212">
        <f t="shared" si="58"/>
        <v>26236279.221119519</v>
      </c>
    </row>
    <row r="489" spans="1:9" outlineLevel="2" x14ac:dyDescent="0.25">
      <c r="A489">
        <v>38100</v>
      </c>
      <c r="B489">
        <v>2007</v>
      </c>
      <c r="C489" s="258">
        <v>16.5</v>
      </c>
      <c r="D489" s="212">
        <v>2734232.59</v>
      </c>
      <c r="E489">
        <v>20</v>
      </c>
      <c r="F489">
        <v>7.3835179999999996</v>
      </c>
      <c r="G489" s="90">
        <f>'Proposed Rates'!$O$25/100</f>
        <v>0</v>
      </c>
      <c r="H489" s="212">
        <f t="shared" si="55"/>
        <v>1724819.8127774189</v>
      </c>
      <c r="I489" s="212">
        <f t="shared" si="58"/>
        <v>20188255.544451617</v>
      </c>
    </row>
    <row r="490" spans="1:9" outlineLevel="2" x14ac:dyDescent="0.25">
      <c r="A490">
        <v>38100</v>
      </c>
      <c r="B490">
        <v>2006</v>
      </c>
      <c r="C490" s="258">
        <v>17.5</v>
      </c>
      <c r="D490" s="212">
        <v>3243483.56</v>
      </c>
      <c r="E490">
        <v>20</v>
      </c>
      <c r="F490">
        <v>6.8200099999999999</v>
      </c>
      <c r="G490" s="90">
        <f>'Proposed Rates'!$O$25/100</f>
        <v>0</v>
      </c>
      <c r="H490" s="212">
        <f t="shared" si="55"/>
        <v>2137454.04429822</v>
      </c>
      <c r="I490" s="212">
        <f t="shared" si="58"/>
        <v>22120590.314035602</v>
      </c>
    </row>
    <row r="491" spans="1:9" outlineLevel="2" x14ac:dyDescent="0.25">
      <c r="A491">
        <v>38100</v>
      </c>
      <c r="B491">
        <v>2005</v>
      </c>
      <c r="C491" s="258">
        <v>18.5</v>
      </c>
      <c r="D491" s="212">
        <v>2881541.76</v>
      </c>
      <c r="E491">
        <v>20</v>
      </c>
      <c r="F491">
        <v>6.2857349999999999</v>
      </c>
      <c r="G491" s="90">
        <f>'Proposed Rates'!$O$25/100</f>
        <v>0</v>
      </c>
      <c r="H491" s="212">
        <f t="shared" si="55"/>
        <v>1975911.36526032</v>
      </c>
      <c r="I491" s="212">
        <f t="shared" si="58"/>
        <v>18112607.8947936</v>
      </c>
    </row>
    <row r="492" spans="1:9" outlineLevel="2" x14ac:dyDescent="0.25">
      <c r="A492">
        <v>38100</v>
      </c>
      <c r="B492">
        <v>2004</v>
      </c>
      <c r="C492" s="258">
        <v>19.5</v>
      </c>
      <c r="D492" s="212">
        <v>2552262.56</v>
      </c>
      <c r="E492">
        <v>20</v>
      </c>
      <c r="F492">
        <v>5.7812270000000003</v>
      </c>
      <c r="G492" s="90">
        <f>'Proposed Rates'!$O$25/100</f>
        <v>0</v>
      </c>
      <c r="H492" s="212">
        <f t="shared" ref="H492:H496" si="61">+D492*(1-F492/E492)*(1-G492)</f>
        <v>1814502.0988519441</v>
      </c>
      <c r="I492" s="212">
        <f t="shared" ref="I492:I496" si="62">+D492*F492</f>
        <v>14755209.22296112</v>
      </c>
    </row>
    <row r="493" spans="1:9" outlineLevel="2" x14ac:dyDescent="0.25">
      <c r="A493">
        <v>38100</v>
      </c>
      <c r="B493">
        <v>2003</v>
      </c>
      <c r="C493" s="258">
        <v>20.5</v>
      </c>
      <c r="D493" s="212">
        <v>2680422.5</v>
      </c>
      <c r="E493">
        <v>20</v>
      </c>
      <c r="F493">
        <v>5.3066779999999998</v>
      </c>
      <c r="G493" s="90">
        <f>'Proposed Rates'!$O$25/100</f>
        <v>0</v>
      </c>
      <c r="H493" s="212">
        <f t="shared" si="61"/>
        <v>1969215.54442725</v>
      </c>
      <c r="I493" s="212">
        <f t="shared" si="62"/>
        <v>14224139.111454999</v>
      </c>
    </row>
    <row r="494" spans="1:9" outlineLevel="2" x14ac:dyDescent="0.25">
      <c r="A494">
        <v>38100</v>
      </c>
      <c r="B494">
        <v>2002</v>
      </c>
      <c r="C494" s="258">
        <v>21.5</v>
      </c>
      <c r="D494" s="212">
        <v>2433788.38</v>
      </c>
      <c r="E494">
        <v>20</v>
      </c>
      <c r="F494">
        <v>4.8618430000000004</v>
      </c>
      <c r="G494" s="90">
        <f>'Proposed Rates'!$O$25/100</f>
        <v>0</v>
      </c>
      <c r="H494" s="212">
        <f t="shared" si="61"/>
        <v>1842153.5300607828</v>
      </c>
      <c r="I494" s="212">
        <f t="shared" si="62"/>
        <v>11832696.998784341</v>
      </c>
    </row>
    <row r="495" spans="1:9" outlineLevel="2" x14ac:dyDescent="0.25">
      <c r="A495">
        <v>38100</v>
      </c>
      <c r="B495">
        <v>2000</v>
      </c>
      <c r="C495" s="258">
        <v>23.5</v>
      </c>
      <c r="D495" s="212">
        <v>4241241.4400000004</v>
      </c>
      <c r="E495">
        <v>20</v>
      </c>
      <c r="F495">
        <v>4.0576470000000002</v>
      </c>
      <c r="G495" s="90">
        <f>'Proposed Rates'!$O$25/100</f>
        <v>0</v>
      </c>
      <c r="H495" s="212">
        <f t="shared" si="61"/>
        <v>3380768.4097354165</v>
      </c>
      <c r="I495" s="212">
        <f t="shared" si="62"/>
        <v>17209460.605291683</v>
      </c>
    </row>
    <row r="496" spans="1:9" outlineLevel="2" x14ac:dyDescent="0.25">
      <c r="A496">
        <v>38100</v>
      </c>
      <c r="B496">
        <v>1999</v>
      </c>
      <c r="C496" s="258">
        <v>24.5</v>
      </c>
      <c r="D496" s="212">
        <v>87559.89</v>
      </c>
      <c r="E496">
        <v>20</v>
      </c>
      <c r="F496">
        <v>3.6948210000000001</v>
      </c>
      <c r="G496" s="90">
        <f>'Proposed Rates'!$O$25/100</f>
        <v>0</v>
      </c>
      <c r="H496" s="212">
        <f t="shared" si="61"/>
        <v>71383.9839835155</v>
      </c>
      <c r="I496" s="212">
        <f t="shared" si="62"/>
        <v>323518.12032968999</v>
      </c>
    </row>
    <row r="497" spans="1:10" ht="13" outlineLevel="1" x14ac:dyDescent="0.3">
      <c r="A497" s="18" t="s">
        <v>1187</v>
      </c>
      <c r="C497" s="258"/>
      <c r="D497" s="212">
        <f>SUBTOTAL(9,D473:D496)</f>
        <v>99270694.280000001</v>
      </c>
      <c r="H497" s="212">
        <f>SUBTOTAL(9,H473:H496)</f>
        <v>37916264.508394338</v>
      </c>
      <c r="I497" s="212">
        <f>SUBTOTAL(9,I473:I496)</f>
        <v>1227088595.4321132</v>
      </c>
      <c r="J497" s="212">
        <f>+I497/D497</f>
        <v>12.361035694693776</v>
      </c>
    </row>
    <row r="498" spans="1:10" outlineLevel="2" x14ac:dyDescent="0.25">
      <c r="A498">
        <v>38200</v>
      </c>
      <c r="B498">
        <v>2023</v>
      </c>
      <c r="C498" s="258">
        <v>0.5</v>
      </c>
      <c r="D498" s="212">
        <v>14647230.449999999</v>
      </c>
      <c r="E498">
        <v>45</v>
      </c>
      <c r="F498">
        <v>44.588079999999998</v>
      </c>
      <c r="G498" s="90">
        <f>'Proposed Rates'!$O$26/100</f>
        <v>-0.3</v>
      </c>
      <c r="H498" s="212">
        <f t="shared" si="55"/>
        <v>174300.74037896071</v>
      </c>
      <c r="I498" s="212">
        <f t="shared" si="58"/>
        <v>653091883.08303595</v>
      </c>
    </row>
    <row r="499" spans="1:10" outlineLevel="2" x14ac:dyDescent="0.25">
      <c r="A499">
        <v>38200</v>
      </c>
      <c r="B499">
        <v>2022</v>
      </c>
      <c r="C499" s="258">
        <v>1.5</v>
      </c>
      <c r="D499" s="212">
        <v>10932158.810000001</v>
      </c>
      <c r="E499">
        <v>45</v>
      </c>
      <c r="F499">
        <v>43.768006</v>
      </c>
      <c r="G499" s="90">
        <f>'Proposed Rates'!$O$26/100</f>
        <v>-0.3</v>
      </c>
      <c r="H499" s="212">
        <f t="shared" si="55"/>
        <v>389085.78398349544</v>
      </c>
      <c r="I499" s="212">
        <f t="shared" si="58"/>
        <v>478478792.3890329</v>
      </c>
    </row>
    <row r="500" spans="1:10" outlineLevel="2" x14ac:dyDescent="0.25">
      <c r="A500">
        <v>38200</v>
      </c>
      <c r="B500">
        <v>2021</v>
      </c>
      <c r="C500" s="258">
        <v>2.5</v>
      </c>
      <c r="D500" s="212">
        <v>8410531.6300000008</v>
      </c>
      <c r="E500">
        <v>45</v>
      </c>
      <c r="F500">
        <v>42.952955000000003</v>
      </c>
      <c r="G500" s="90">
        <f>'Proposed Rates'!$O$26/100</f>
        <v>-0.3</v>
      </c>
      <c r="H500" s="212">
        <f t="shared" si="55"/>
        <v>497372.39414874063</v>
      </c>
      <c r="I500" s="212">
        <f t="shared" si="58"/>
        <v>361257186.62946671</v>
      </c>
    </row>
    <row r="501" spans="1:10" outlineLevel="2" x14ac:dyDescent="0.25">
      <c r="A501">
        <v>38200</v>
      </c>
      <c r="B501">
        <v>2020</v>
      </c>
      <c r="C501" s="258">
        <v>3.5</v>
      </c>
      <c r="D501" s="212">
        <v>7085783.1100000003</v>
      </c>
      <c r="E501">
        <v>45</v>
      </c>
      <c r="F501">
        <v>42.142937000000003</v>
      </c>
      <c r="G501" s="90">
        <f>'Proposed Rates'!$O$26/100</f>
        <v>-0.3</v>
      </c>
      <c r="H501" s="212">
        <f t="shared" si="55"/>
        <v>584841.94165528216</v>
      </c>
      <c r="I501" s="212">
        <f t="shared" si="58"/>
        <v>298615711.20039409</v>
      </c>
    </row>
    <row r="502" spans="1:10" outlineLevel="2" x14ac:dyDescent="0.25">
      <c r="A502">
        <v>38200</v>
      </c>
      <c r="B502">
        <v>2019</v>
      </c>
      <c r="C502" s="258">
        <v>4.5</v>
      </c>
      <c r="D502" s="212">
        <v>5760374.3600000003</v>
      </c>
      <c r="E502">
        <v>45</v>
      </c>
      <c r="F502">
        <v>41.337977000000002</v>
      </c>
      <c r="G502" s="90">
        <f>'Proposed Rates'!$O$26/100</f>
        <v>-0.3</v>
      </c>
      <c r="H502" s="212">
        <f t="shared" si="55"/>
        <v>609400.23140909686</v>
      </c>
      <c r="I502" s="212">
        <f t="shared" si="58"/>
        <v>238122222.80506974</v>
      </c>
    </row>
    <row r="503" spans="1:10" outlineLevel="2" x14ac:dyDescent="0.25">
      <c r="A503">
        <v>38200</v>
      </c>
      <c r="B503">
        <v>2018</v>
      </c>
      <c r="C503" s="258">
        <v>5.5</v>
      </c>
      <c r="D503" s="212">
        <v>5206038.25</v>
      </c>
      <c r="E503">
        <v>45</v>
      </c>
      <c r="F503">
        <v>40.538459000000003</v>
      </c>
      <c r="G503" s="90">
        <f>'Proposed Rates'!$O$26/100</f>
        <v>-0.3</v>
      </c>
      <c r="H503" s="212">
        <f t="shared" si="55"/>
        <v>671000.86733169341</v>
      </c>
      <c r="I503" s="212">
        <f t="shared" si="58"/>
        <v>211044768.15005678</v>
      </c>
    </row>
    <row r="504" spans="1:10" outlineLevel="2" x14ac:dyDescent="0.25">
      <c r="A504">
        <v>38200</v>
      </c>
      <c r="B504">
        <v>2017</v>
      </c>
      <c r="C504" s="258">
        <v>6.5</v>
      </c>
      <c r="D504" s="212">
        <v>3370499.49</v>
      </c>
      <c r="E504">
        <v>45</v>
      </c>
      <c r="F504">
        <v>39.744045999999997</v>
      </c>
      <c r="G504" s="90">
        <f>'Proposed Rates'!$O$26/100</f>
        <v>-0.3</v>
      </c>
      <c r="H504" s="212">
        <f t="shared" si="55"/>
        <v>511772.16354227794</v>
      </c>
      <c r="I504" s="212">
        <f t="shared" si="58"/>
        <v>133957286.77353653</v>
      </c>
    </row>
    <row r="505" spans="1:10" outlineLevel="2" x14ac:dyDescent="0.25">
      <c r="A505">
        <v>38200</v>
      </c>
      <c r="B505">
        <v>2016</v>
      </c>
      <c r="C505" s="258">
        <v>7.5</v>
      </c>
      <c r="D505" s="212">
        <v>3590691.31</v>
      </c>
      <c r="E505">
        <v>45</v>
      </c>
      <c r="F505">
        <v>38.954757999999998</v>
      </c>
      <c r="G505" s="90">
        <f>'Proposed Rates'!$O$26/100</f>
        <v>-0.3</v>
      </c>
      <c r="H505" s="212">
        <f t="shared" si="55"/>
        <v>627079.49535824754</v>
      </c>
      <c r="I505" s="212">
        <f t="shared" si="58"/>
        <v>139874511.03375298</v>
      </c>
    </row>
    <row r="506" spans="1:10" outlineLevel="2" x14ac:dyDescent="0.25">
      <c r="A506">
        <v>38200</v>
      </c>
      <c r="B506">
        <v>2015</v>
      </c>
      <c r="C506" s="258">
        <v>8.5</v>
      </c>
      <c r="D506" s="212">
        <v>2450705.7200000002</v>
      </c>
      <c r="E506">
        <v>45</v>
      </c>
      <c r="F506">
        <v>38.170605000000002</v>
      </c>
      <c r="G506" s="90">
        <f>'Proposed Rates'!$O$26/100</f>
        <v>-0.3</v>
      </c>
      <c r="H506" s="212">
        <f t="shared" si="55"/>
        <v>483508.63572958257</v>
      </c>
      <c r="I506" s="212">
        <f t="shared" si="58"/>
        <v>93544920.009360611</v>
      </c>
    </row>
    <row r="507" spans="1:10" outlineLevel="2" x14ac:dyDescent="0.25">
      <c r="A507">
        <v>38200</v>
      </c>
      <c r="B507">
        <v>2014</v>
      </c>
      <c r="C507" s="258">
        <v>9.5</v>
      </c>
      <c r="D507" s="212">
        <v>2327250.21</v>
      </c>
      <c r="E507">
        <v>45</v>
      </c>
      <c r="F507">
        <v>37.39181</v>
      </c>
      <c r="G507" s="90">
        <f>'Proposed Rates'!$O$26/100</f>
        <v>-0.3</v>
      </c>
      <c r="H507" s="212">
        <f t="shared" si="55"/>
        <v>511511.34017301933</v>
      </c>
      <c r="I507" s="212">
        <f t="shared" si="58"/>
        <v>87020097.674780101</v>
      </c>
    </row>
    <row r="508" spans="1:10" outlineLevel="2" x14ac:dyDescent="0.25">
      <c r="A508">
        <v>38200</v>
      </c>
      <c r="B508">
        <v>2013</v>
      </c>
      <c r="C508" s="258">
        <v>10.5</v>
      </c>
      <c r="D508" s="212">
        <v>1834052</v>
      </c>
      <c r="E508">
        <v>45</v>
      </c>
      <c r="F508">
        <v>36.618388000000003</v>
      </c>
      <c r="G508" s="90">
        <f>'Proposed Rates'!$O$26/100</f>
        <v>-0.3</v>
      </c>
      <c r="H508" s="212">
        <f t="shared" si="55"/>
        <v>444089.02060824877</v>
      </c>
      <c r="I508" s="212">
        <f t="shared" si="58"/>
        <v>67160027.748176008</v>
      </c>
    </row>
    <row r="509" spans="1:10" outlineLevel="2" x14ac:dyDescent="0.25">
      <c r="A509">
        <v>38200</v>
      </c>
      <c r="B509">
        <v>2012</v>
      </c>
      <c r="C509" s="258">
        <v>11.5</v>
      </c>
      <c r="D509" s="212">
        <v>1918712.59</v>
      </c>
      <c r="E509">
        <v>45</v>
      </c>
      <c r="F509">
        <v>35.850178</v>
      </c>
      <c r="G509" s="90">
        <f>'Proposed Rates'!$O$26/100</f>
        <v>-0.3</v>
      </c>
      <c r="H509" s="212">
        <f t="shared" si="55"/>
        <v>507169.82817681512</v>
      </c>
      <c r="I509" s="212">
        <f t="shared" si="58"/>
        <v>68786187.882341027</v>
      </c>
    </row>
    <row r="510" spans="1:10" outlineLevel="2" x14ac:dyDescent="0.25">
      <c r="A510">
        <v>38200</v>
      </c>
      <c r="B510">
        <v>2011</v>
      </c>
      <c r="C510" s="258">
        <v>12.5</v>
      </c>
      <c r="D510" s="212">
        <v>2197867.62</v>
      </c>
      <c r="E510">
        <v>45</v>
      </c>
      <c r="F510">
        <v>35.087190999999997</v>
      </c>
      <c r="G510" s="90">
        <f>'Proposed Rates'!$O$26/100</f>
        <v>-0.3</v>
      </c>
      <c r="H510" s="212">
        <f t="shared" si="55"/>
        <v>629403.4333699547</v>
      </c>
      <c r="I510" s="212">
        <f t="shared" si="58"/>
        <v>77117000.975655422</v>
      </c>
    </row>
    <row r="511" spans="1:10" outlineLevel="2" x14ac:dyDescent="0.25">
      <c r="A511">
        <v>38200</v>
      </c>
      <c r="B511">
        <v>2010</v>
      </c>
      <c r="C511" s="258">
        <v>13.5</v>
      </c>
      <c r="D511" s="212">
        <v>2001925.56</v>
      </c>
      <c r="E511">
        <v>45</v>
      </c>
      <c r="F511">
        <v>34.329459</v>
      </c>
      <c r="G511" s="90">
        <f>'Proposed Rates'!$O$26/100</f>
        <v>-0.3</v>
      </c>
      <c r="H511" s="212">
        <f t="shared" si="55"/>
        <v>617113.71993347444</v>
      </c>
      <c r="I511" s="212">
        <f t="shared" si="58"/>
        <v>68725021.433072045</v>
      </c>
    </row>
    <row r="512" spans="1:10" outlineLevel="2" x14ac:dyDescent="0.25">
      <c r="A512">
        <v>38200</v>
      </c>
      <c r="B512">
        <v>2009</v>
      </c>
      <c r="C512" s="258">
        <v>14.5</v>
      </c>
      <c r="D512" s="212">
        <v>2030124.35</v>
      </c>
      <c r="E512">
        <v>45</v>
      </c>
      <c r="F512">
        <v>33.577466000000001</v>
      </c>
      <c r="G512" s="90">
        <f>'Proposed Rates'!$O$26/100</f>
        <v>-0.3</v>
      </c>
      <c r="H512" s="212">
        <f t="shared" ref="H512:H561" si="63">+D512*(1-F512/E512)*(1-G512)</f>
        <v>669909.19412741694</v>
      </c>
      <c r="I512" s="212">
        <f t="shared" si="58"/>
        <v>68166431.337897107</v>
      </c>
    </row>
    <row r="513" spans="1:9" outlineLevel="2" x14ac:dyDescent="0.25">
      <c r="A513">
        <v>38200</v>
      </c>
      <c r="B513">
        <v>2008</v>
      </c>
      <c r="C513" s="258">
        <v>15.5</v>
      </c>
      <c r="D513" s="212">
        <v>2136983.83</v>
      </c>
      <c r="E513">
        <v>45</v>
      </c>
      <c r="F513">
        <v>32.830964999999999</v>
      </c>
      <c r="G513" s="90">
        <f>'Proposed Rates'!$O$26/100</f>
        <v>-0.3</v>
      </c>
      <c r="H513" s="212">
        <f t="shared" si="63"/>
        <v>751256.45173811703</v>
      </c>
      <c r="I513" s="212">
        <f t="shared" si="58"/>
        <v>70159241.328295946</v>
      </c>
    </row>
    <row r="514" spans="1:9" outlineLevel="2" x14ac:dyDescent="0.25">
      <c r="A514">
        <v>38200</v>
      </c>
      <c r="B514">
        <v>2007</v>
      </c>
      <c r="C514" s="258">
        <v>16.5</v>
      </c>
      <c r="D514" s="212">
        <v>2126369.48</v>
      </c>
      <c r="E514">
        <v>45</v>
      </c>
      <c r="F514">
        <v>32.090125999999998</v>
      </c>
      <c r="G514" s="90">
        <f>'Proposed Rates'!$O$26/100</f>
        <v>-0.3</v>
      </c>
      <c r="H514" s="212">
        <f t="shared" si="63"/>
        <v>793033.5707448707</v>
      </c>
      <c r="I514" s="212">
        <f t="shared" si="58"/>
        <v>68235464.535754472</v>
      </c>
    </row>
    <row r="515" spans="1:9" outlineLevel="2" x14ac:dyDescent="0.25">
      <c r="A515">
        <v>38200</v>
      </c>
      <c r="B515">
        <v>2006</v>
      </c>
      <c r="C515" s="258">
        <v>17.5</v>
      </c>
      <c r="D515" s="212">
        <v>2554516.2599999998</v>
      </c>
      <c r="E515">
        <v>45</v>
      </c>
      <c r="F515">
        <v>31.355160999999999</v>
      </c>
      <c r="G515" s="90">
        <f>'Proposed Rates'!$O$26/100</f>
        <v>-0.3</v>
      </c>
      <c r="H515" s="212">
        <f t="shared" si="63"/>
        <v>1006950.0448390396</v>
      </c>
      <c r="I515" s="212">
        <f t="shared" si="58"/>
        <v>80097268.609417856</v>
      </c>
    </row>
    <row r="516" spans="1:9" outlineLevel="2" x14ac:dyDescent="0.25">
      <c r="A516">
        <v>38200</v>
      </c>
      <c r="B516">
        <v>2005</v>
      </c>
      <c r="C516" s="258">
        <v>18.5</v>
      </c>
      <c r="D516" s="212">
        <v>2891763.22</v>
      </c>
      <c r="E516">
        <v>45</v>
      </c>
      <c r="F516">
        <v>30.626531</v>
      </c>
      <c r="G516" s="90">
        <f>'Proposed Rates'!$O$26/100</f>
        <v>-0.3</v>
      </c>
      <c r="H516" s="212">
        <f t="shared" si="63"/>
        <v>1200757.1043869611</v>
      </c>
      <c r="I516" s="212">
        <f t="shared" si="58"/>
        <v>88564675.901989833</v>
      </c>
    </row>
    <row r="517" spans="1:9" outlineLevel="2" x14ac:dyDescent="0.25">
      <c r="A517">
        <v>38200</v>
      </c>
      <c r="B517">
        <v>2004</v>
      </c>
      <c r="C517" s="258">
        <v>19.5</v>
      </c>
      <c r="D517" s="212">
        <v>2184983.46</v>
      </c>
      <c r="E517">
        <v>45</v>
      </c>
      <c r="F517">
        <v>29.904506999999999</v>
      </c>
      <c r="G517" s="90">
        <f>'Proposed Rates'!$O$26/100</f>
        <v>-0.3</v>
      </c>
      <c r="H517" s="212">
        <f t="shared" si="63"/>
        <v>952853.85073798941</v>
      </c>
      <c r="I517" s="212">
        <f t="shared" si="58"/>
        <v>65340853.17445422</v>
      </c>
    </row>
    <row r="518" spans="1:9" outlineLevel="2" x14ac:dyDescent="0.25">
      <c r="A518">
        <v>38200</v>
      </c>
      <c r="B518">
        <v>2003</v>
      </c>
      <c r="C518" s="258">
        <v>20.5</v>
      </c>
      <c r="D518" s="212">
        <v>2356242.9300000002</v>
      </c>
      <c r="E518">
        <v>45</v>
      </c>
      <c r="F518">
        <v>29.189115999999999</v>
      </c>
      <c r="G518" s="90">
        <f>'Proposed Rates'!$O$26/100</f>
        <v>-0.3</v>
      </c>
      <c r="H518" s="212">
        <f t="shared" si="63"/>
        <v>1076234.8607703371</v>
      </c>
      <c r="I518" s="212">
        <f t="shared" si="58"/>
        <v>68776648.207949877</v>
      </c>
    </row>
    <row r="519" spans="1:9" outlineLevel="2" x14ac:dyDescent="0.25">
      <c r="A519">
        <v>38200</v>
      </c>
      <c r="B519">
        <v>2002</v>
      </c>
      <c r="C519" s="258">
        <v>21.5</v>
      </c>
      <c r="D519" s="212">
        <v>1936021.23</v>
      </c>
      <c r="E519">
        <v>45</v>
      </c>
      <c r="F519">
        <v>28.480613000000002</v>
      </c>
      <c r="G519" s="90">
        <f>'Proposed Rates'!$O$26/100</f>
        <v>-0.3</v>
      </c>
      <c r="H519" s="212">
        <f t="shared" si="63"/>
        <v>923921.0915591513</v>
      </c>
      <c r="I519" s="212">
        <f t="shared" si="58"/>
        <v>55139071.41141399</v>
      </c>
    </row>
    <row r="520" spans="1:9" outlineLevel="2" x14ac:dyDescent="0.25">
      <c r="A520">
        <v>38200</v>
      </c>
      <c r="B520">
        <v>2001</v>
      </c>
      <c r="C520" s="258">
        <v>22.5</v>
      </c>
      <c r="D520" s="212">
        <v>860.3</v>
      </c>
      <c r="E520">
        <v>45</v>
      </c>
      <c r="F520">
        <v>27.779259</v>
      </c>
      <c r="G520" s="90">
        <f>'Proposed Rates'!$O$26/100</f>
        <v>-0.3</v>
      </c>
      <c r="H520" s="212">
        <f t="shared" si="63"/>
        <v>427.98898948866673</v>
      </c>
      <c r="I520" s="212">
        <f t="shared" si="58"/>
        <v>23898.496517699998</v>
      </c>
    </row>
    <row r="521" spans="1:9" outlineLevel="2" x14ac:dyDescent="0.25">
      <c r="A521">
        <v>38200</v>
      </c>
      <c r="B521">
        <v>2000</v>
      </c>
      <c r="C521" s="258">
        <v>23.5</v>
      </c>
      <c r="D521" s="212">
        <v>3555689.47</v>
      </c>
      <c r="E521">
        <v>45</v>
      </c>
      <c r="F521">
        <v>27.08587</v>
      </c>
      <c r="G521" s="90">
        <f>'Proposed Rates'!$O$26/100</f>
        <v>-0.3</v>
      </c>
      <c r="H521" s="212">
        <f t="shared" si="63"/>
        <v>1840137.9650394323</v>
      </c>
      <c r="I521" s="212">
        <f t="shared" si="58"/>
        <v>96308942.7447889</v>
      </c>
    </row>
    <row r="522" spans="1:9" outlineLevel="2" x14ac:dyDescent="0.25">
      <c r="A522">
        <v>38200</v>
      </c>
      <c r="B522">
        <v>1999</v>
      </c>
      <c r="C522" s="258">
        <v>24.5</v>
      </c>
      <c r="D522" s="212">
        <v>2960143.64</v>
      </c>
      <c r="E522">
        <v>45</v>
      </c>
      <c r="F522">
        <v>26.400198</v>
      </c>
      <c r="G522" s="90">
        <f>'Proposed Rates'!$O$26/100</f>
        <v>-0.3</v>
      </c>
      <c r="H522" s="212">
        <f t="shared" si="63"/>
        <v>1590566.9172050459</v>
      </c>
      <c r="I522" s="212">
        <f t="shared" si="58"/>
        <v>78148378.204440728</v>
      </c>
    </row>
    <row r="523" spans="1:9" outlineLevel="2" x14ac:dyDescent="0.25">
      <c r="A523">
        <v>38200</v>
      </c>
      <c r="B523">
        <v>1998</v>
      </c>
      <c r="C523" s="258">
        <v>25.5</v>
      </c>
      <c r="D523" s="212">
        <v>909280.63</v>
      </c>
      <c r="E523">
        <v>45</v>
      </c>
      <c r="F523">
        <v>25.722498999999999</v>
      </c>
      <c r="G523" s="90">
        <f>'Proposed Rates'!$O$26/100</f>
        <v>-0.3</v>
      </c>
      <c r="H523" s="212">
        <f t="shared" si="63"/>
        <v>506383.46067416266</v>
      </c>
      <c r="I523" s="212">
        <f t="shared" si="58"/>
        <v>23388970.09589437</v>
      </c>
    </row>
    <row r="524" spans="1:9" outlineLevel="2" x14ac:dyDescent="0.25">
      <c r="A524">
        <v>38200</v>
      </c>
      <c r="B524">
        <v>1997</v>
      </c>
      <c r="C524" s="258">
        <v>26.5</v>
      </c>
      <c r="D524" s="212">
        <v>706298.75</v>
      </c>
      <c r="E524">
        <v>45</v>
      </c>
      <c r="F524">
        <v>25.053028999999999</v>
      </c>
      <c r="G524" s="90">
        <f>'Proposed Rates'!$O$26/100</f>
        <v>-0.3</v>
      </c>
      <c r="H524" s="212">
        <f t="shared" si="63"/>
        <v>407001.70863693615</v>
      </c>
      <c r="I524" s="212">
        <f t="shared" si="58"/>
        <v>17694923.066413749</v>
      </c>
    </row>
    <row r="525" spans="1:9" outlineLevel="2" x14ac:dyDescent="0.25">
      <c r="A525">
        <v>38200</v>
      </c>
      <c r="B525">
        <v>1996</v>
      </c>
      <c r="C525" s="258">
        <v>27.5</v>
      </c>
      <c r="D525" s="212">
        <v>400813.82</v>
      </c>
      <c r="E525">
        <v>45</v>
      </c>
      <c r="F525">
        <v>24.392346</v>
      </c>
      <c r="G525" s="90">
        <f>'Proposed Rates'!$O$26/100</f>
        <v>-0.3</v>
      </c>
      <c r="H525" s="212">
        <f t="shared" si="63"/>
        <v>238617.38393937255</v>
      </c>
      <c r="I525" s="212">
        <f t="shared" si="58"/>
        <v>9776789.379021721</v>
      </c>
    </row>
    <row r="526" spans="1:9" outlineLevel="2" x14ac:dyDescent="0.25">
      <c r="A526">
        <v>38200</v>
      </c>
      <c r="B526">
        <v>1995</v>
      </c>
      <c r="C526" s="258">
        <v>28.5</v>
      </c>
      <c r="D526" s="212">
        <v>759707.64</v>
      </c>
      <c r="E526">
        <v>45</v>
      </c>
      <c r="F526">
        <v>23.740722000000002</v>
      </c>
      <c r="G526" s="90">
        <f>'Proposed Rates'!$O$26/100</f>
        <v>-0.3</v>
      </c>
      <c r="H526" s="212">
        <f t="shared" si="63"/>
        <v>466579.70428286883</v>
      </c>
      <c r="I526" s="212">
        <f t="shared" si="58"/>
        <v>18036007.882516082</v>
      </c>
    </row>
    <row r="527" spans="1:9" outlineLevel="2" x14ac:dyDescent="0.25">
      <c r="A527">
        <v>38200</v>
      </c>
      <c r="B527">
        <v>1994</v>
      </c>
      <c r="C527" s="258">
        <v>29.5</v>
      </c>
      <c r="D527" s="212">
        <v>890223.38</v>
      </c>
      <c r="E527">
        <v>45</v>
      </c>
      <c r="F527">
        <v>23.098110999999999</v>
      </c>
      <c r="G527" s="90">
        <f>'Proposed Rates'!$O$26/100</f>
        <v>-0.3</v>
      </c>
      <c r="H527" s="212">
        <f t="shared" si="63"/>
        <v>563263.23889231705</v>
      </c>
      <c r="I527" s="212">
        <f t="shared" si="58"/>
        <v>20562478.44603518</v>
      </c>
    </row>
    <row r="528" spans="1:9" outlineLevel="2" x14ac:dyDescent="0.25">
      <c r="A528">
        <v>38200</v>
      </c>
      <c r="B528">
        <v>1993</v>
      </c>
      <c r="C528" s="258">
        <v>30.5</v>
      </c>
      <c r="D528" s="212">
        <v>548952.93000000005</v>
      </c>
      <c r="E528">
        <v>45</v>
      </c>
      <c r="F528">
        <v>22.464752000000001</v>
      </c>
      <c r="G528" s="90">
        <f>'Proposed Rates'!$O$26/100</f>
        <v>-0.3</v>
      </c>
      <c r="H528" s="212">
        <f t="shared" si="63"/>
        <v>357378.38984976965</v>
      </c>
      <c r="I528" s="212">
        <f t="shared" ref="I528:I578" si="64">+D528*F528</f>
        <v>12332091.432123361</v>
      </c>
    </row>
    <row r="529" spans="1:10" outlineLevel="2" x14ac:dyDescent="0.25">
      <c r="A529">
        <v>38200</v>
      </c>
      <c r="B529">
        <v>1992</v>
      </c>
      <c r="C529" s="258">
        <v>31.5</v>
      </c>
      <c r="D529" s="212">
        <v>422953.73</v>
      </c>
      <c r="E529">
        <v>45</v>
      </c>
      <c r="F529">
        <v>21.840875</v>
      </c>
      <c r="G529" s="90">
        <f>'Proposed Rates'!$O$26/100</f>
        <v>-0.3</v>
      </c>
      <c r="H529" s="212">
        <f t="shared" si="63"/>
        <v>282973.55095493613</v>
      </c>
      <c r="I529" s="212">
        <f t="shared" si="64"/>
        <v>9237679.5477137491</v>
      </c>
    </row>
    <row r="530" spans="1:10" outlineLevel="2" x14ac:dyDescent="0.25">
      <c r="A530">
        <v>38200</v>
      </c>
      <c r="B530">
        <v>1991</v>
      </c>
      <c r="C530" s="258">
        <v>32.5</v>
      </c>
      <c r="D530" s="212">
        <v>356198.1</v>
      </c>
      <c r="E530">
        <v>45</v>
      </c>
      <c r="F530">
        <v>21.227350999999999</v>
      </c>
      <c r="G530" s="90">
        <f>'Proposed Rates'!$O$26/100</f>
        <v>-0.3</v>
      </c>
      <c r="H530" s="212">
        <f t="shared" si="63"/>
        <v>244624.53616659934</v>
      </c>
      <c r="I530" s="212">
        <f t="shared" si="64"/>
        <v>7561142.0942330994</v>
      </c>
    </row>
    <row r="531" spans="1:10" outlineLevel="2" x14ac:dyDescent="0.25">
      <c r="A531">
        <v>38200</v>
      </c>
      <c r="B531">
        <v>1990</v>
      </c>
      <c r="C531" s="258">
        <v>33.5</v>
      </c>
      <c r="D531" s="212">
        <v>401454.8</v>
      </c>
      <c r="E531">
        <v>45</v>
      </c>
      <c r="F531">
        <v>20.623787</v>
      </c>
      <c r="G531" s="90">
        <f>'Proposed Rates'!$O$26/100</f>
        <v>-0.3</v>
      </c>
      <c r="H531" s="212">
        <f t="shared" si="63"/>
        <v>282705.15620164713</v>
      </c>
      <c r="I531" s="212">
        <f t="shared" si="64"/>
        <v>8279518.2853275994</v>
      </c>
    </row>
    <row r="532" spans="1:10" outlineLevel="2" x14ac:dyDescent="0.25">
      <c r="A532">
        <v>38200</v>
      </c>
      <c r="B532">
        <v>1989</v>
      </c>
      <c r="C532" s="258">
        <v>34.5</v>
      </c>
      <c r="D532" s="212">
        <v>310063.90000000002</v>
      </c>
      <c r="E532">
        <v>45</v>
      </c>
      <c r="F532">
        <v>20.030390000000001</v>
      </c>
      <c r="G532" s="90">
        <f>'Proposed Rates'!$O$26/100</f>
        <v>-0.3</v>
      </c>
      <c r="H532" s="212">
        <f t="shared" si="63"/>
        <v>223662.82345561558</v>
      </c>
      <c r="I532" s="212">
        <f t="shared" si="64"/>
        <v>6210700.8419210007</v>
      </c>
    </row>
    <row r="533" spans="1:10" outlineLevel="2" x14ac:dyDescent="0.25">
      <c r="A533">
        <v>38200</v>
      </c>
      <c r="B533">
        <v>1988</v>
      </c>
      <c r="C533" s="258">
        <v>35.5</v>
      </c>
      <c r="D533" s="212">
        <v>284334.36</v>
      </c>
      <c r="E533">
        <v>45</v>
      </c>
      <c r="F533">
        <v>19.44736</v>
      </c>
      <c r="G533" s="90">
        <f>'Proposed Rates'!$O$26/100</f>
        <v>-0.3</v>
      </c>
      <c r="H533" s="212">
        <f t="shared" si="63"/>
        <v>209892.03562052266</v>
      </c>
      <c r="I533" s="212">
        <f t="shared" si="64"/>
        <v>5529552.6592895994</v>
      </c>
    </row>
    <row r="534" spans="1:10" outlineLevel="2" x14ac:dyDescent="0.25">
      <c r="A534">
        <v>38200</v>
      </c>
      <c r="B534">
        <v>1987</v>
      </c>
      <c r="C534" s="258">
        <v>36.5</v>
      </c>
      <c r="D534" s="212">
        <v>277394.90999999997</v>
      </c>
      <c r="E534">
        <v>45</v>
      </c>
      <c r="F534">
        <v>18.875212999999999</v>
      </c>
      <c r="G534" s="90">
        <f>'Proposed Rates'!$O$26/100</f>
        <v>-0.3</v>
      </c>
      <c r="H534" s="212">
        <f t="shared" si="63"/>
        <v>209354.39600498712</v>
      </c>
      <c r="I534" s="212">
        <f t="shared" si="64"/>
        <v>5235888.011365829</v>
      </c>
    </row>
    <row r="535" spans="1:10" outlineLevel="2" x14ac:dyDescent="0.25">
      <c r="A535">
        <v>38200</v>
      </c>
      <c r="B535">
        <v>1986</v>
      </c>
      <c r="C535" s="258">
        <v>37.5</v>
      </c>
      <c r="D535" s="212">
        <v>250344.31</v>
      </c>
      <c r="E535">
        <v>45</v>
      </c>
      <c r="F535">
        <v>18.314135</v>
      </c>
      <c r="G535" s="90">
        <f>'Proposed Rates'!$O$26/100</f>
        <v>-0.3</v>
      </c>
      <c r="H535" s="212">
        <f t="shared" si="63"/>
        <v>192996.68440514652</v>
      </c>
      <c r="I535" s="212">
        <f t="shared" si="64"/>
        <v>4584839.4898218503</v>
      </c>
    </row>
    <row r="536" spans="1:10" outlineLevel="2" x14ac:dyDescent="0.25">
      <c r="A536">
        <v>38200</v>
      </c>
      <c r="B536">
        <v>1985</v>
      </c>
      <c r="C536" s="258">
        <v>38.5</v>
      </c>
      <c r="D536" s="212">
        <v>466387.68</v>
      </c>
      <c r="E536">
        <v>45</v>
      </c>
      <c r="F536">
        <v>17.763984000000001</v>
      </c>
      <c r="G536" s="90">
        <f>'Proposed Rates'!$O$26/100</f>
        <v>-0.3</v>
      </c>
      <c r="H536" s="212">
        <f t="shared" si="63"/>
        <v>366962.33353528316</v>
      </c>
      <c r="I536" s="212">
        <f t="shared" si="64"/>
        <v>8284903.2853171201</v>
      </c>
    </row>
    <row r="537" spans="1:10" outlineLevel="2" x14ac:dyDescent="0.25">
      <c r="A537">
        <v>38200</v>
      </c>
      <c r="B537">
        <v>1984</v>
      </c>
      <c r="C537" s="258">
        <v>39.5</v>
      </c>
      <c r="D537" s="212">
        <v>332099.58</v>
      </c>
      <c r="E537">
        <v>45</v>
      </c>
      <c r="F537">
        <v>17.224910999999999</v>
      </c>
      <c r="G537" s="90">
        <f>'Proposed Rates'!$O$26/100</f>
        <v>-0.3</v>
      </c>
      <c r="H537" s="212">
        <f t="shared" ref="H537:H541" si="65">+D537*(1-F537/E537)*(1-G537)</f>
        <v>266473.86686158681</v>
      </c>
      <c r="I537" s="212">
        <f t="shared" ref="I537:I541" si="66">+D537*F537</f>
        <v>5720385.70863738</v>
      </c>
    </row>
    <row r="538" spans="1:10" outlineLevel="2" x14ac:dyDescent="0.25">
      <c r="A538">
        <v>38200</v>
      </c>
      <c r="B538">
        <v>1983</v>
      </c>
      <c r="C538" s="258">
        <v>40.5</v>
      </c>
      <c r="D538" s="212">
        <v>403951.26</v>
      </c>
      <c r="E538">
        <v>45</v>
      </c>
      <c r="F538">
        <v>16.697056</v>
      </c>
      <c r="G538" s="90">
        <f>'Proposed Rates'!$O$26/100</f>
        <v>-0.3</v>
      </c>
      <c r="H538" s="212">
        <f t="shared" si="65"/>
        <v>330286.95239249495</v>
      </c>
      <c r="I538" s="212">
        <f t="shared" si="66"/>
        <v>6744796.8094905606</v>
      </c>
    </row>
    <row r="539" spans="1:10" outlineLevel="2" x14ac:dyDescent="0.25">
      <c r="A539">
        <v>38200</v>
      </c>
      <c r="B539">
        <v>1982</v>
      </c>
      <c r="C539" s="258">
        <v>41.5</v>
      </c>
      <c r="D539" s="212">
        <v>317266.28999999998</v>
      </c>
      <c r="E539">
        <v>45</v>
      </c>
      <c r="F539">
        <v>16.18111</v>
      </c>
      <c r="G539" s="90">
        <f>'Proposed Rates'!$O$26/100</f>
        <v>-0.3</v>
      </c>
      <c r="H539" s="212">
        <f t="shared" si="65"/>
        <v>264138.68901963398</v>
      </c>
      <c r="I539" s="212">
        <f t="shared" si="66"/>
        <v>5133720.7377819</v>
      </c>
    </row>
    <row r="540" spans="1:10" outlineLevel="2" x14ac:dyDescent="0.25">
      <c r="A540">
        <v>38200</v>
      </c>
      <c r="B540">
        <v>1981</v>
      </c>
      <c r="C540" s="258">
        <v>42.5</v>
      </c>
      <c r="D540" s="212">
        <v>349363.34</v>
      </c>
      <c r="E540">
        <v>45</v>
      </c>
      <c r="F540">
        <v>15.676591</v>
      </c>
      <c r="G540" s="90">
        <f>'Proposed Rates'!$O$26/100</f>
        <v>-0.3</v>
      </c>
      <c r="H540" s="212">
        <f t="shared" si="65"/>
        <v>295952.91868786397</v>
      </c>
      <c r="I540" s="212">
        <f t="shared" si="66"/>
        <v>5476826.1915739402</v>
      </c>
    </row>
    <row r="541" spans="1:10" outlineLevel="2" x14ac:dyDescent="0.25">
      <c r="A541">
        <v>38200</v>
      </c>
      <c r="B541">
        <v>1980</v>
      </c>
      <c r="C541" s="258">
        <v>43.5</v>
      </c>
      <c r="D541" s="212">
        <v>589644.05000000005</v>
      </c>
      <c r="E541">
        <v>45</v>
      </c>
      <c r="F541">
        <v>15.183579</v>
      </c>
      <c r="G541" s="90">
        <f>'Proposed Rates'!$O$26/100</f>
        <v>-0.3</v>
      </c>
      <c r="H541" s="212">
        <f t="shared" si="65"/>
        <v>507897.7290095237</v>
      </c>
      <c r="I541" s="212">
        <f t="shared" si="66"/>
        <v>8952907.0150549505</v>
      </c>
    </row>
    <row r="542" spans="1:10" outlineLevel="2" x14ac:dyDescent="0.25">
      <c r="A542">
        <v>38200</v>
      </c>
      <c r="B542">
        <v>1979</v>
      </c>
      <c r="C542" s="258">
        <v>44.5</v>
      </c>
      <c r="D542" s="212">
        <v>261103.99</v>
      </c>
      <c r="E542">
        <v>45</v>
      </c>
      <c r="F542">
        <v>14.702126</v>
      </c>
      <c r="G542" s="90">
        <f>'Proposed Rates'!$O$26/100</f>
        <v>-0.3</v>
      </c>
      <c r="H542" s="212">
        <f t="shared" si="63"/>
        <v>228536.98948649867</v>
      </c>
      <c r="I542" s="212">
        <f t="shared" si="64"/>
        <v>3838783.7600827399</v>
      </c>
    </row>
    <row r="543" spans="1:10" outlineLevel="2" x14ac:dyDescent="0.25">
      <c r="A543">
        <v>38200</v>
      </c>
      <c r="B543">
        <v>1978</v>
      </c>
      <c r="C543" s="258">
        <v>45.5</v>
      </c>
      <c r="D543" s="212">
        <v>115134.54</v>
      </c>
      <c r="E543">
        <v>45</v>
      </c>
      <c r="F543">
        <v>14.232474</v>
      </c>
      <c r="G543" s="90">
        <f>'Proposed Rates'!$O$26/100</f>
        <v>-0.3</v>
      </c>
      <c r="H543" s="212">
        <f t="shared" si="63"/>
        <v>102336.1430851656</v>
      </c>
      <c r="I543" s="212">
        <f t="shared" si="64"/>
        <v>1638649.34705196</v>
      </c>
    </row>
    <row r="544" spans="1:10" ht="13" outlineLevel="1" x14ac:dyDescent="0.3">
      <c r="A544" s="18" t="s">
        <v>1188</v>
      </c>
      <c r="C544" s="258"/>
      <c r="D544" s="212">
        <f>SUBTOTAL(9,D498:D543)</f>
        <v>105820491.27000003</v>
      </c>
      <c r="H544" s="212">
        <f>SUBTOTAL(9,H498:H543)</f>
        <v>24611717.327099681</v>
      </c>
      <c r="I544" s="212">
        <f>SUBTOTAL(9,I498:I543)</f>
        <v>3909978045.8273201</v>
      </c>
      <c r="J544" s="212">
        <f>+I544/D544</f>
        <v>36.949157945704926</v>
      </c>
    </row>
    <row r="545" spans="1:9" outlineLevel="2" x14ac:dyDescent="0.25">
      <c r="A545">
        <v>38300</v>
      </c>
      <c r="B545">
        <v>2023</v>
      </c>
      <c r="C545" s="258">
        <v>0.5</v>
      </c>
      <c r="D545" s="212">
        <v>914170.27</v>
      </c>
      <c r="E545">
        <v>42</v>
      </c>
      <c r="F545">
        <v>41.500110999999997</v>
      </c>
      <c r="G545" s="90">
        <f>'Proposed Rates'!$O$27/100</f>
        <v>0</v>
      </c>
      <c r="H545" s="212">
        <f t="shared" si="63"/>
        <v>10880.563383334165</v>
      </c>
      <c r="I545" s="212">
        <f t="shared" si="64"/>
        <v>37938167.677899972</v>
      </c>
    </row>
    <row r="546" spans="1:9" outlineLevel="2" x14ac:dyDescent="0.25">
      <c r="A546">
        <v>38300</v>
      </c>
      <c r="B546">
        <v>2022</v>
      </c>
      <c r="C546" s="258">
        <v>1.5</v>
      </c>
      <c r="D546" s="212">
        <v>1638332.48</v>
      </c>
      <c r="E546">
        <v>42</v>
      </c>
      <c r="F546">
        <v>40.501942</v>
      </c>
      <c r="G546" s="90">
        <f>'Proposed Rates'!$O$27/100</f>
        <v>0</v>
      </c>
      <c r="H546" s="212">
        <f t="shared" si="63"/>
        <v>58436.12091247239</v>
      </c>
      <c r="I546" s="212">
        <f t="shared" si="64"/>
        <v>66355647.081676155</v>
      </c>
    </row>
    <row r="547" spans="1:9" outlineLevel="2" x14ac:dyDescent="0.25">
      <c r="A547">
        <v>38300</v>
      </c>
      <c r="B547">
        <v>2021</v>
      </c>
      <c r="C547" s="258">
        <v>2.5</v>
      </c>
      <c r="D547" s="212">
        <v>868691.52</v>
      </c>
      <c r="E547">
        <v>42</v>
      </c>
      <c r="F547">
        <v>39.507669999999997</v>
      </c>
      <c r="G547" s="90">
        <f>'Proposed Rates'!$O$27/100</f>
        <v>0</v>
      </c>
      <c r="H547" s="212">
        <f t="shared" si="63"/>
        <v>51549.188953371515</v>
      </c>
      <c r="I547" s="212">
        <f t="shared" si="64"/>
        <v>34319977.903958395</v>
      </c>
    </row>
    <row r="548" spans="1:9" outlineLevel="2" x14ac:dyDescent="0.25">
      <c r="A548">
        <v>38300</v>
      </c>
      <c r="B548">
        <v>2020</v>
      </c>
      <c r="C548" s="258">
        <v>3.5</v>
      </c>
      <c r="D548" s="212">
        <v>515586.03</v>
      </c>
      <c r="E548">
        <v>42</v>
      </c>
      <c r="F548">
        <v>38.519497000000001</v>
      </c>
      <c r="G548" s="90">
        <f>'Proposed Rates'!$O$27/100</f>
        <v>0</v>
      </c>
      <c r="H548" s="212">
        <f t="shared" si="63"/>
        <v>42726.160099359295</v>
      </c>
      <c r="I548" s="212">
        <f t="shared" si="64"/>
        <v>19860114.53582691</v>
      </c>
    </row>
    <row r="549" spans="1:9" outlineLevel="2" x14ac:dyDescent="0.25">
      <c r="A549">
        <v>38300</v>
      </c>
      <c r="B549">
        <v>2019</v>
      </c>
      <c r="C549" s="258">
        <v>4.5</v>
      </c>
      <c r="D549" s="212">
        <v>779945.35</v>
      </c>
      <c r="E549">
        <v>42</v>
      </c>
      <c r="F549">
        <v>37.538713999999999</v>
      </c>
      <c r="G549" s="90">
        <f>'Proposed Rates'!$O$27/100</f>
        <v>0</v>
      </c>
      <c r="H549" s="212">
        <f t="shared" si="63"/>
        <v>82846.649302859572</v>
      </c>
      <c r="I549" s="212">
        <f t="shared" si="64"/>
        <v>29278145.429279897</v>
      </c>
    </row>
    <row r="550" spans="1:9" outlineLevel="2" x14ac:dyDescent="0.25">
      <c r="A550">
        <v>38300</v>
      </c>
      <c r="B550">
        <v>2018</v>
      </c>
      <c r="C550" s="258">
        <v>5.5</v>
      </c>
      <c r="D550" s="212">
        <v>575744.87</v>
      </c>
      <c r="E550">
        <v>42</v>
      </c>
      <c r="F550">
        <v>36.566780000000001</v>
      </c>
      <c r="G550" s="90">
        <f>'Proposed Rates'!$O$27/100</f>
        <v>0</v>
      </c>
      <c r="H550" s="212">
        <f t="shared" ref="H550:H554" si="67">+D550*(1-F550/E550)*(1-G550)</f>
        <v>74479.727204319046</v>
      </c>
      <c r="I550" s="212">
        <f t="shared" ref="I550:I554" si="68">+D550*F550</f>
        <v>21053135.997418601</v>
      </c>
    </row>
    <row r="551" spans="1:9" outlineLevel="2" x14ac:dyDescent="0.25">
      <c r="A551">
        <v>38300</v>
      </c>
      <c r="B551">
        <v>2017</v>
      </c>
      <c r="C551" s="258">
        <v>6.5</v>
      </c>
      <c r="D551" s="212">
        <v>698193.88</v>
      </c>
      <c r="E551">
        <v>42</v>
      </c>
      <c r="F551">
        <v>35.605392999999999</v>
      </c>
      <c r="G551" s="90">
        <f>'Proposed Rates'!$O$27/100</f>
        <v>0</v>
      </c>
      <c r="H551" s="212">
        <f t="shared" si="67"/>
        <v>106301.79696202761</v>
      </c>
      <c r="I551" s="212">
        <f t="shared" si="68"/>
        <v>24859467.487594839</v>
      </c>
    </row>
    <row r="552" spans="1:9" outlineLevel="2" x14ac:dyDescent="0.25">
      <c r="A552">
        <v>38300</v>
      </c>
      <c r="B552">
        <v>2016</v>
      </c>
      <c r="C552" s="258">
        <v>7.5</v>
      </c>
      <c r="D552" s="212">
        <v>651105.68000000005</v>
      </c>
      <c r="E552">
        <v>42</v>
      </c>
      <c r="F552">
        <v>34.655172</v>
      </c>
      <c r="G552" s="90">
        <f>'Proposed Rates'!$O$27/100</f>
        <v>0</v>
      </c>
      <c r="H552" s="212">
        <f t="shared" si="67"/>
        <v>113863.31498626288</v>
      </c>
      <c r="I552" s="212">
        <f t="shared" si="68"/>
        <v>22564179.330576964</v>
      </c>
    </row>
    <row r="553" spans="1:9" outlineLevel="2" x14ac:dyDescent="0.25">
      <c r="A553">
        <v>38300</v>
      </c>
      <c r="B553">
        <v>2015</v>
      </c>
      <c r="C553" s="258">
        <v>8.5</v>
      </c>
      <c r="D553" s="212">
        <v>492213.31</v>
      </c>
      <c r="E553">
        <v>42</v>
      </c>
      <c r="F553">
        <v>33.717793</v>
      </c>
      <c r="G553" s="90">
        <f>'Proposed Rates'!$O$27/100</f>
        <v>0</v>
      </c>
      <c r="H553" s="212">
        <f t="shared" si="67"/>
        <v>97062.202894646907</v>
      </c>
      <c r="I553" s="212">
        <f t="shared" si="68"/>
        <v>16596346.49842483</v>
      </c>
    </row>
    <row r="554" spans="1:9" outlineLevel="2" x14ac:dyDescent="0.25">
      <c r="A554">
        <v>38300</v>
      </c>
      <c r="B554">
        <v>2014</v>
      </c>
      <c r="C554" s="258">
        <v>9.5</v>
      </c>
      <c r="D554" s="212">
        <v>673543.25</v>
      </c>
      <c r="E554">
        <v>42</v>
      </c>
      <c r="F554">
        <v>32.794074000000002</v>
      </c>
      <c r="G554" s="90">
        <f>'Proposed Rates'!$O$27/100</f>
        <v>0</v>
      </c>
      <c r="H554" s="212">
        <f t="shared" si="67"/>
        <v>147633.07898332144</v>
      </c>
      <c r="I554" s="212">
        <f t="shared" si="68"/>
        <v>22088227.1827005</v>
      </c>
    </row>
    <row r="555" spans="1:9" outlineLevel="2" x14ac:dyDescent="0.25">
      <c r="A555">
        <v>38300</v>
      </c>
      <c r="B555">
        <v>2013</v>
      </c>
      <c r="C555" s="258">
        <v>10.5</v>
      </c>
      <c r="D555" s="212">
        <v>624879.43999999994</v>
      </c>
      <c r="E555">
        <v>42</v>
      </c>
      <c r="F555">
        <v>31.88448</v>
      </c>
      <c r="G555" s="90">
        <f>'Proposed Rates'!$O$27/100</f>
        <v>0</v>
      </c>
      <c r="H555" s="212">
        <f t="shared" si="63"/>
        <v>150499.53506925717</v>
      </c>
      <c r="I555" s="212">
        <f t="shared" si="64"/>
        <v>19923956.007091198</v>
      </c>
    </row>
    <row r="556" spans="1:9" outlineLevel="2" x14ac:dyDescent="0.25">
      <c r="A556">
        <v>38300</v>
      </c>
      <c r="B556">
        <v>2012</v>
      </c>
      <c r="C556" s="258">
        <v>11.5</v>
      </c>
      <c r="D556" s="212">
        <v>647202.85</v>
      </c>
      <c r="E556">
        <v>42</v>
      </c>
      <c r="F556">
        <v>30.991188000000001</v>
      </c>
      <c r="G556" s="90">
        <f>'Proposed Rates'!$O$27/100</f>
        <v>0</v>
      </c>
      <c r="H556" s="212">
        <f t="shared" ref="H556:H559" si="69">+D556*(1-F556/E556)*(1-G556)</f>
        <v>169641.29765509997</v>
      </c>
      <c r="I556" s="212">
        <f t="shared" ref="I556:I559" si="70">+D556*F556</f>
        <v>20057585.198485799</v>
      </c>
    </row>
    <row r="557" spans="1:9" outlineLevel="2" x14ac:dyDescent="0.25">
      <c r="A557">
        <v>38300</v>
      </c>
      <c r="B557">
        <v>2011</v>
      </c>
      <c r="C557" s="258">
        <v>12.5</v>
      </c>
      <c r="D557" s="212">
        <v>762531.28</v>
      </c>
      <c r="E557">
        <v>42</v>
      </c>
      <c r="F557">
        <v>30.113633</v>
      </c>
      <c r="G557" s="90">
        <f>'Proposed Rates'!$O$27/100</f>
        <v>0</v>
      </c>
      <c r="H557" s="212">
        <f t="shared" si="69"/>
        <v>215803.01531094665</v>
      </c>
      <c r="I557" s="212">
        <f t="shared" si="70"/>
        <v>22962587.116940241</v>
      </c>
    </row>
    <row r="558" spans="1:9" outlineLevel="2" x14ac:dyDescent="0.25">
      <c r="A558">
        <v>38300</v>
      </c>
      <c r="B558">
        <v>2010</v>
      </c>
      <c r="C558" s="258">
        <v>13.5</v>
      </c>
      <c r="D558" s="212">
        <v>576915.56999999995</v>
      </c>
      <c r="E558">
        <v>42</v>
      </c>
      <c r="F558">
        <v>29.252980999999998</v>
      </c>
      <c r="G558" s="90">
        <f>'Proposed Rates'!$O$27/100</f>
        <v>0</v>
      </c>
      <c r="H558" s="212">
        <f t="shared" si="69"/>
        <v>175094.13648061504</v>
      </c>
      <c r="I558" s="212">
        <f t="shared" si="70"/>
        <v>16876500.207814168</v>
      </c>
    </row>
    <row r="559" spans="1:9" outlineLevel="2" x14ac:dyDescent="0.25">
      <c r="A559">
        <v>38300</v>
      </c>
      <c r="B559">
        <v>2009</v>
      </c>
      <c r="C559" s="258">
        <v>14.5</v>
      </c>
      <c r="D559" s="212">
        <v>657038.13</v>
      </c>
      <c r="E559">
        <v>42</v>
      </c>
      <c r="F559">
        <v>28.410177000000001</v>
      </c>
      <c r="G559" s="90">
        <f>'Proposed Rates'!$O$27/100</f>
        <v>0</v>
      </c>
      <c r="H559" s="212">
        <f t="shared" si="69"/>
        <v>212595.99740359496</v>
      </c>
      <c r="I559" s="212">
        <f t="shared" si="70"/>
        <v>18666569.569049012</v>
      </c>
    </row>
    <row r="560" spans="1:9" outlineLevel="2" x14ac:dyDescent="0.25">
      <c r="A560">
        <v>38300</v>
      </c>
      <c r="B560">
        <v>2008</v>
      </c>
      <c r="C560" s="258">
        <v>15.5</v>
      </c>
      <c r="D560" s="212">
        <v>529731.42000000004</v>
      </c>
      <c r="E560">
        <v>42</v>
      </c>
      <c r="F560">
        <v>27.584781</v>
      </c>
      <c r="G560" s="90">
        <f>'Proposed Rates'!$O$27/100</f>
        <v>0</v>
      </c>
      <c r="H560" s="212">
        <f t="shared" si="63"/>
        <v>181814.15310669001</v>
      </c>
      <c r="I560" s="212">
        <f t="shared" si="64"/>
        <v>14612525.209519021</v>
      </c>
    </row>
    <row r="561" spans="1:9" outlineLevel="2" x14ac:dyDescent="0.25">
      <c r="A561">
        <v>38300</v>
      </c>
      <c r="B561">
        <v>2007</v>
      </c>
      <c r="C561" s="258">
        <v>16.5</v>
      </c>
      <c r="D561" s="212">
        <v>508391.03</v>
      </c>
      <c r="E561">
        <v>42</v>
      </c>
      <c r="F561">
        <v>26.778296999999998</v>
      </c>
      <c r="G561" s="90">
        <f>'Proposed Rates'!$O$27/100</f>
        <v>0</v>
      </c>
      <c r="H561" s="212">
        <f t="shared" si="63"/>
        <v>184251.83967914505</v>
      </c>
      <c r="I561" s="212">
        <f t="shared" si="64"/>
        <v>13613845.99347591</v>
      </c>
    </row>
    <row r="562" spans="1:9" outlineLevel="2" x14ac:dyDescent="0.25">
      <c r="A562">
        <v>38300</v>
      </c>
      <c r="B562">
        <v>2006</v>
      </c>
      <c r="C562" s="258">
        <v>17.5</v>
      </c>
      <c r="D562" s="212">
        <v>465635.5</v>
      </c>
      <c r="E562">
        <v>42</v>
      </c>
      <c r="F562">
        <v>25.990255999999999</v>
      </c>
      <c r="G562" s="90">
        <f>'Proposed Rates'!$O$27/100</f>
        <v>0</v>
      </c>
      <c r="H562" s="212">
        <f t="shared" ref="H562:H614" si="71">+D562*(1-F562/E562)*(1-G562)</f>
        <v>177492.97981695237</v>
      </c>
      <c r="I562" s="212">
        <f t="shared" si="64"/>
        <v>12101985.847687999</v>
      </c>
    </row>
    <row r="563" spans="1:9" outlineLevel="2" x14ac:dyDescent="0.25">
      <c r="A563">
        <v>38300</v>
      </c>
      <c r="B563">
        <v>2005</v>
      </c>
      <c r="C563" s="258">
        <v>18.5</v>
      </c>
      <c r="D563" s="212">
        <v>382854.95</v>
      </c>
      <c r="E563">
        <v>42</v>
      </c>
      <c r="F563">
        <v>25.220632999999999</v>
      </c>
      <c r="G563" s="90">
        <f>'Proposed Rates'!$O$27/100</f>
        <v>0</v>
      </c>
      <c r="H563" s="212">
        <f t="shared" si="71"/>
        <v>152953.89794801548</v>
      </c>
      <c r="I563" s="212">
        <f t="shared" si="64"/>
        <v>9655844.1861833502</v>
      </c>
    </row>
    <row r="564" spans="1:9" outlineLevel="2" x14ac:dyDescent="0.25">
      <c r="A564">
        <v>38300</v>
      </c>
      <c r="B564">
        <v>2004</v>
      </c>
      <c r="C564" s="258">
        <v>19.5</v>
      </c>
      <c r="D564" s="212">
        <v>300837.45</v>
      </c>
      <c r="E564">
        <v>42</v>
      </c>
      <c r="F564">
        <v>24.470742999999999</v>
      </c>
      <c r="G564" s="90">
        <f>'Proposed Rates'!$O$27/100</f>
        <v>0</v>
      </c>
      <c r="H564" s="212">
        <f t="shared" si="71"/>
        <v>125558.49943511072</v>
      </c>
      <c r="I564" s="212">
        <f t="shared" si="64"/>
        <v>7361715.9237253498</v>
      </c>
    </row>
    <row r="565" spans="1:9" outlineLevel="2" x14ac:dyDescent="0.25">
      <c r="A565">
        <v>38300</v>
      </c>
      <c r="B565">
        <v>2003</v>
      </c>
      <c r="C565" s="258">
        <v>20.5</v>
      </c>
      <c r="D565" s="212">
        <v>207937.86</v>
      </c>
      <c r="E565">
        <v>42</v>
      </c>
      <c r="F565">
        <v>23.739208000000001</v>
      </c>
      <c r="G565" s="90">
        <f>'Proposed Rates'!$O$27/100</f>
        <v>0</v>
      </c>
      <c r="H565" s="212">
        <f t="shared" si="71"/>
        <v>90407.381199645708</v>
      </c>
      <c r="I565" s="212">
        <f t="shared" si="64"/>
        <v>4936280.1096148798</v>
      </c>
    </row>
    <row r="566" spans="1:9" outlineLevel="2" x14ac:dyDescent="0.25">
      <c r="A566">
        <v>38300</v>
      </c>
      <c r="B566">
        <v>2002</v>
      </c>
      <c r="C566" s="258">
        <v>21.5</v>
      </c>
      <c r="D566" s="212">
        <v>297269.75</v>
      </c>
      <c r="E566">
        <v>42</v>
      </c>
      <c r="F566">
        <v>23.026776999999999</v>
      </c>
      <c r="G566" s="90">
        <f>'Proposed Rates'!$O$27/100</f>
        <v>0</v>
      </c>
      <c r="H566" s="212">
        <f t="shared" si="71"/>
        <v>134289.64899772024</v>
      </c>
      <c r="I566" s="212">
        <f t="shared" si="64"/>
        <v>6845164.2420957498</v>
      </c>
    </row>
    <row r="567" spans="1:9" outlineLevel="2" x14ac:dyDescent="0.25">
      <c r="A567">
        <v>38300</v>
      </c>
      <c r="B567">
        <v>2001</v>
      </c>
      <c r="C567" s="258">
        <v>22.5</v>
      </c>
      <c r="D567" s="212">
        <v>38881.089999999997</v>
      </c>
      <c r="E567">
        <v>42</v>
      </c>
      <c r="F567">
        <v>22.333337</v>
      </c>
      <c r="G567" s="90">
        <f>'Proposed Rates'!$O$27/100</f>
        <v>0</v>
      </c>
      <c r="H567" s="212">
        <f t="shared" si="71"/>
        <v>18206.221288158809</v>
      </c>
      <c r="I567" s="212">
        <f t="shared" si="64"/>
        <v>868344.48589732999</v>
      </c>
    </row>
    <row r="568" spans="1:9" outlineLevel="2" x14ac:dyDescent="0.25">
      <c r="A568">
        <v>38300</v>
      </c>
      <c r="B568">
        <v>2000</v>
      </c>
      <c r="C568" s="258">
        <v>23.5</v>
      </c>
      <c r="D568" s="212">
        <v>1068379.6499999999</v>
      </c>
      <c r="E568">
        <v>42</v>
      </c>
      <c r="F568">
        <v>21.657897999999999</v>
      </c>
      <c r="G568" s="90">
        <f>'Proposed Rates'!$O$27/100</f>
        <v>0</v>
      </c>
      <c r="H568" s="212">
        <f t="shared" si="71"/>
        <v>517454.47178629279</v>
      </c>
      <c r="I568" s="212">
        <f t="shared" si="64"/>
        <v>23138857.484975696</v>
      </c>
    </row>
    <row r="569" spans="1:9" outlineLevel="2" x14ac:dyDescent="0.25">
      <c r="A569">
        <v>38300</v>
      </c>
      <c r="B569">
        <v>1999</v>
      </c>
      <c r="C569" s="258">
        <v>24.5</v>
      </c>
      <c r="D569" s="212">
        <v>565894.18000000005</v>
      </c>
      <c r="E569">
        <v>42</v>
      </c>
      <c r="F569">
        <v>21.001615999999999</v>
      </c>
      <c r="G569" s="90">
        <f>'Proposed Rates'!$O$27/100</f>
        <v>0</v>
      </c>
      <c r="H569" s="212">
        <f t="shared" si="71"/>
        <v>282925.31654774101</v>
      </c>
      <c r="I569" s="212">
        <f t="shared" si="64"/>
        <v>11884692.26499488</v>
      </c>
    </row>
    <row r="570" spans="1:9" outlineLevel="2" x14ac:dyDescent="0.25">
      <c r="A570">
        <v>38300</v>
      </c>
      <c r="B570">
        <v>1998</v>
      </c>
      <c r="C570" s="258">
        <v>25.5</v>
      </c>
      <c r="D570" s="212">
        <v>478111.94</v>
      </c>
      <c r="E570">
        <v>42</v>
      </c>
      <c r="F570">
        <v>20.363028</v>
      </c>
      <c r="G570" s="90">
        <f>'Proposed Rates'!$O$27/100</f>
        <v>0</v>
      </c>
      <c r="H570" s="212">
        <f t="shared" si="71"/>
        <v>246307.01568204002</v>
      </c>
      <c r="I570" s="212">
        <f t="shared" si="64"/>
        <v>9735806.8213543203</v>
      </c>
    </row>
    <row r="571" spans="1:9" outlineLevel="2" x14ac:dyDescent="0.25">
      <c r="A571">
        <v>38300</v>
      </c>
      <c r="B571">
        <v>1997</v>
      </c>
      <c r="C571" s="258">
        <v>26.5</v>
      </c>
      <c r="D571" s="212">
        <v>606083.75</v>
      </c>
      <c r="E571">
        <v>42</v>
      </c>
      <c r="F571">
        <v>19.742003</v>
      </c>
      <c r="G571" s="90">
        <f>'Proposed Rates'!$O$27/100</f>
        <v>0</v>
      </c>
      <c r="H571" s="212">
        <f t="shared" si="71"/>
        <v>321195.48307735112</v>
      </c>
      <c r="I571" s="212">
        <f t="shared" si="64"/>
        <v>11965307.21075125</v>
      </c>
    </row>
    <row r="572" spans="1:9" outlineLevel="2" x14ac:dyDescent="0.25">
      <c r="A572">
        <v>38300</v>
      </c>
      <c r="B572">
        <v>1996</v>
      </c>
      <c r="C572" s="258">
        <v>27.5</v>
      </c>
      <c r="D572" s="212">
        <v>374216.61</v>
      </c>
      <c r="E572">
        <v>42</v>
      </c>
      <c r="F572">
        <v>19.138914</v>
      </c>
      <c r="G572" s="90">
        <f>'Proposed Rates'!$O$27/100</f>
        <v>0</v>
      </c>
      <c r="H572" s="212">
        <f t="shared" si="71"/>
        <v>203690.43104377287</v>
      </c>
      <c r="I572" s="212">
        <f t="shared" si="64"/>
        <v>7162099.5161615396</v>
      </c>
    </row>
    <row r="573" spans="1:9" outlineLevel="2" x14ac:dyDescent="0.25">
      <c r="A573">
        <v>38300</v>
      </c>
      <c r="B573">
        <v>1995</v>
      </c>
      <c r="C573" s="258">
        <v>28.5</v>
      </c>
      <c r="D573" s="212">
        <v>338080.91</v>
      </c>
      <c r="E573">
        <v>42</v>
      </c>
      <c r="F573">
        <v>18.552284</v>
      </c>
      <c r="G573" s="90">
        <f>'Proposed Rates'!$O$27/100</f>
        <v>0</v>
      </c>
      <c r="H573" s="212">
        <f t="shared" si="71"/>
        <v>188743.45625479904</v>
      </c>
      <c r="I573" s="212">
        <f t="shared" si="64"/>
        <v>6272173.0572984396</v>
      </c>
    </row>
    <row r="574" spans="1:9" outlineLevel="2" x14ac:dyDescent="0.25">
      <c r="A574">
        <v>38300</v>
      </c>
      <c r="B574">
        <v>1994</v>
      </c>
      <c r="C574" s="258">
        <v>29.5</v>
      </c>
      <c r="D574" s="212">
        <v>365650.8</v>
      </c>
      <c r="E574">
        <v>42</v>
      </c>
      <c r="F574">
        <v>17.982558999999998</v>
      </c>
      <c r="G574" s="90">
        <f>'Proposed Rates'!$O$27/100</f>
        <v>0</v>
      </c>
      <c r="H574" s="212">
        <f t="shared" si="71"/>
        <v>209095.1551334</v>
      </c>
      <c r="I574" s="212">
        <f t="shared" si="64"/>
        <v>6575337.0843971996</v>
      </c>
    </row>
    <row r="575" spans="1:9" outlineLevel="2" x14ac:dyDescent="0.25">
      <c r="A575">
        <v>38300</v>
      </c>
      <c r="B575">
        <v>1993</v>
      </c>
      <c r="C575" s="258">
        <v>30.5</v>
      </c>
      <c r="D575" s="212">
        <v>392196.25</v>
      </c>
      <c r="E575">
        <v>42</v>
      </c>
      <c r="F575">
        <v>17.428961000000001</v>
      </c>
      <c r="G575" s="90">
        <f>'Proposed Rates'!$O$27/100</f>
        <v>0</v>
      </c>
      <c r="H575" s="212">
        <f t="shared" si="71"/>
        <v>229444.50843818451</v>
      </c>
      <c r="I575" s="212">
        <f t="shared" si="64"/>
        <v>6835573.14559625</v>
      </c>
    </row>
    <row r="576" spans="1:9" outlineLevel="2" x14ac:dyDescent="0.25">
      <c r="A576">
        <v>38300</v>
      </c>
      <c r="B576">
        <v>1992</v>
      </c>
      <c r="C576" s="258">
        <v>31.5</v>
      </c>
      <c r="D576" s="212">
        <v>249601.69</v>
      </c>
      <c r="E576">
        <v>42</v>
      </c>
      <c r="F576">
        <v>16.890585999999999</v>
      </c>
      <c r="G576" s="90">
        <f>'Proposed Rates'!$O$27/100</f>
        <v>0</v>
      </c>
      <c r="H576" s="212">
        <f t="shared" si="71"/>
        <v>149222.67069784907</v>
      </c>
      <c r="I576" s="212">
        <f t="shared" si="64"/>
        <v>4215918.8106903397</v>
      </c>
    </row>
    <row r="577" spans="1:9" outlineLevel="2" x14ac:dyDescent="0.25">
      <c r="A577">
        <v>38300</v>
      </c>
      <c r="B577">
        <v>1991</v>
      </c>
      <c r="C577" s="258">
        <v>32.5</v>
      </c>
      <c r="D577" s="212">
        <v>361257.71</v>
      </c>
      <c r="E577">
        <v>42</v>
      </c>
      <c r="F577">
        <v>16.368120999999999</v>
      </c>
      <c r="G577" s="90">
        <f>'Proposed Rates'!$O$27/100</f>
        <v>0</v>
      </c>
      <c r="H577" s="212">
        <f t="shared" si="71"/>
        <v>220469.37882231173</v>
      </c>
      <c r="I577" s="212">
        <f t="shared" si="64"/>
        <v>5913109.9094629101</v>
      </c>
    </row>
    <row r="578" spans="1:9" outlineLevel="2" x14ac:dyDescent="0.25">
      <c r="A578">
        <v>38300</v>
      </c>
      <c r="B578">
        <v>1990</v>
      </c>
      <c r="C578" s="258">
        <v>33.5</v>
      </c>
      <c r="D578" s="212">
        <v>263731.37</v>
      </c>
      <c r="E578">
        <v>42</v>
      </c>
      <c r="F578">
        <v>15.859978999999999</v>
      </c>
      <c r="G578" s="90">
        <f>'Proposed Rates'!$O$27/100</f>
        <v>0</v>
      </c>
      <c r="H578" s="212">
        <f t="shared" si="71"/>
        <v>164141.51309901831</v>
      </c>
      <c r="I578" s="212">
        <f t="shared" si="64"/>
        <v>4182773.9898412297</v>
      </c>
    </row>
    <row r="579" spans="1:9" outlineLevel="2" x14ac:dyDescent="0.25">
      <c r="A579">
        <v>38300</v>
      </c>
      <c r="B579">
        <v>1989</v>
      </c>
      <c r="C579" s="258">
        <v>34.5</v>
      </c>
      <c r="D579" s="212">
        <v>175379.78</v>
      </c>
      <c r="E579">
        <v>42</v>
      </c>
      <c r="F579">
        <v>15.366085999999999</v>
      </c>
      <c r="G579" s="90">
        <f>'Proposed Rates'!$O$27/100</f>
        <v>0</v>
      </c>
      <c r="H579" s="212">
        <f t="shared" si="71"/>
        <v>111215.4756633076</v>
      </c>
      <c r="I579" s="212">
        <f t="shared" ref="I579:I639" si="72">+D579*F579</f>
        <v>2694900.7821410797</v>
      </c>
    </row>
    <row r="580" spans="1:9" outlineLevel="2" x14ac:dyDescent="0.25">
      <c r="A580">
        <v>38300</v>
      </c>
      <c r="B580">
        <v>1988</v>
      </c>
      <c r="C580" s="258">
        <v>35.5</v>
      </c>
      <c r="D580" s="212">
        <v>197396.53</v>
      </c>
      <c r="E580">
        <v>42</v>
      </c>
      <c r="F580">
        <v>14.886170999999999</v>
      </c>
      <c r="G580" s="90">
        <f>'Proposed Rates'!$O$27/100</f>
        <v>0</v>
      </c>
      <c r="H580" s="212">
        <f t="shared" si="71"/>
        <v>127432.75618127071</v>
      </c>
      <c r="I580" s="212">
        <f t="shared" si="72"/>
        <v>2938478.5003866297</v>
      </c>
    </row>
    <row r="581" spans="1:9" outlineLevel="2" x14ac:dyDescent="0.25">
      <c r="A581">
        <v>38300</v>
      </c>
      <c r="B581">
        <v>1987</v>
      </c>
      <c r="C581" s="258">
        <v>36.5</v>
      </c>
      <c r="D581" s="212">
        <v>277179.63</v>
      </c>
      <c r="E581">
        <v>42</v>
      </c>
      <c r="F581">
        <v>14.419257999999999</v>
      </c>
      <c r="G581" s="90">
        <f>'Proposed Rates'!$O$27/100</f>
        <v>0</v>
      </c>
      <c r="H581" s="212">
        <f t="shared" si="71"/>
        <v>182019.52054013003</v>
      </c>
      <c r="I581" s="212">
        <f t="shared" si="72"/>
        <v>3996724.5973145398</v>
      </c>
    </row>
    <row r="582" spans="1:9" outlineLevel="2" x14ac:dyDescent="0.25">
      <c r="A582">
        <v>38300</v>
      </c>
      <c r="B582">
        <v>1986</v>
      </c>
      <c r="C582" s="258">
        <v>37.5</v>
      </c>
      <c r="D582" s="212">
        <v>264406.53000000003</v>
      </c>
      <c r="E582">
        <v>42</v>
      </c>
      <c r="F582">
        <v>13.965396</v>
      </c>
      <c r="G582" s="90">
        <f>'Proposed Rates'!$O$27/100</f>
        <v>0</v>
      </c>
      <c r="H582" s="212">
        <f t="shared" si="71"/>
        <v>176488.86579914574</v>
      </c>
      <c r="I582" s="212">
        <f t="shared" si="72"/>
        <v>3692541.8964358806</v>
      </c>
    </row>
    <row r="583" spans="1:9" outlineLevel="2" x14ac:dyDescent="0.25">
      <c r="A583">
        <v>38300</v>
      </c>
      <c r="B583">
        <v>1985</v>
      </c>
      <c r="C583" s="258">
        <v>38.5</v>
      </c>
      <c r="D583" s="212">
        <v>182310.15</v>
      </c>
      <c r="E583">
        <v>42</v>
      </c>
      <c r="F583">
        <v>13.52379</v>
      </c>
      <c r="G583" s="90">
        <f>'Proposed Rates'!$O$27/100</f>
        <v>0</v>
      </c>
      <c r="H583" s="212">
        <f t="shared" si="71"/>
        <v>123607.19325074999</v>
      </c>
      <c r="I583" s="212">
        <f t="shared" si="72"/>
        <v>2465524.1834684997</v>
      </c>
    </row>
    <row r="584" spans="1:9" outlineLevel="2" x14ac:dyDescent="0.25">
      <c r="A584">
        <v>38300</v>
      </c>
      <c r="B584">
        <v>1984</v>
      </c>
      <c r="C584" s="258">
        <v>39.5</v>
      </c>
      <c r="D584" s="212">
        <v>129589.29</v>
      </c>
      <c r="E584">
        <v>42</v>
      </c>
      <c r="F584">
        <v>13.093954</v>
      </c>
      <c r="G584" s="90">
        <f>'Proposed Rates'!$O$27/100</f>
        <v>0</v>
      </c>
      <c r="H584" s="212">
        <f t="shared" si="71"/>
        <v>89188.42804398427</v>
      </c>
      <c r="I584" s="212">
        <f t="shared" si="72"/>
        <v>1696836.2021526599</v>
      </c>
    </row>
    <row r="585" spans="1:9" outlineLevel="2" x14ac:dyDescent="0.25">
      <c r="A585">
        <v>38300</v>
      </c>
      <c r="B585">
        <v>1983</v>
      </c>
      <c r="C585" s="258">
        <v>40.5</v>
      </c>
      <c r="D585" s="212">
        <v>59468.89</v>
      </c>
      <c r="E585">
        <v>42</v>
      </c>
      <c r="F585">
        <v>12.675682</v>
      </c>
      <c r="G585" s="90">
        <f>'Proposed Rates'!$O$27/100</f>
        <v>0</v>
      </c>
      <c r="H585" s="212">
        <f t="shared" si="71"/>
        <v>41521.06289207191</v>
      </c>
      <c r="I585" s="212">
        <f t="shared" si="72"/>
        <v>753808.73853297997</v>
      </c>
    </row>
    <row r="586" spans="1:9" outlineLevel="2" x14ac:dyDescent="0.25">
      <c r="A586">
        <v>38300</v>
      </c>
      <c r="B586">
        <v>1982</v>
      </c>
      <c r="C586" s="258">
        <v>41.5</v>
      </c>
      <c r="D586" s="212">
        <v>76749.27</v>
      </c>
      <c r="E586">
        <v>42</v>
      </c>
      <c r="F586">
        <v>12.268280000000001</v>
      </c>
      <c r="G586" s="90">
        <f>'Proposed Rates'!$O$27/100</f>
        <v>0</v>
      </c>
      <c r="H586" s="212">
        <f t="shared" si="71"/>
        <v>54330.662043914286</v>
      </c>
      <c r="I586" s="212">
        <f t="shared" si="72"/>
        <v>941581.53415560012</v>
      </c>
    </row>
    <row r="587" spans="1:9" outlineLevel="2" x14ac:dyDescent="0.25">
      <c r="A587">
        <v>38300</v>
      </c>
      <c r="B587">
        <v>1981</v>
      </c>
      <c r="C587" s="258">
        <v>42.5</v>
      </c>
      <c r="D587" s="212">
        <v>117688.66</v>
      </c>
      <c r="E587">
        <v>42</v>
      </c>
      <c r="F587">
        <v>11.871409</v>
      </c>
      <c r="G587" s="90">
        <f>'Proposed Rates'!$O$27/100</f>
        <v>0</v>
      </c>
      <c r="H587" s="212">
        <f t="shared" si="71"/>
        <v>84423.654820906202</v>
      </c>
      <c r="I587" s="212">
        <f t="shared" si="72"/>
        <v>1397130.2175219401</v>
      </c>
    </row>
    <row r="588" spans="1:9" outlineLevel="2" x14ac:dyDescent="0.25">
      <c r="A588">
        <v>38300</v>
      </c>
      <c r="B588">
        <v>1980</v>
      </c>
      <c r="C588" s="258">
        <v>43.5</v>
      </c>
      <c r="D588" s="212">
        <v>85874.18</v>
      </c>
      <c r="E588">
        <v>42</v>
      </c>
      <c r="F588">
        <v>11.484603</v>
      </c>
      <c r="G588" s="90">
        <f>'Proposed Rates'!$O$27/100</f>
        <v>0</v>
      </c>
      <c r="H588" s="212">
        <f t="shared" si="71"/>
        <v>62392.492732129991</v>
      </c>
      <c r="I588" s="212">
        <f t="shared" si="72"/>
        <v>986230.86525053997</v>
      </c>
    </row>
    <row r="589" spans="1:9" outlineLevel="2" x14ac:dyDescent="0.25">
      <c r="A589">
        <v>38300</v>
      </c>
      <c r="B589">
        <v>1979</v>
      </c>
      <c r="C589" s="258">
        <v>44.5</v>
      </c>
      <c r="D589" s="212">
        <v>48170.29</v>
      </c>
      <c r="E589">
        <v>42</v>
      </c>
      <c r="F589">
        <v>11.107554</v>
      </c>
      <c r="G589" s="90">
        <f>'Proposed Rates'!$O$27/100</f>
        <v>0</v>
      </c>
      <c r="H589" s="212">
        <f t="shared" si="71"/>
        <v>35430.906729269998</v>
      </c>
      <c r="I589" s="212">
        <f t="shared" si="72"/>
        <v>535054.09737066005</v>
      </c>
    </row>
    <row r="590" spans="1:9" outlineLevel="2" x14ac:dyDescent="0.25">
      <c r="A590">
        <v>38300</v>
      </c>
      <c r="B590">
        <v>1978</v>
      </c>
      <c r="C590" s="258">
        <v>45.5</v>
      </c>
      <c r="D590" s="212">
        <v>53032.49</v>
      </c>
      <c r="E590">
        <v>42</v>
      </c>
      <c r="F590">
        <v>10.739579000000001</v>
      </c>
      <c r="G590" s="90">
        <f>'Proposed Rates'!$O$27/100</f>
        <v>0</v>
      </c>
      <c r="H590" s="212">
        <f t="shared" si="71"/>
        <v>39471.856287578332</v>
      </c>
      <c r="I590" s="212">
        <f t="shared" si="72"/>
        <v>569546.61592171004</v>
      </c>
    </row>
    <row r="591" spans="1:9" outlineLevel="2" x14ac:dyDescent="0.25">
      <c r="A591">
        <v>38300</v>
      </c>
      <c r="B591">
        <v>1977</v>
      </c>
      <c r="C591" s="258">
        <v>46.5</v>
      </c>
      <c r="D591" s="212">
        <v>45144</v>
      </c>
      <c r="E591">
        <v>42</v>
      </c>
      <c r="F591">
        <v>10.380547</v>
      </c>
      <c r="G591" s="90">
        <f>'Proposed Rates'!$O$27/100</f>
        <v>0</v>
      </c>
      <c r="H591" s="212">
        <f t="shared" si="71"/>
        <v>33986.394910285715</v>
      </c>
      <c r="I591" s="212">
        <f t="shared" si="72"/>
        <v>468619.41376800003</v>
      </c>
    </row>
    <row r="592" spans="1:9" outlineLevel="2" x14ac:dyDescent="0.25">
      <c r="A592">
        <v>38300</v>
      </c>
      <c r="B592">
        <v>1976</v>
      </c>
      <c r="C592" s="258">
        <v>47.5</v>
      </c>
      <c r="D592" s="212">
        <v>22156.81</v>
      </c>
      <c r="E592">
        <v>42</v>
      </c>
      <c r="F592">
        <v>10.030075</v>
      </c>
      <c r="G592" s="90">
        <f>'Proposed Rates'!$O$27/100</f>
        <v>0</v>
      </c>
      <c r="H592" s="212">
        <f t="shared" si="71"/>
        <v>16865.513189029763</v>
      </c>
      <c r="I592" s="212">
        <f t="shared" si="72"/>
        <v>222234.46606075001</v>
      </c>
    </row>
    <row r="593" spans="1:10" outlineLevel="2" x14ac:dyDescent="0.25">
      <c r="A593">
        <v>38300</v>
      </c>
      <c r="B593">
        <v>1975</v>
      </c>
      <c r="C593" s="258">
        <v>48.5</v>
      </c>
      <c r="D593" s="212">
        <v>32725.68</v>
      </c>
      <c r="E593">
        <v>42</v>
      </c>
      <c r="F593">
        <v>9.6873679999999993</v>
      </c>
      <c r="G593" s="90">
        <f>'Proposed Rates'!$O$27/100</f>
        <v>0</v>
      </c>
      <c r="H593" s="212">
        <f t="shared" si="71"/>
        <v>25177.448923565717</v>
      </c>
      <c r="I593" s="212">
        <f t="shared" si="72"/>
        <v>317025.70521023998</v>
      </c>
    </row>
    <row r="594" spans="1:10" outlineLevel="2" x14ac:dyDescent="0.25">
      <c r="A594">
        <v>38300</v>
      </c>
      <c r="B594">
        <v>1974</v>
      </c>
      <c r="C594" s="258">
        <v>49.5</v>
      </c>
      <c r="D594" s="212">
        <v>31153.5</v>
      </c>
      <c r="E594">
        <v>42</v>
      </c>
      <c r="F594">
        <v>9.3527129999999996</v>
      </c>
      <c r="G594" s="90">
        <f>'Proposed Rates'!$O$27/100</f>
        <v>0</v>
      </c>
      <c r="H594" s="212">
        <f t="shared" si="71"/>
        <v>24216.125132250003</v>
      </c>
      <c r="I594" s="212">
        <f t="shared" si="72"/>
        <v>291369.74444549996</v>
      </c>
    </row>
    <row r="595" spans="1:10" outlineLevel="2" x14ac:dyDescent="0.25">
      <c r="A595">
        <v>38300</v>
      </c>
      <c r="B595">
        <v>1973</v>
      </c>
      <c r="C595" s="258">
        <v>50.5</v>
      </c>
      <c r="D595" s="212">
        <v>97553.7</v>
      </c>
      <c r="E595">
        <v>42</v>
      </c>
      <c r="F595">
        <v>9.0251230000000007</v>
      </c>
      <c r="G595" s="90">
        <f>'Proposed Rates'!$O$27/100</f>
        <v>0</v>
      </c>
      <c r="H595" s="212">
        <f t="shared" si="71"/>
        <v>76590.982342735704</v>
      </c>
      <c r="I595" s="212">
        <f t="shared" si="72"/>
        <v>880434.14160510001</v>
      </c>
    </row>
    <row r="596" spans="1:10" ht="13" outlineLevel="1" x14ac:dyDescent="0.3">
      <c r="A596" s="18" t="s">
        <v>1189</v>
      </c>
      <c r="C596" s="258" t="s">
        <v>1229</v>
      </c>
      <c r="D596" s="212">
        <f>SUBTOTAL(9,D545:D595)</f>
        <v>20766817.199999996</v>
      </c>
      <c r="H596" s="212">
        <f>SUBTOTAL(9,H545:H595)</f>
        <v>6811436.1471380144</v>
      </c>
      <c r="I596" s="212">
        <f>SUBTOTAL(9,I545:I595)</f>
        <v>586126004.22020352</v>
      </c>
      <c r="J596" s="212">
        <f>+I596/D596</f>
        <v>28.224161583133867</v>
      </c>
    </row>
    <row r="597" spans="1:10" outlineLevel="2" x14ac:dyDescent="0.25">
      <c r="A597">
        <v>38400</v>
      </c>
      <c r="B597">
        <v>2022</v>
      </c>
      <c r="C597" s="258">
        <v>1.5</v>
      </c>
      <c r="D597" s="212">
        <v>6517029.4900000002</v>
      </c>
      <c r="E597">
        <v>47</v>
      </c>
      <c r="F597">
        <v>45.767713000000001</v>
      </c>
      <c r="G597" s="90">
        <f>'Proposed Rates'!$O$28/100</f>
        <v>-0.3</v>
      </c>
      <c r="H597" s="212">
        <f t="shared" si="71"/>
        <v>222129.91350822803</v>
      </c>
      <c r="I597" s="212">
        <f t="shared" si="72"/>
        <v>298269535.3108564</v>
      </c>
    </row>
    <row r="598" spans="1:10" outlineLevel="2" x14ac:dyDescent="0.25">
      <c r="A598">
        <v>38400</v>
      </c>
      <c r="B598">
        <v>2021</v>
      </c>
      <c r="C598" s="258">
        <v>2.5</v>
      </c>
      <c r="D598" s="212">
        <v>4440943.29</v>
      </c>
      <c r="E598">
        <v>47</v>
      </c>
      <c r="F598">
        <v>44.952255999999998</v>
      </c>
      <c r="G598" s="90">
        <f>'Proposed Rates'!$O$28/100</f>
        <v>-0.3</v>
      </c>
      <c r="H598" s="212">
        <f t="shared" si="71"/>
        <v>251533.81849721487</v>
      </c>
      <c r="I598" s="212">
        <f t="shared" si="72"/>
        <v>199630419.65356225</v>
      </c>
    </row>
    <row r="599" spans="1:10" outlineLevel="2" x14ac:dyDescent="0.25">
      <c r="A599">
        <v>38400</v>
      </c>
      <c r="B599">
        <v>2020</v>
      </c>
      <c r="C599" s="258">
        <v>3.5</v>
      </c>
      <c r="D599" s="212">
        <v>2242163.2000000002</v>
      </c>
      <c r="E599">
        <v>47</v>
      </c>
      <c r="F599">
        <v>44.141668000000003</v>
      </c>
      <c r="G599" s="90">
        <f>'Proposed Rates'!$O$28/100</f>
        <v>-0.3</v>
      </c>
      <c r="H599" s="212">
        <f t="shared" si="71"/>
        <v>177265.97597695986</v>
      </c>
      <c r="I599" s="212">
        <f t="shared" si="72"/>
        <v>98972823.576217622</v>
      </c>
    </row>
    <row r="600" spans="1:10" outlineLevel="2" x14ac:dyDescent="0.25">
      <c r="A600">
        <v>38400</v>
      </c>
      <c r="B600">
        <v>2019</v>
      </c>
      <c r="C600" s="258">
        <v>4.5</v>
      </c>
      <c r="D600" s="212">
        <v>1920126.15</v>
      </c>
      <c r="E600">
        <v>47</v>
      </c>
      <c r="F600">
        <v>43.335971000000001</v>
      </c>
      <c r="G600" s="90">
        <f>'Proposed Rates'!$O$28/100</f>
        <v>-0.3</v>
      </c>
      <c r="H600" s="212">
        <f t="shared" si="71"/>
        <v>194596.11205182664</v>
      </c>
      <c r="I600" s="212">
        <f t="shared" si="72"/>
        <v>83210531.152741641</v>
      </c>
    </row>
    <row r="601" spans="1:10" outlineLevel="2" x14ac:dyDescent="0.25">
      <c r="A601">
        <v>38400</v>
      </c>
      <c r="B601">
        <v>2018</v>
      </c>
      <c r="C601" s="258">
        <v>5.5</v>
      </c>
      <c r="D601" s="212">
        <v>1755541.61</v>
      </c>
      <c r="E601">
        <v>47</v>
      </c>
      <c r="F601">
        <v>42.535183000000004</v>
      </c>
      <c r="G601" s="90">
        <f>'Proposed Rates'!$O$28/100</f>
        <v>-0.3</v>
      </c>
      <c r="H601" s="212">
        <f t="shared" si="71"/>
        <v>216800.50280629724</v>
      </c>
      <c r="I601" s="212">
        <f t="shared" si="72"/>
        <v>74672283.645464644</v>
      </c>
    </row>
    <row r="602" spans="1:10" outlineLevel="2" x14ac:dyDescent="0.25">
      <c r="A602">
        <v>38400</v>
      </c>
      <c r="B602">
        <v>2017</v>
      </c>
      <c r="C602" s="258">
        <v>6.5</v>
      </c>
      <c r="D602" s="212">
        <v>1120608.94</v>
      </c>
      <c r="E602">
        <v>47</v>
      </c>
      <c r="F602">
        <v>41.739325000000001</v>
      </c>
      <c r="G602" s="90">
        <f>'Proposed Rates'!$O$28/100</f>
        <v>-0.3</v>
      </c>
      <c r="H602" s="212">
        <f t="shared" si="71"/>
        <v>163057.60140563504</v>
      </c>
      <c r="I602" s="212">
        <f t="shared" si="72"/>
        <v>46773460.744565502</v>
      </c>
    </row>
    <row r="603" spans="1:10" outlineLevel="2" x14ac:dyDescent="0.25">
      <c r="A603">
        <v>38400</v>
      </c>
      <c r="B603">
        <v>2016</v>
      </c>
      <c r="C603" s="258">
        <v>7.5</v>
      </c>
      <c r="D603" s="212">
        <v>1198676.73</v>
      </c>
      <c r="E603">
        <v>47</v>
      </c>
      <c r="F603">
        <v>40.948411</v>
      </c>
      <c r="G603" s="90">
        <f>'Proposed Rates'!$O$28/100</f>
        <v>-0.3</v>
      </c>
      <c r="H603" s="212">
        <f t="shared" si="71"/>
        <v>200639.75719087574</v>
      </c>
      <c r="I603" s="212">
        <f t="shared" si="72"/>
        <v>49083907.396176033</v>
      </c>
    </row>
    <row r="604" spans="1:10" outlineLevel="2" x14ac:dyDescent="0.25">
      <c r="A604">
        <v>38400</v>
      </c>
      <c r="B604">
        <v>2015</v>
      </c>
      <c r="C604" s="258">
        <v>8.5</v>
      </c>
      <c r="D604" s="212">
        <v>817036.65</v>
      </c>
      <c r="E604">
        <v>47</v>
      </c>
      <c r="F604">
        <v>40.162613999999998</v>
      </c>
      <c r="G604" s="90">
        <f>'Proposed Rates'!$O$28/100</f>
        <v>-0.3</v>
      </c>
      <c r="H604" s="212">
        <f t="shared" si="71"/>
        <v>154517.30718842498</v>
      </c>
      <c r="I604" s="212">
        <f t="shared" si="72"/>
        <v>32814327.597803101</v>
      </c>
    </row>
    <row r="605" spans="1:10" outlineLevel="2" x14ac:dyDescent="0.25">
      <c r="A605">
        <v>38400</v>
      </c>
      <c r="B605">
        <v>2014</v>
      </c>
      <c r="C605" s="258">
        <v>9.5</v>
      </c>
      <c r="D605" s="212">
        <v>776896.66</v>
      </c>
      <c r="E605">
        <v>47</v>
      </c>
      <c r="F605">
        <v>39.381880000000002</v>
      </c>
      <c r="G605" s="90">
        <f>'Proposed Rates'!$O$28/100</f>
        <v>-0.3</v>
      </c>
      <c r="H605" s="212">
        <f t="shared" si="71"/>
        <v>163702.9697558076</v>
      </c>
      <c r="I605" s="212">
        <f t="shared" si="72"/>
        <v>30595651.036520801</v>
      </c>
    </row>
    <row r="606" spans="1:10" outlineLevel="2" x14ac:dyDescent="0.25">
      <c r="A606">
        <v>38400</v>
      </c>
      <c r="B606">
        <v>2013</v>
      </c>
      <c r="C606" s="258">
        <v>10.5</v>
      </c>
      <c r="D606" s="212">
        <v>1316985.8600000001</v>
      </c>
      <c r="E606">
        <v>47</v>
      </c>
      <c r="F606">
        <v>38.606158999999998</v>
      </c>
      <c r="G606" s="90">
        <f>'Proposed Rates'!$O$28/100</f>
        <v>-0.3</v>
      </c>
      <c r="H606" s="212">
        <f t="shared" si="71"/>
        <v>305764.69958542002</v>
      </c>
      <c r="I606" s="212">
        <f t="shared" si="72"/>
        <v>50843765.511911742</v>
      </c>
    </row>
    <row r="607" spans="1:10" outlineLevel="2" x14ac:dyDescent="0.25">
      <c r="A607">
        <v>38400</v>
      </c>
      <c r="B607">
        <v>2012</v>
      </c>
      <c r="C607" s="258">
        <v>11.5</v>
      </c>
      <c r="D607" s="212">
        <v>1151122.04</v>
      </c>
      <c r="E607">
        <v>47</v>
      </c>
      <c r="F607">
        <v>37.835465999999997</v>
      </c>
      <c r="G607" s="90">
        <f>'Proposed Rates'!$O$28/100</f>
        <v>-0.3</v>
      </c>
      <c r="H607" s="212">
        <f t="shared" si="71"/>
        <v>291794.59991166327</v>
      </c>
      <c r="I607" s="212">
        <f t="shared" si="72"/>
        <v>43553238.806270637</v>
      </c>
    </row>
    <row r="608" spans="1:10" outlineLevel="2" x14ac:dyDescent="0.25">
      <c r="A608">
        <v>38400</v>
      </c>
      <c r="B608">
        <v>2011</v>
      </c>
      <c r="C608" s="258">
        <v>12.5</v>
      </c>
      <c r="D608" s="212">
        <v>738173.99</v>
      </c>
      <c r="E608">
        <v>47</v>
      </c>
      <c r="F608">
        <v>37.069820999999997</v>
      </c>
      <c r="G608" s="90">
        <f>'Proposed Rates'!$O$28/100</f>
        <v>-0.3</v>
      </c>
      <c r="H608" s="212">
        <f t="shared" si="71"/>
        <v>202750.20872335057</v>
      </c>
      <c r="I608" s="212">
        <f t="shared" si="72"/>
        <v>27363977.676155787</v>
      </c>
    </row>
    <row r="609" spans="1:9" outlineLevel="2" x14ac:dyDescent="0.25">
      <c r="A609">
        <v>38400</v>
      </c>
      <c r="B609">
        <v>2010</v>
      </c>
      <c r="C609" s="258">
        <v>13.5</v>
      </c>
      <c r="D609" s="212">
        <v>671129.47</v>
      </c>
      <c r="E609">
        <v>47</v>
      </c>
      <c r="F609">
        <v>36.309244</v>
      </c>
      <c r="G609" s="90">
        <f>'Proposed Rates'!$O$28/100</f>
        <v>-0.3</v>
      </c>
      <c r="H609" s="212">
        <f t="shared" si="71"/>
        <v>198454.16660921529</v>
      </c>
      <c r="I609" s="212">
        <f t="shared" si="72"/>
        <v>24368203.681820679</v>
      </c>
    </row>
    <row r="610" spans="1:9" outlineLevel="2" x14ac:dyDescent="0.25">
      <c r="A610">
        <v>38400</v>
      </c>
      <c r="B610">
        <v>2009</v>
      </c>
      <c r="C610" s="258">
        <v>14.5</v>
      </c>
      <c r="D610" s="212">
        <v>686919.72</v>
      </c>
      <c r="E610">
        <v>47</v>
      </c>
      <c r="F610">
        <v>35.553778000000001</v>
      </c>
      <c r="G610" s="90">
        <f>'Proposed Rates'!$O$28/100</f>
        <v>-0.3</v>
      </c>
      <c r="H610" s="212">
        <f t="shared" si="71"/>
        <v>217477.15520611044</v>
      </c>
      <c r="I610" s="212">
        <f t="shared" si="72"/>
        <v>24422591.228702161</v>
      </c>
    </row>
    <row r="611" spans="1:9" outlineLevel="2" x14ac:dyDescent="0.25">
      <c r="A611">
        <v>38400</v>
      </c>
      <c r="B611">
        <v>2008</v>
      </c>
      <c r="C611" s="258">
        <v>15.5</v>
      </c>
      <c r="D611" s="212">
        <v>732920.04</v>
      </c>
      <c r="E611">
        <v>47</v>
      </c>
      <c r="F611">
        <v>34.803516000000002</v>
      </c>
      <c r="G611" s="90">
        <f>'Proposed Rates'!$O$28/100</f>
        <v>-0.3</v>
      </c>
      <c r="H611" s="212">
        <f t="shared" si="71"/>
        <v>247250.2511378972</v>
      </c>
      <c r="I611" s="212">
        <f t="shared" si="72"/>
        <v>25508194.338860642</v>
      </c>
    </row>
    <row r="612" spans="1:9" outlineLevel="2" x14ac:dyDescent="0.25">
      <c r="A612">
        <v>38400</v>
      </c>
      <c r="B612">
        <v>2007</v>
      </c>
      <c r="C612" s="258">
        <v>16.5</v>
      </c>
      <c r="D612" s="212">
        <v>877182.82</v>
      </c>
      <c r="E612">
        <v>47</v>
      </c>
      <c r="F612">
        <v>34.058822999999997</v>
      </c>
      <c r="G612" s="90">
        <f>'Proposed Rates'!$O$28/100</f>
        <v>-0.3</v>
      </c>
      <c r="H612" s="212">
        <f t="shared" si="71"/>
        <v>313985.35266963579</v>
      </c>
      <c r="I612" s="212">
        <f t="shared" si="72"/>
        <v>29875814.405020855</v>
      </c>
    </row>
    <row r="613" spans="1:9" outlineLevel="2" x14ac:dyDescent="0.25">
      <c r="A613">
        <v>38400</v>
      </c>
      <c r="B613">
        <v>2006</v>
      </c>
      <c r="C613" s="258">
        <v>17.5</v>
      </c>
      <c r="D613" s="212">
        <v>1557909.68</v>
      </c>
      <c r="E613">
        <v>47</v>
      </c>
      <c r="F613">
        <v>33.319718000000002</v>
      </c>
      <c r="G613" s="90">
        <f>'Proposed Rates'!$O$28/100</f>
        <v>-0.3</v>
      </c>
      <c r="H613" s="212">
        <f t="shared" si="71"/>
        <v>589498.65699592954</v>
      </c>
      <c r="I613" s="212">
        <f t="shared" si="72"/>
        <v>51909111.207070239</v>
      </c>
    </row>
    <row r="614" spans="1:9" outlineLevel="2" x14ac:dyDescent="0.25">
      <c r="A614">
        <v>38400</v>
      </c>
      <c r="B614">
        <v>2005</v>
      </c>
      <c r="C614" s="258">
        <v>18.5</v>
      </c>
      <c r="D614" s="212">
        <v>919834.48</v>
      </c>
      <c r="E614">
        <v>47</v>
      </c>
      <c r="F614">
        <v>32.586364000000003</v>
      </c>
      <c r="G614" s="90">
        <f>'Proposed Rates'!$O$28/100</f>
        <v>-0.3</v>
      </c>
      <c r="H614" s="212">
        <f t="shared" si="71"/>
        <v>366715.0465417034</v>
      </c>
      <c r="I614" s="212">
        <f t="shared" si="72"/>
        <v>29974061.185030721</v>
      </c>
    </row>
    <row r="615" spans="1:9" outlineLevel="2" x14ac:dyDescent="0.25">
      <c r="A615">
        <v>38400</v>
      </c>
      <c r="B615">
        <v>2004</v>
      </c>
      <c r="C615" s="258">
        <v>19.5</v>
      </c>
      <c r="D615" s="212">
        <v>874870.58</v>
      </c>
      <c r="E615">
        <v>47</v>
      </c>
      <c r="F615">
        <v>31.858978</v>
      </c>
      <c r="G615" s="90">
        <f>'Proposed Rates'!$O$28/100</f>
        <v>-0.3</v>
      </c>
      <c r="H615" s="212">
        <f t="shared" ref="H615:H621" si="73">+D615*(1-F615/E615)*(1-G615)</f>
        <v>366390.74699175719</v>
      </c>
      <c r="I615" s="212">
        <f t="shared" ref="I615:I621" si="74">+D615*F615</f>
        <v>27872482.561067238</v>
      </c>
    </row>
    <row r="616" spans="1:9" outlineLevel="2" x14ac:dyDescent="0.25">
      <c r="A616">
        <v>38400</v>
      </c>
      <c r="B616">
        <v>2003</v>
      </c>
      <c r="C616" s="258">
        <v>20.5</v>
      </c>
      <c r="D616" s="212">
        <v>1190767.25</v>
      </c>
      <c r="E616">
        <v>47</v>
      </c>
      <c r="F616">
        <v>31.137792999999999</v>
      </c>
      <c r="G616" s="90">
        <f>'Proposed Rates'!$O$28/100</f>
        <v>-0.3</v>
      </c>
      <c r="H616" s="212">
        <f t="shared" si="73"/>
        <v>522439.48065568041</v>
      </c>
      <c r="I616" s="212">
        <f t="shared" si="74"/>
        <v>37077864.14167925</v>
      </c>
    </row>
    <row r="617" spans="1:9" outlineLevel="2" x14ac:dyDescent="0.25">
      <c r="A617">
        <v>38400</v>
      </c>
      <c r="B617">
        <v>2002</v>
      </c>
      <c r="C617" s="258">
        <v>21.5</v>
      </c>
      <c r="D617" s="212">
        <v>781013.24</v>
      </c>
      <c r="E617">
        <v>47</v>
      </c>
      <c r="F617">
        <v>30.423048000000001</v>
      </c>
      <c r="G617" s="90">
        <f>'Proposed Rates'!$O$28/100</f>
        <v>-0.3</v>
      </c>
      <c r="H617" s="212">
        <f t="shared" si="73"/>
        <v>358103.50400208135</v>
      </c>
      <c r="I617" s="212">
        <f t="shared" si="74"/>
        <v>23760803.28915552</v>
      </c>
    </row>
    <row r="618" spans="1:9" outlineLevel="2" x14ac:dyDescent="0.25">
      <c r="A618">
        <v>38400</v>
      </c>
      <c r="B618">
        <v>2000</v>
      </c>
      <c r="C618" s="258">
        <v>23.5</v>
      </c>
      <c r="D618" s="212">
        <v>1069154.9099999999</v>
      </c>
      <c r="E618">
        <v>47</v>
      </c>
      <c r="F618">
        <v>29.013847999999999</v>
      </c>
      <c r="G618" s="90">
        <f>'Proposed Rates'!$O$28/100</f>
        <v>-0.3</v>
      </c>
      <c r="H618" s="212">
        <f t="shared" si="73"/>
        <v>531893.13914145145</v>
      </c>
      <c r="I618" s="212">
        <f t="shared" si="74"/>
        <v>31020298.047193676</v>
      </c>
    </row>
    <row r="619" spans="1:9" outlineLevel="2" x14ac:dyDescent="0.25">
      <c r="A619">
        <v>38400</v>
      </c>
      <c r="B619">
        <v>1999</v>
      </c>
      <c r="C619" s="258">
        <v>24.5</v>
      </c>
      <c r="D619" s="212">
        <v>471049.24</v>
      </c>
      <c r="E619">
        <v>47</v>
      </c>
      <c r="F619">
        <v>28.320219000000002</v>
      </c>
      <c r="G619" s="90">
        <f>'Proposed Rates'!$O$28/100</f>
        <v>-0.3</v>
      </c>
      <c r="H619" s="212">
        <f t="shared" si="73"/>
        <v>243379.26886045467</v>
      </c>
      <c r="I619" s="212">
        <f t="shared" si="74"/>
        <v>13340217.636583561</v>
      </c>
    </row>
    <row r="620" spans="1:9" outlineLevel="2" x14ac:dyDescent="0.25">
      <c r="A620">
        <v>38400</v>
      </c>
      <c r="B620">
        <v>1998</v>
      </c>
      <c r="C620" s="258">
        <v>25.5</v>
      </c>
      <c r="D620" s="212">
        <v>383996.61</v>
      </c>
      <c r="E620">
        <v>47</v>
      </c>
      <c r="F620">
        <v>27.634041</v>
      </c>
      <c r="G620" s="90">
        <f>'Proposed Rates'!$O$28/100</f>
        <v>-0.3</v>
      </c>
      <c r="H620" s="212">
        <f t="shared" si="73"/>
        <v>205689.39121316356</v>
      </c>
      <c r="I620" s="212">
        <f t="shared" si="74"/>
        <v>10611378.06460101</v>
      </c>
    </row>
    <row r="621" spans="1:9" outlineLevel="2" x14ac:dyDescent="0.25">
      <c r="A621">
        <v>38400</v>
      </c>
      <c r="B621">
        <v>1997</v>
      </c>
      <c r="C621" s="258">
        <v>26.5</v>
      </c>
      <c r="D621" s="212">
        <v>485085.41</v>
      </c>
      <c r="E621">
        <v>47</v>
      </c>
      <c r="F621">
        <v>26.955552999999998</v>
      </c>
      <c r="G621" s="90">
        <f>'Proposed Rates'!$O$28/100</f>
        <v>-0.3</v>
      </c>
      <c r="H621" s="212">
        <f t="shared" si="73"/>
        <v>268941.4772039096</v>
      </c>
      <c r="I621" s="212">
        <f t="shared" si="74"/>
        <v>13075745.478781728</v>
      </c>
    </row>
    <row r="622" spans="1:9" outlineLevel="2" x14ac:dyDescent="0.25">
      <c r="A622">
        <v>38400</v>
      </c>
      <c r="B622">
        <v>1996</v>
      </c>
      <c r="C622" s="258">
        <v>27.5</v>
      </c>
      <c r="D622" s="212">
        <v>459277.08</v>
      </c>
      <c r="E622">
        <v>47</v>
      </c>
      <c r="F622">
        <v>26.285003</v>
      </c>
      <c r="G622" s="90">
        <f>'Proposed Rates'!$O$28/100</f>
        <v>-0.3</v>
      </c>
      <c r="H622" s="212">
        <f t="shared" ref="H622:H684" si="75">+D622*(1-F622/E622)*(1-G622)</f>
        <v>263151.07095062529</v>
      </c>
      <c r="I622" s="212">
        <f t="shared" si="72"/>
        <v>12072099.42563124</v>
      </c>
    </row>
    <row r="623" spans="1:9" outlineLevel="2" x14ac:dyDescent="0.25">
      <c r="A623">
        <v>38400</v>
      </c>
      <c r="B623">
        <v>1995</v>
      </c>
      <c r="C623" s="258">
        <v>28.5</v>
      </c>
      <c r="D623" s="212">
        <v>353198.32</v>
      </c>
      <c r="E623">
        <v>47</v>
      </c>
      <c r="F623">
        <v>25.622624999999999</v>
      </c>
      <c r="G623" s="90">
        <f>'Proposed Rates'!$O$28/100</f>
        <v>-0.3</v>
      </c>
      <c r="H623" s="212">
        <f t="shared" ref="H623" si="76">+D623*(1-F623/E623)*(1-G623)</f>
        <v>208842.31525134045</v>
      </c>
      <c r="I623" s="212">
        <f t="shared" ref="I623" si="77">+D623*F623</f>
        <v>9049868.1039899997</v>
      </c>
    </row>
    <row r="624" spans="1:9" outlineLevel="2" x14ac:dyDescent="0.25">
      <c r="A624">
        <v>38400</v>
      </c>
      <c r="B624">
        <v>1994</v>
      </c>
      <c r="C624" s="258">
        <v>29.5</v>
      </c>
      <c r="D624" s="212">
        <v>347172.16</v>
      </c>
      <c r="E624">
        <v>47</v>
      </c>
      <c r="F624">
        <v>24.968654000000001</v>
      </c>
      <c r="G624" s="90">
        <f>'Proposed Rates'!$O$28/100</f>
        <v>-0.3</v>
      </c>
      <c r="H624" s="212">
        <f t="shared" si="75"/>
        <v>211558.95685288441</v>
      </c>
      <c r="I624" s="212">
        <f t="shared" si="72"/>
        <v>8668421.5414726399</v>
      </c>
    </row>
    <row r="625" spans="1:9" outlineLevel="2" x14ac:dyDescent="0.25">
      <c r="A625">
        <v>38400</v>
      </c>
      <c r="B625">
        <v>1993</v>
      </c>
      <c r="C625" s="258">
        <v>30.5</v>
      </c>
      <c r="D625" s="212">
        <v>276917.36</v>
      </c>
      <c r="E625">
        <v>47</v>
      </c>
      <c r="F625">
        <v>24.323322999999998</v>
      </c>
      <c r="G625" s="90">
        <f>'Proposed Rates'!$O$28/100</f>
        <v>-0.3</v>
      </c>
      <c r="H625" s="212">
        <f t="shared" si="75"/>
        <v>173690.1103603518</v>
      </c>
      <c r="I625" s="212">
        <f t="shared" si="72"/>
        <v>6735550.3915872788</v>
      </c>
    </row>
    <row r="626" spans="1:9" outlineLevel="2" x14ac:dyDescent="0.25">
      <c r="A626">
        <v>38400</v>
      </c>
      <c r="B626">
        <v>1992</v>
      </c>
      <c r="C626" s="258">
        <v>31.5</v>
      </c>
      <c r="D626" s="212">
        <v>301050.49</v>
      </c>
      <c r="E626">
        <v>47</v>
      </c>
      <c r="F626">
        <v>23.686916</v>
      </c>
      <c r="G626" s="90">
        <f>'Proposed Rates'!$O$28/100</f>
        <v>-0.3</v>
      </c>
      <c r="H626" s="212">
        <f t="shared" si="75"/>
        <v>194126.38234243632</v>
      </c>
      <c r="I626" s="212">
        <f t="shared" si="72"/>
        <v>7130957.6683888398</v>
      </c>
    </row>
    <row r="627" spans="1:9" outlineLevel="2" x14ac:dyDescent="0.25">
      <c r="A627">
        <v>38400</v>
      </c>
      <c r="B627">
        <v>1991</v>
      </c>
      <c r="C627" s="258">
        <v>32.5</v>
      </c>
      <c r="D627" s="212">
        <v>208658.58</v>
      </c>
      <c r="E627">
        <v>47</v>
      </c>
      <c r="F627">
        <v>23.059920999999999</v>
      </c>
      <c r="G627" s="90">
        <f>'Proposed Rates'!$O$28/100</f>
        <v>-0.3</v>
      </c>
      <c r="H627" s="212">
        <f t="shared" si="75"/>
        <v>138167.95225523756</v>
      </c>
      <c r="I627" s="212">
        <f t="shared" si="72"/>
        <v>4811650.3707721792</v>
      </c>
    </row>
    <row r="628" spans="1:9" outlineLevel="2" x14ac:dyDescent="0.25">
      <c r="A628">
        <v>38400</v>
      </c>
      <c r="B628">
        <v>1990</v>
      </c>
      <c r="C628" s="258">
        <v>33.5</v>
      </c>
      <c r="D628" s="212">
        <v>353261.45</v>
      </c>
      <c r="E628">
        <v>47</v>
      </c>
      <c r="F628">
        <v>22.442243000000001</v>
      </c>
      <c r="G628" s="90">
        <f>'Proposed Rates'!$O$28/100</f>
        <v>-0.3</v>
      </c>
      <c r="H628" s="212">
        <f t="shared" si="75"/>
        <v>239955.35107527542</v>
      </c>
      <c r="I628" s="212">
        <f t="shared" si="72"/>
        <v>7927979.303432351</v>
      </c>
    </row>
    <row r="629" spans="1:9" outlineLevel="2" x14ac:dyDescent="0.25">
      <c r="A629">
        <v>38400</v>
      </c>
      <c r="B629">
        <v>1989</v>
      </c>
      <c r="C629" s="258">
        <v>34.5</v>
      </c>
      <c r="D629" s="212">
        <v>232637.44</v>
      </c>
      <c r="E629">
        <v>47</v>
      </c>
      <c r="F629">
        <v>21.834091000000001</v>
      </c>
      <c r="G629" s="90">
        <f>'Proposed Rates'!$O$28/100</f>
        <v>-0.3</v>
      </c>
      <c r="H629" s="212">
        <f t="shared" si="75"/>
        <v>161933.8816711244</v>
      </c>
      <c r="I629" s="212">
        <f t="shared" si="72"/>
        <v>5079427.0349670406</v>
      </c>
    </row>
    <row r="630" spans="1:9" outlineLevel="2" x14ac:dyDescent="0.25">
      <c r="A630">
        <v>38400</v>
      </c>
      <c r="B630">
        <v>1988</v>
      </c>
      <c r="C630" s="258">
        <v>35.5</v>
      </c>
      <c r="D630" s="212">
        <v>196784.29</v>
      </c>
      <c r="E630">
        <v>47</v>
      </c>
      <c r="F630">
        <v>21.235665000000001</v>
      </c>
      <c r="G630" s="90">
        <f>'Proposed Rates'!$O$28/100</f>
        <v>-0.3</v>
      </c>
      <c r="H630" s="212">
        <f t="shared" si="75"/>
        <v>140234.49534864459</v>
      </c>
      <c r="I630" s="212">
        <f t="shared" si="72"/>
        <v>4178845.2597028501</v>
      </c>
    </row>
    <row r="631" spans="1:9" outlineLevel="2" x14ac:dyDescent="0.25">
      <c r="A631">
        <v>38400</v>
      </c>
      <c r="B631">
        <v>1987</v>
      </c>
      <c r="C631" s="258">
        <v>36.5</v>
      </c>
      <c r="D631" s="212">
        <v>147729.25</v>
      </c>
      <c r="E631">
        <v>47</v>
      </c>
      <c r="F631">
        <v>20.647155999999999</v>
      </c>
      <c r="G631" s="90">
        <f>'Proposed Rates'!$O$28/100</f>
        <v>-0.3</v>
      </c>
      <c r="H631" s="212">
        <f t="shared" si="75"/>
        <v>107681.09879432128</v>
      </c>
      <c r="I631" s="212">
        <f t="shared" si="72"/>
        <v>3050188.8705130001</v>
      </c>
    </row>
    <row r="632" spans="1:9" outlineLevel="2" x14ac:dyDescent="0.25">
      <c r="A632">
        <v>38400</v>
      </c>
      <c r="B632">
        <v>1986</v>
      </c>
      <c r="C632" s="258">
        <v>37.5</v>
      </c>
      <c r="D632" s="212">
        <v>146511.46</v>
      </c>
      <c r="E632">
        <v>47</v>
      </c>
      <c r="F632">
        <v>20.068745</v>
      </c>
      <c r="G632" s="90">
        <f>'Proposed Rates'!$O$28/100</f>
        <v>-0.3</v>
      </c>
      <c r="H632" s="212">
        <f t="shared" si="75"/>
        <v>109137.41992738277</v>
      </c>
      <c r="I632" s="212">
        <f t="shared" si="72"/>
        <v>2940301.1303176996</v>
      </c>
    </row>
    <row r="633" spans="1:9" outlineLevel="2" x14ac:dyDescent="0.25">
      <c r="A633">
        <v>38400</v>
      </c>
      <c r="B633">
        <v>1985</v>
      </c>
      <c r="C633" s="258">
        <v>38.5</v>
      </c>
      <c r="D633" s="212">
        <v>170597.53</v>
      </c>
      <c r="E633">
        <v>47</v>
      </c>
      <c r="F633">
        <v>19.500610000000002</v>
      </c>
      <c r="G633" s="90">
        <f>'Proposed Rates'!$O$28/100</f>
        <v>-0.3</v>
      </c>
      <c r="H633" s="212">
        <f t="shared" si="75"/>
        <v>129760.13646082362</v>
      </c>
      <c r="I633" s="212">
        <f t="shared" si="72"/>
        <v>3326755.8994933004</v>
      </c>
    </row>
    <row r="634" spans="1:9" outlineLevel="2" x14ac:dyDescent="0.25">
      <c r="A634">
        <v>38400</v>
      </c>
      <c r="B634">
        <v>1984</v>
      </c>
      <c r="C634" s="258">
        <v>39.5</v>
      </c>
      <c r="D634" s="212">
        <v>127971.21</v>
      </c>
      <c r="E634">
        <v>47</v>
      </c>
      <c r="F634">
        <v>18.943037</v>
      </c>
      <c r="G634" s="90">
        <f>'Proposed Rates'!$O$28/100</f>
        <v>-0.3</v>
      </c>
      <c r="H634" s="212">
        <f t="shared" si="75"/>
        <v>99311.245856293594</v>
      </c>
      <c r="I634" s="212">
        <f t="shared" si="72"/>
        <v>2424163.3659647703</v>
      </c>
    </row>
    <row r="635" spans="1:9" outlineLevel="2" x14ac:dyDescent="0.25">
      <c r="A635">
        <v>38400</v>
      </c>
      <c r="B635">
        <v>1983</v>
      </c>
      <c r="C635" s="258">
        <v>40.5</v>
      </c>
      <c r="D635" s="212">
        <v>87337.01</v>
      </c>
      <c r="E635">
        <v>47</v>
      </c>
      <c r="F635">
        <v>18.396303</v>
      </c>
      <c r="G635" s="90">
        <f>'Proposed Rates'!$O$28/100</f>
        <v>-0.3</v>
      </c>
      <c r="H635" s="212">
        <f t="shared" si="75"/>
        <v>69098.08047242045</v>
      </c>
      <c r="I635" s="212">
        <f t="shared" si="72"/>
        <v>1606678.0990740298</v>
      </c>
    </row>
    <row r="636" spans="1:9" outlineLevel="2" x14ac:dyDescent="0.25">
      <c r="A636">
        <v>38400</v>
      </c>
      <c r="B636">
        <v>1982</v>
      </c>
      <c r="C636" s="258">
        <v>41.5</v>
      </c>
      <c r="D636" s="212">
        <v>75868.649999999994</v>
      </c>
      <c r="E636">
        <v>47</v>
      </c>
      <c r="F636">
        <v>17.860298</v>
      </c>
      <c r="G636" s="90">
        <f>'Proposed Rates'!$O$28/100</f>
        <v>-0.3</v>
      </c>
      <c r="H636" s="212">
        <f t="shared" si="75"/>
        <v>61149.506548616802</v>
      </c>
      <c r="I636" s="212">
        <f t="shared" si="72"/>
        <v>1355036.6978576998</v>
      </c>
    </row>
    <row r="637" spans="1:9" outlineLevel="2" x14ac:dyDescent="0.25">
      <c r="A637">
        <v>38400</v>
      </c>
      <c r="B637">
        <v>1981</v>
      </c>
      <c r="C637" s="258">
        <v>42.5</v>
      </c>
      <c r="D637" s="212">
        <v>64988.36</v>
      </c>
      <c r="E637">
        <v>47</v>
      </c>
      <c r="F637">
        <v>17.335142000000001</v>
      </c>
      <c r="G637" s="90">
        <f>'Proposed Rates'!$O$28/100</f>
        <v>-0.3</v>
      </c>
      <c r="H637" s="212">
        <f t="shared" si="75"/>
        <v>53324.076858909451</v>
      </c>
      <c r="I637" s="212">
        <f t="shared" si="72"/>
        <v>1126582.44894712</v>
      </c>
    </row>
    <row r="638" spans="1:9" outlineLevel="2" x14ac:dyDescent="0.25">
      <c r="A638">
        <v>38400</v>
      </c>
      <c r="B638">
        <v>1980</v>
      </c>
      <c r="C638" s="258">
        <v>43.5</v>
      </c>
      <c r="D638" s="212">
        <v>70727.09</v>
      </c>
      <c r="E638">
        <v>47</v>
      </c>
      <c r="F638">
        <v>16.820936</v>
      </c>
      <c r="G638" s="90">
        <f>'Proposed Rates'!$O$28/100</f>
        <v>-0.3</v>
      </c>
      <c r="H638" s="212">
        <f t="shared" si="75"/>
        <v>59038.735922061445</v>
      </c>
      <c r="I638" s="212">
        <f t="shared" si="72"/>
        <v>1189695.85435624</v>
      </c>
    </row>
    <row r="639" spans="1:9" outlineLevel="2" x14ac:dyDescent="0.25">
      <c r="A639">
        <v>38400</v>
      </c>
      <c r="B639">
        <v>1979</v>
      </c>
      <c r="C639" s="258">
        <v>44.5</v>
      </c>
      <c r="D639" s="212">
        <v>39274.400000000001</v>
      </c>
      <c r="E639">
        <v>47</v>
      </c>
      <c r="F639">
        <v>16.317761000000001</v>
      </c>
      <c r="G639" s="90">
        <f>'Proposed Rates'!$O$28/100</f>
        <v>-0.3</v>
      </c>
      <c r="H639" s="212">
        <f t="shared" si="75"/>
        <v>33330.520970129357</v>
      </c>
      <c r="I639" s="212">
        <f t="shared" si="72"/>
        <v>640870.27261840005</v>
      </c>
    </row>
    <row r="640" spans="1:9" outlineLevel="2" x14ac:dyDescent="0.25">
      <c r="A640">
        <v>38400</v>
      </c>
      <c r="B640">
        <v>1978</v>
      </c>
      <c r="C640" s="258">
        <v>45.5</v>
      </c>
      <c r="D640" s="212">
        <v>40674.449999999997</v>
      </c>
      <c r="E640">
        <v>47</v>
      </c>
      <c r="F640">
        <v>15.825683</v>
      </c>
      <c r="G640" s="90">
        <f>'Proposed Rates'!$O$28/100</f>
        <v>-0.3</v>
      </c>
      <c r="H640" s="212">
        <f t="shared" si="75"/>
        <v>35072.290585762661</v>
      </c>
      <c r="I640" s="212">
        <f t="shared" ref="I640:I703" si="78">+D640*F640</f>
        <v>643700.95189934992</v>
      </c>
    </row>
    <row r="641" spans="1:9" outlineLevel="2" x14ac:dyDescent="0.25">
      <c r="A641">
        <v>38400</v>
      </c>
      <c r="B641">
        <v>1977</v>
      </c>
      <c r="C641" s="258">
        <v>46.5</v>
      </c>
      <c r="D641" s="212">
        <v>28484.48</v>
      </c>
      <c r="E641">
        <v>47</v>
      </c>
      <c r="F641">
        <v>15.34474</v>
      </c>
      <c r="G641" s="90">
        <f>'Proposed Rates'!$O$28/100</f>
        <v>-0.3</v>
      </c>
      <c r="H641" s="212">
        <f t="shared" si="75"/>
        <v>24940.185244132765</v>
      </c>
      <c r="I641" s="212">
        <f t="shared" si="78"/>
        <v>437086.93963519996</v>
      </c>
    </row>
    <row r="642" spans="1:9" outlineLevel="2" x14ac:dyDescent="0.25">
      <c r="A642">
        <v>38400</v>
      </c>
      <c r="B642">
        <v>1976</v>
      </c>
      <c r="C642" s="258">
        <v>47.5</v>
      </c>
      <c r="D642" s="212">
        <v>25776.54</v>
      </c>
      <c r="E642">
        <v>47</v>
      </c>
      <c r="F642">
        <v>14.875076999999999</v>
      </c>
      <c r="G642" s="90">
        <f>'Proposed Rates'!$O$28/100</f>
        <v>-0.3</v>
      </c>
      <c r="H642" s="212">
        <f t="shared" si="75"/>
        <v>22904.046202518002</v>
      </c>
      <c r="I642" s="212">
        <f t="shared" si="78"/>
        <v>383428.01729357999</v>
      </c>
    </row>
    <row r="643" spans="1:9" outlineLevel="2" x14ac:dyDescent="0.25">
      <c r="A643">
        <v>38400</v>
      </c>
      <c r="B643">
        <v>1975</v>
      </c>
      <c r="C643" s="258">
        <v>48.5</v>
      </c>
      <c r="D643" s="212">
        <v>28854.75</v>
      </c>
      <c r="E643">
        <v>47</v>
      </c>
      <c r="F643">
        <v>14.416644</v>
      </c>
      <c r="G643" s="90">
        <f>'Proposed Rates'!$O$28/100</f>
        <v>-0.3</v>
      </c>
      <c r="H643" s="212">
        <f t="shared" si="75"/>
        <v>26005.105723474469</v>
      </c>
      <c r="I643" s="212">
        <f t="shared" si="78"/>
        <v>415988.658459</v>
      </c>
    </row>
    <row r="644" spans="1:9" outlineLevel="2" x14ac:dyDescent="0.25">
      <c r="A644">
        <v>38400</v>
      </c>
      <c r="B644">
        <v>1974</v>
      </c>
      <c r="C644" s="258">
        <v>49.5</v>
      </c>
      <c r="D644" s="212">
        <v>23369.85</v>
      </c>
      <c r="E644">
        <v>47</v>
      </c>
      <c r="F644">
        <v>13.969262000000001</v>
      </c>
      <c r="G644" s="90">
        <f>'Proposed Rates'!$O$28/100</f>
        <v>-0.3</v>
      </c>
      <c r="H644" s="212">
        <f t="shared" si="75"/>
        <v>21351.072557108295</v>
      </c>
      <c r="I644" s="212">
        <f t="shared" si="78"/>
        <v>326459.55755069997</v>
      </c>
    </row>
    <row r="645" spans="1:9" outlineLevel="2" x14ac:dyDescent="0.25">
      <c r="A645">
        <v>38400</v>
      </c>
      <c r="B645">
        <v>1973</v>
      </c>
      <c r="C645" s="258">
        <v>50.5</v>
      </c>
      <c r="D645" s="212">
        <v>38660.97</v>
      </c>
      <c r="E645">
        <v>47</v>
      </c>
      <c r="F645">
        <v>13.53285</v>
      </c>
      <c r="G645" s="90">
        <f>'Proposed Rates'!$O$28/100</f>
        <v>-0.3</v>
      </c>
      <c r="H645" s="212">
        <f t="shared" si="75"/>
        <v>35787.962271832985</v>
      </c>
      <c r="I645" s="212">
        <f t="shared" si="78"/>
        <v>523193.10786450002</v>
      </c>
    </row>
    <row r="646" spans="1:9" outlineLevel="2" x14ac:dyDescent="0.25">
      <c r="A646">
        <v>38400</v>
      </c>
      <c r="B646">
        <v>1972</v>
      </c>
      <c r="C646" s="258">
        <v>51.5</v>
      </c>
      <c r="D646" s="212">
        <v>12165.82</v>
      </c>
      <c r="E646">
        <v>47</v>
      </c>
      <c r="F646">
        <v>13.107293</v>
      </c>
      <c r="G646" s="90">
        <f>'Proposed Rates'!$O$28/100</f>
        <v>-0.3</v>
      </c>
      <c r="H646" s="212">
        <f t="shared" si="75"/>
        <v>11404.943499514085</v>
      </c>
      <c r="I646" s="212">
        <f t="shared" si="78"/>
        <v>159460.96732525999</v>
      </c>
    </row>
    <row r="647" spans="1:9" outlineLevel="2" x14ac:dyDescent="0.25">
      <c r="A647">
        <v>38400</v>
      </c>
      <c r="B647">
        <v>1971</v>
      </c>
      <c r="C647" s="258">
        <v>52.5</v>
      </c>
      <c r="D647" s="212">
        <v>13928.55</v>
      </c>
      <c r="E647">
        <v>47</v>
      </c>
      <c r="F647">
        <v>12.692432999999999</v>
      </c>
      <c r="G647" s="90">
        <f>'Proposed Rates'!$O$28/100</f>
        <v>-0.3</v>
      </c>
      <c r="H647" s="212">
        <f t="shared" si="75"/>
        <v>13217.256617855424</v>
      </c>
      <c r="I647" s="212">
        <f t="shared" si="78"/>
        <v>176787.18766214998</v>
      </c>
    </row>
    <row r="648" spans="1:9" outlineLevel="2" x14ac:dyDescent="0.25">
      <c r="A648">
        <v>38400</v>
      </c>
      <c r="B648">
        <v>1970</v>
      </c>
      <c r="C648" s="258">
        <v>53.5</v>
      </c>
      <c r="D648" s="212">
        <v>6544.32</v>
      </c>
      <c r="E648">
        <v>47</v>
      </c>
      <c r="F648">
        <v>12.288080000000001</v>
      </c>
      <c r="G648" s="90">
        <f>'Proposed Rates'!$O$28/100</f>
        <v>-0.3</v>
      </c>
      <c r="H648" s="212">
        <f t="shared" si="75"/>
        <v>6283.3124677174465</v>
      </c>
      <c r="I648" s="212">
        <f t="shared" si="78"/>
        <v>80417.127705599996</v>
      </c>
    </row>
    <row r="649" spans="1:9" outlineLevel="2" x14ac:dyDescent="0.25">
      <c r="A649">
        <v>38400</v>
      </c>
      <c r="B649">
        <v>1969</v>
      </c>
      <c r="C649" s="258">
        <v>54.5</v>
      </c>
      <c r="D649" s="212">
        <v>6340.25</v>
      </c>
      <c r="E649">
        <v>47</v>
      </c>
      <c r="F649">
        <v>11.894005</v>
      </c>
      <c r="G649" s="90">
        <f>'Proposed Rates'!$O$28/100</f>
        <v>-0.3</v>
      </c>
      <c r="H649" s="212">
        <f t="shared" si="75"/>
        <v>6156.4897923058516</v>
      </c>
      <c r="I649" s="212">
        <f t="shared" si="78"/>
        <v>75410.965201250001</v>
      </c>
    </row>
    <row r="650" spans="1:9" outlineLevel="2" x14ac:dyDescent="0.25">
      <c r="A650">
        <v>38400</v>
      </c>
      <c r="B650">
        <v>1968</v>
      </c>
      <c r="C650" s="258">
        <v>55.5</v>
      </c>
      <c r="D650" s="212">
        <v>2622.74</v>
      </c>
      <c r="E650">
        <v>47</v>
      </c>
      <c r="F650">
        <v>11.509881</v>
      </c>
      <c r="G650" s="90">
        <f>'Proposed Rates'!$O$28/100</f>
        <v>-0.3</v>
      </c>
      <c r="H650" s="212">
        <f t="shared" si="75"/>
        <v>2574.5906620825103</v>
      </c>
      <c r="I650" s="212">
        <f t="shared" si="78"/>
        <v>30187.425293939996</v>
      </c>
    </row>
    <row r="651" spans="1:9" outlineLevel="2" x14ac:dyDescent="0.25">
      <c r="A651">
        <v>38400</v>
      </c>
      <c r="B651">
        <v>1967</v>
      </c>
      <c r="C651" s="258">
        <v>56.5</v>
      </c>
      <c r="D651" s="212">
        <v>4619.18</v>
      </c>
      <c r="E651">
        <v>47</v>
      </c>
      <c r="F651">
        <v>11.135322</v>
      </c>
      <c r="G651" s="90">
        <f>'Proposed Rates'!$O$28/100</f>
        <v>-0.3</v>
      </c>
      <c r="H651" s="212">
        <f t="shared" si="75"/>
        <v>4582.234560026639</v>
      </c>
      <c r="I651" s="212">
        <f t="shared" si="78"/>
        <v>51436.056675960004</v>
      </c>
    </row>
    <row r="652" spans="1:9" outlineLevel="2" x14ac:dyDescent="0.25">
      <c r="A652">
        <v>38400</v>
      </c>
      <c r="B652">
        <v>1966</v>
      </c>
      <c r="C652" s="258">
        <v>57.5</v>
      </c>
      <c r="D652" s="212">
        <v>4903.5600000000004</v>
      </c>
      <c r="E652">
        <v>47</v>
      </c>
      <c r="F652">
        <v>10.769989000000001</v>
      </c>
      <c r="G652" s="90">
        <f>'Proposed Rates'!$O$28/100</f>
        <v>-0.3</v>
      </c>
      <c r="H652" s="212">
        <f t="shared" si="75"/>
        <v>4913.8902672533623</v>
      </c>
      <c r="I652" s="212">
        <f t="shared" si="78"/>
        <v>52811.287260840007</v>
      </c>
    </row>
    <row r="653" spans="1:9" outlineLevel="2" x14ac:dyDescent="0.25">
      <c r="A653">
        <v>38400</v>
      </c>
      <c r="B653">
        <v>1965</v>
      </c>
      <c r="C653" s="258">
        <v>58.5</v>
      </c>
      <c r="D653" s="212">
        <v>3694.46</v>
      </c>
      <c r="E653">
        <v>47</v>
      </c>
      <c r="F653">
        <v>10.413481000000001</v>
      </c>
      <c r="G653" s="90">
        <f>'Proposed Rates'!$O$28/100</f>
        <v>-0.3</v>
      </c>
      <c r="H653" s="212">
        <f t="shared" si="75"/>
        <v>3738.6736229821699</v>
      </c>
      <c r="I653" s="212">
        <f t="shared" si="78"/>
        <v>38472.189015260003</v>
      </c>
    </row>
    <row r="654" spans="1:9" outlineLevel="2" x14ac:dyDescent="0.25">
      <c r="A654">
        <v>38400</v>
      </c>
      <c r="B654">
        <v>1964</v>
      </c>
      <c r="C654" s="258">
        <v>59.5</v>
      </c>
      <c r="D654" s="212">
        <v>4963.21</v>
      </c>
      <c r="E654">
        <v>47</v>
      </c>
      <c r="F654">
        <v>10.065353999999999</v>
      </c>
      <c r="G654" s="90">
        <f>'Proposed Rates'!$O$28/100</f>
        <v>-0.3</v>
      </c>
      <c r="H654" s="212">
        <f t="shared" si="75"/>
        <v>5070.3984188459153</v>
      </c>
      <c r="I654" s="212">
        <f t="shared" si="78"/>
        <v>49956.465626339996</v>
      </c>
    </row>
    <row r="655" spans="1:9" outlineLevel="2" x14ac:dyDescent="0.25">
      <c r="A655">
        <v>38400</v>
      </c>
      <c r="B655">
        <v>1963</v>
      </c>
      <c r="C655" s="258">
        <v>60.5</v>
      </c>
      <c r="D655" s="212">
        <v>4372.3100000000004</v>
      </c>
      <c r="E655">
        <v>47</v>
      </c>
      <c r="F655">
        <v>9.7251550000000009</v>
      </c>
      <c r="G655" s="90">
        <f>'Proposed Rates'!$O$28/100</f>
        <v>-0.3</v>
      </c>
      <c r="H655" s="212">
        <f t="shared" si="75"/>
        <v>4507.8793788198936</v>
      </c>
      <c r="I655" s="212">
        <f t="shared" si="78"/>
        <v>42521.39245805001</v>
      </c>
    </row>
    <row r="656" spans="1:9" outlineLevel="2" x14ac:dyDescent="0.25">
      <c r="A656">
        <v>38400</v>
      </c>
      <c r="B656">
        <v>1962</v>
      </c>
      <c r="C656" s="258">
        <v>61.5</v>
      </c>
      <c r="D656" s="212">
        <v>30396.61</v>
      </c>
      <c r="E656">
        <v>47</v>
      </c>
      <c r="F656">
        <v>9.3925149999999995</v>
      </c>
      <c r="G656" s="90">
        <f>'Proposed Rates'!$O$28/100</f>
        <v>-0.3</v>
      </c>
      <c r="H656" s="212">
        <f t="shared" si="75"/>
        <v>31618.767468374579</v>
      </c>
      <c r="I656" s="212">
        <f t="shared" si="78"/>
        <v>285500.61537414999</v>
      </c>
    </row>
    <row r="657" spans="1:10" outlineLevel="2" x14ac:dyDescent="0.25">
      <c r="A657">
        <v>38400</v>
      </c>
      <c r="B657">
        <v>1961</v>
      </c>
      <c r="C657" s="258">
        <v>62.5</v>
      </c>
      <c r="D657" s="212">
        <v>5605.81</v>
      </c>
      <c r="E657">
        <v>47</v>
      </c>
      <c r="F657">
        <v>9.0666519999999995</v>
      </c>
      <c r="G657" s="90">
        <f>'Proposed Rates'!$O$28/100</f>
        <v>-0.3</v>
      </c>
      <c r="H657" s="212">
        <f t="shared" si="75"/>
        <v>5881.7294471796604</v>
      </c>
      <c r="I657" s="212">
        <f t="shared" si="78"/>
        <v>50825.928448120001</v>
      </c>
    </row>
    <row r="658" spans="1:10" outlineLevel="2" x14ac:dyDescent="0.25">
      <c r="A658">
        <v>38400</v>
      </c>
      <c r="B658">
        <v>1960</v>
      </c>
      <c r="C658" s="258">
        <v>63.5</v>
      </c>
      <c r="D658" s="212">
        <v>9552.76</v>
      </c>
      <c r="E658">
        <v>47</v>
      </c>
      <c r="F658">
        <v>8.74681</v>
      </c>
      <c r="G658" s="90">
        <f>'Proposed Rates'!$O$28/100</f>
        <v>-0.3</v>
      </c>
      <c r="H658" s="212">
        <f t="shared" si="75"/>
        <v>10107.459708419574</v>
      </c>
      <c r="I658" s="212">
        <f t="shared" si="78"/>
        <v>83556.176695600006</v>
      </c>
    </row>
    <row r="659" spans="1:10" outlineLevel="2" x14ac:dyDescent="0.25">
      <c r="A659">
        <v>38400</v>
      </c>
      <c r="B659">
        <v>1959</v>
      </c>
      <c r="C659" s="258">
        <v>64.5</v>
      </c>
      <c r="D659" s="212">
        <v>21695.01</v>
      </c>
      <c r="E659">
        <v>47</v>
      </c>
      <c r="F659">
        <v>8.4326819999999998</v>
      </c>
      <c r="G659" s="90">
        <f>'Proposed Rates'!$O$28/100</f>
        <v>-0.3</v>
      </c>
      <c r="H659" s="212">
        <f t="shared" si="75"/>
        <v>23143.273501875192</v>
      </c>
      <c r="I659" s="212">
        <f t="shared" si="78"/>
        <v>182947.12031681999</v>
      </c>
    </row>
    <row r="660" spans="1:10" outlineLevel="2" x14ac:dyDescent="0.25">
      <c r="A660">
        <v>38400</v>
      </c>
      <c r="B660">
        <v>1958</v>
      </c>
      <c r="C660" s="258">
        <v>65.5</v>
      </c>
      <c r="D660" s="212">
        <v>2829.11</v>
      </c>
      <c r="E660">
        <v>47</v>
      </c>
      <c r="F660">
        <v>8.1239070000000009</v>
      </c>
      <c r="G660" s="90">
        <f>'Proposed Rates'!$O$28/100</f>
        <v>-0.3</v>
      </c>
      <c r="H660" s="212">
        <f t="shared" ref="H660" si="79">+D660*(1-F660/E660)*(1-G660)</f>
        <v>3042.1312022850852</v>
      </c>
      <c r="I660" s="212">
        <f t="shared" ref="I660" si="80">+D660*F660</f>
        <v>22983.426532770005</v>
      </c>
    </row>
    <row r="661" spans="1:10" ht="13" outlineLevel="1" x14ac:dyDescent="0.3">
      <c r="A661" s="18" t="s">
        <v>1190</v>
      </c>
      <c r="C661" s="258"/>
      <c r="D661" s="212">
        <f>SUBTOTAL(9,D597:D660)</f>
        <v>38677154.929999985</v>
      </c>
      <c r="H661" s="212">
        <f>SUBTOTAL(9,H597:H660)</f>
        <v>9730566.1349499375</v>
      </c>
      <c r="I661" s="212">
        <f>SUBTOTAL(9,I597:I660)</f>
        <v>1466028890.6771944</v>
      </c>
      <c r="J661" s="212">
        <f>+I661/D661</f>
        <v>37.904258814550687</v>
      </c>
    </row>
    <row r="662" spans="1:10" outlineLevel="2" x14ac:dyDescent="0.25">
      <c r="A662">
        <v>38500</v>
      </c>
      <c r="B662">
        <v>2022</v>
      </c>
      <c r="C662" s="258">
        <v>1.5</v>
      </c>
      <c r="D662" s="212">
        <v>147096.76</v>
      </c>
      <c r="E662">
        <v>39</v>
      </c>
      <c r="F662">
        <v>37.586337</v>
      </c>
      <c r="G662" s="90">
        <f>'Proposed Rates'!$O$29/100</f>
        <v>0</v>
      </c>
      <c r="H662" s="212">
        <f t="shared" si="75"/>
        <v>5331.9294110738456</v>
      </c>
      <c r="I662" s="212">
        <f t="shared" si="78"/>
        <v>5528828.3929681201</v>
      </c>
    </row>
    <row r="663" spans="1:10" outlineLevel="2" x14ac:dyDescent="0.25">
      <c r="A663">
        <v>38500</v>
      </c>
      <c r="B663">
        <v>2021</v>
      </c>
      <c r="C663" s="258">
        <v>2.5</v>
      </c>
      <c r="D663" s="212">
        <v>9121.3799999999992</v>
      </c>
      <c r="E663">
        <v>39</v>
      </c>
      <c r="F663">
        <v>36.650075000000001</v>
      </c>
      <c r="G663" s="90">
        <f>'Proposed Rates'!$O$29/100</f>
        <v>0</v>
      </c>
      <c r="H663" s="212">
        <f t="shared" ref="H663" si="81">+D663*(1-F663/E663)*(1-G663)</f>
        <v>549.60407426923018</v>
      </c>
      <c r="I663" s="212">
        <f t="shared" ref="I663" si="82">+D663*F663</f>
        <v>334299.26110349997</v>
      </c>
    </row>
    <row r="664" spans="1:10" outlineLevel="2" x14ac:dyDescent="0.25">
      <c r="A664">
        <v>38500</v>
      </c>
      <c r="B664">
        <v>2020</v>
      </c>
      <c r="C664" s="258">
        <v>3.5</v>
      </c>
      <c r="D664" s="212">
        <v>74719.59</v>
      </c>
      <c r="E664">
        <v>39</v>
      </c>
      <c r="F664">
        <v>35.718960000000003</v>
      </c>
      <c r="G664" s="90">
        <f>'Proposed Rates'!$O$29/100</f>
        <v>0</v>
      </c>
      <c r="H664" s="212">
        <f t="shared" si="75"/>
        <v>6286.1016300923047</v>
      </c>
      <c r="I664" s="212">
        <f t="shared" si="78"/>
        <v>2668906.0464264001</v>
      </c>
    </row>
    <row r="665" spans="1:10" outlineLevel="2" x14ac:dyDescent="0.25">
      <c r="A665">
        <v>38500</v>
      </c>
      <c r="B665">
        <v>2019</v>
      </c>
      <c r="C665" s="258">
        <v>4.5</v>
      </c>
      <c r="D665" s="212">
        <v>5547454.9000000004</v>
      </c>
      <c r="E665">
        <v>39</v>
      </c>
      <c r="F665">
        <v>34.793787000000002</v>
      </c>
      <c r="G665" s="90">
        <f>'Proposed Rates'!$O$29/100</f>
        <v>0</v>
      </c>
      <c r="H665" s="212">
        <f t="shared" si="75"/>
        <v>598301.97223829955</v>
      </c>
      <c r="I665" s="212">
        <f t="shared" si="78"/>
        <v>193016964.18270633</v>
      </c>
    </row>
    <row r="666" spans="1:10" outlineLevel="2" x14ac:dyDescent="0.25">
      <c r="A666">
        <v>38500</v>
      </c>
      <c r="B666">
        <v>2018</v>
      </c>
      <c r="C666" s="258">
        <v>5.5</v>
      </c>
      <c r="D666" s="212">
        <v>394881.58</v>
      </c>
      <c r="E666">
        <v>39</v>
      </c>
      <c r="F666">
        <v>33.874457</v>
      </c>
      <c r="G666" s="90">
        <f>'Proposed Rates'!$O$29/100</f>
        <v>0</v>
      </c>
      <c r="H666" s="212">
        <f t="shared" ref="H666:H669" si="83">+D666*(1-F666/E666)*(1-G666)</f>
        <v>51896.98764610105</v>
      </c>
      <c r="I666" s="212">
        <f t="shared" ref="I666:I669" si="84">+D666*F666</f>
        <v>13376399.10180206</v>
      </c>
    </row>
    <row r="667" spans="1:10" outlineLevel="2" x14ac:dyDescent="0.25">
      <c r="A667">
        <v>38500</v>
      </c>
      <c r="B667">
        <v>2017</v>
      </c>
      <c r="C667" s="258">
        <v>6.5</v>
      </c>
      <c r="D667" s="212">
        <v>463.33</v>
      </c>
      <c r="E667">
        <v>39</v>
      </c>
      <c r="F667">
        <v>32.961762</v>
      </c>
      <c r="G667" s="90">
        <f>'Proposed Rates'!$O$29/100</f>
        <v>0</v>
      </c>
      <c r="H667" s="212">
        <f t="shared" si="83"/>
        <v>71.735815706153844</v>
      </c>
      <c r="I667" s="212">
        <f t="shared" si="84"/>
        <v>15272.173187459999</v>
      </c>
    </row>
    <row r="668" spans="1:10" outlineLevel="2" x14ac:dyDescent="0.25">
      <c r="A668">
        <v>38500</v>
      </c>
      <c r="B668">
        <v>2016</v>
      </c>
      <c r="C668" s="258">
        <v>7.5</v>
      </c>
      <c r="D668" s="212">
        <v>599736.89</v>
      </c>
      <c r="E668">
        <v>39</v>
      </c>
      <c r="F668">
        <v>32.055804999999999</v>
      </c>
      <c r="G668" s="90">
        <f>'Proposed Rates'!$O$29/100</f>
        <v>0</v>
      </c>
      <c r="H668" s="212">
        <f t="shared" si="83"/>
        <v>106786.92084239874</v>
      </c>
      <c r="I668" s="212">
        <f t="shared" si="84"/>
        <v>19225048.797146451</v>
      </c>
    </row>
    <row r="669" spans="1:10" outlineLevel="2" x14ac:dyDescent="0.25">
      <c r="A669">
        <v>38500</v>
      </c>
      <c r="B669">
        <v>2014</v>
      </c>
      <c r="C669" s="258">
        <v>9.5</v>
      </c>
      <c r="D669" s="212">
        <v>1327.53</v>
      </c>
      <c r="E669">
        <v>39</v>
      </c>
      <c r="F669">
        <v>30.266131999999999</v>
      </c>
      <c r="G669" s="90">
        <f>'Proposed Rates'!$O$29/100</f>
        <v>0</v>
      </c>
      <c r="H669" s="212">
        <f t="shared" si="83"/>
        <v>297.29414836000001</v>
      </c>
      <c r="I669" s="212">
        <f t="shared" si="84"/>
        <v>40179.19821396</v>
      </c>
    </row>
    <row r="670" spans="1:10" outlineLevel="2" x14ac:dyDescent="0.25">
      <c r="A670">
        <v>38500</v>
      </c>
      <c r="B670">
        <v>2013</v>
      </c>
      <c r="C670" s="258">
        <v>10.5</v>
      </c>
      <c r="D670" s="212">
        <v>102723.49</v>
      </c>
      <c r="E670">
        <v>39</v>
      </c>
      <c r="F670">
        <v>29.383009999999999</v>
      </c>
      <c r="G670" s="90">
        <f>'Proposed Rates'!$O$29/100</f>
        <v>0</v>
      </c>
      <c r="H670" s="212">
        <f t="shared" si="75"/>
        <v>25330.532720387189</v>
      </c>
      <c r="I670" s="212">
        <f t="shared" si="78"/>
        <v>3018325.3339049001</v>
      </c>
    </row>
    <row r="671" spans="1:10" outlineLevel="2" x14ac:dyDescent="0.25">
      <c r="A671">
        <v>38500</v>
      </c>
      <c r="B671">
        <v>2008</v>
      </c>
      <c r="C671" s="258">
        <v>15.5</v>
      </c>
      <c r="D671" s="212">
        <v>36582.050000000003</v>
      </c>
      <c r="E671">
        <v>39</v>
      </c>
      <c r="F671">
        <v>25.102713000000001</v>
      </c>
      <c r="G671" s="90">
        <f>'Proposed Rates'!$O$29/100</f>
        <v>0</v>
      </c>
      <c r="H671" s="212">
        <f t="shared" si="75"/>
        <v>13035.673023034615</v>
      </c>
      <c r="I671" s="212">
        <f t="shared" si="78"/>
        <v>918308.70210165007</v>
      </c>
    </row>
    <row r="672" spans="1:10" outlineLevel="2" x14ac:dyDescent="0.25">
      <c r="A672">
        <v>38500</v>
      </c>
      <c r="B672">
        <v>2007</v>
      </c>
      <c r="C672" s="258">
        <v>16.5</v>
      </c>
      <c r="D672" s="212">
        <v>100970.91</v>
      </c>
      <c r="E672">
        <v>39</v>
      </c>
      <c r="F672">
        <v>24.276204</v>
      </c>
      <c r="G672" s="90">
        <f>'Proposed Rates'!$O$29/100</f>
        <v>0</v>
      </c>
      <c r="H672" s="212">
        <f t="shared" si="75"/>
        <v>38119.873866009228</v>
      </c>
      <c r="I672" s="212">
        <f t="shared" si="78"/>
        <v>2451190.4092256399</v>
      </c>
    </row>
    <row r="673" spans="1:9" outlineLevel="2" x14ac:dyDescent="0.25">
      <c r="A673">
        <v>38500</v>
      </c>
      <c r="B673">
        <v>2006</v>
      </c>
      <c r="C673" s="258">
        <v>17.5</v>
      </c>
      <c r="D673" s="212">
        <v>426246.06</v>
      </c>
      <c r="E673">
        <v>39</v>
      </c>
      <c r="F673">
        <v>23.460222999999999</v>
      </c>
      <c r="G673" s="90">
        <f>'Proposed Rates'!$O$29/100</f>
        <v>0</v>
      </c>
      <c r="H673" s="212">
        <f t="shared" si="75"/>
        <v>169840.22357765696</v>
      </c>
      <c r="I673" s="212">
        <f t="shared" si="78"/>
        <v>9999827.6204713788</v>
      </c>
    </row>
    <row r="674" spans="1:9" outlineLevel="2" x14ac:dyDescent="0.25">
      <c r="A674">
        <v>38500</v>
      </c>
      <c r="B674">
        <v>2005</v>
      </c>
      <c r="C674" s="258">
        <v>18.5</v>
      </c>
      <c r="D674" s="212">
        <v>307717.42</v>
      </c>
      <c r="E674">
        <v>39</v>
      </c>
      <c r="F674">
        <v>22.655553000000001</v>
      </c>
      <c r="G674" s="90">
        <f>'Proposed Rates'!$O$29/100</f>
        <v>0</v>
      </c>
      <c r="H674" s="212">
        <f t="shared" si="75"/>
        <v>128960.79646581382</v>
      </c>
      <c r="I674" s="212">
        <f t="shared" si="78"/>
        <v>6971508.3178332597</v>
      </c>
    </row>
    <row r="675" spans="1:9" outlineLevel="2" x14ac:dyDescent="0.25">
      <c r="A675">
        <v>38500</v>
      </c>
      <c r="B675">
        <v>2004</v>
      </c>
      <c r="C675" s="258">
        <v>19.5</v>
      </c>
      <c r="D675" s="212">
        <v>176234.88</v>
      </c>
      <c r="E675">
        <v>39</v>
      </c>
      <c r="F675">
        <v>21.861743000000001</v>
      </c>
      <c r="G675" s="90">
        <f>'Proposed Rates'!$O$29/100</f>
        <v>0</v>
      </c>
      <c r="H675" s="212">
        <f t="shared" si="75"/>
        <v>77445.093994978466</v>
      </c>
      <c r="I675" s="212">
        <f t="shared" si="78"/>
        <v>3852801.65419584</v>
      </c>
    </row>
    <row r="676" spans="1:9" outlineLevel="2" x14ac:dyDescent="0.25">
      <c r="A676">
        <v>38500</v>
      </c>
      <c r="B676">
        <v>2003</v>
      </c>
      <c r="C676" s="258">
        <v>20.5</v>
      </c>
      <c r="D676" s="212">
        <v>600207.4</v>
      </c>
      <c r="E676">
        <v>39</v>
      </c>
      <c r="F676">
        <v>21.080269000000001</v>
      </c>
      <c r="G676" s="90">
        <f>'Proposed Rates'!$O$29/100</f>
        <v>0</v>
      </c>
      <c r="H676" s="212">
        <f t="shared" si="75"/>
        <v>275783.46544126666</v>
      </c>
      <c r="I676" s="212">
        <f t="shared" si="78"/>
        <v>12652533.4477906</v>
      </c>
    </row>
    <row r="677" spans="1:9" outlineLevel="2" x14ac:dyDescent="0.25">
      <c r="A677">
        <v>38500</v>
      </c>
      <c r="B677">
        <v>2002</v>
      </c>
      <c r="C677" s="258">
        <v>21.5</v>
      </c>
      <c r="D677" s="212">
        <v>212974.43</v>
      </c>
      <c r="E677">
        <v>39</v>
      </c>
      <c r="F677">
        <v>20.310316</v>
      </c>
      <c r="G677" s="90">
        <f>'Proposed Rates'!$O$29/100</f>
        <v>0</v>
      </c>
      <c r="H677" s="212">
        <f t="shared" si="75"/>
        <v>102062.17427641334</v>
      </c>
      <c r="I677" s="212">
        <f t="shared" si="78"/>
        <v>4325577.9732198799</v>
      </c>
    </row>
    <row r="678" spans="1:9" outlineLevel="2" x14ac:dyDescent="0.25">
      <c r="A678">
        <v>38500</v>
      </c>
      <c r="B678">
        <v>2001</v>
      </c>
      <c r="C678" s="258">
        <v>22.5</v>
      </c>
      <c r="D678" s="212">
        <v>68811.039999999994</v>
      </c>
      <c r="E678">
        <v>39</v>
      </c>
      <c r="F678">
        <v>19.553070000000002</v>
      </c>
      <c r="G678" s="90">
        <f>'Proposed Rates'!$O$29/100</f>
        <v>0</v>
      </c>
      <c r="H678" s="212">
        <f t="shared" si="75"/>
        <v>34311.884054030765</v>
      </c>
      <c r="I678" s="212">
        <f t="shared" si="78"/>
        <v>1345467.0818928001</v>
      </c>
    </row>
    <row r="679" spans="1:9" outlineLevel="2" x14ac:dyDescent="0.25">
      <c r="A679">
        <v>38500</v>
      </c>
      <c r="B679">
        <v>2000</v>
      </c>
      <c r="C679" s="258">
        <v>23.5</v>
      </c>
      <c r="D679" s="212">
        <v>695612.81</v>
      </c>
      <c r="E679">
        <v>39</v>
      </c>
      <c r="F679">
        <v>18.808411</v>
      </c>
      <c r="G679" s="90">
        <f>'Proposed Rates'!$O$29/100</f>
        <v>0</v>
      </c>
      <c r="H679" s="212">
        <f t="shared" si="75"/>
        <v>360141.74263218179</v>
      </c>
      <c r="I679" s="212">
        <f t="shared" si="78"/>
        <v>13083371.62734491</v>
      </c>
    </row>
    <row r="680" spans="1:9" outlineLevel="2" x14ac:dyDescent="0.25">
      <c r="A680">
        <v>38500</v>
      </c>
      <c r="B680">
        <v>1999</v>
      </c>
      <c r="C680" s="258">
        <v>24.5</v>
      </c>
      <c r="D680" s="212">
        <v>472881.47</v>
      </c>
      <c r="E680">
        <v>39</v>
      </c>
      <c r="F680">
        <v>18.076878000000001</v>
      </c>
      <c r="G680" s="90">
        <f>'Proposed Rates'!$O$29/100</f>
        <v>0</v>
      </c>
      <c r="H680" s="212">
        <f t="shared" si="75"/>
        <v>253696.32534229074</v>
      </c>
      <c r="I680" s="212">
        <f t="shared" si="78"/>
        <v>8548220.64165066</v>
      </c>
    </row>
    <row r="681" spans="1:9" outlineLevel="2" x14ac:dyDescent="0.25">
      <c r="A681">
        <v>38500</v>
      </c>
      <c r="B681">
        <v>1998</v>
      </c>
      <c r="C681" s="258">
        <v>25.5</v>
      </c>
      <c r="D681" s="212">
        <v>359267.11</v>
      </c>
      <c r="E681">
        <v>39</v>
      </c>
      <c r="F681">
        <v>17.359171</v>
      </c>
      <c r="G681" s="90">
        <f>'Proposed Rates'!$O$29/100</f>
        <v>0</v>
      </c>
      <c r="H681" s="212">
        <f t="shared" si="75"/>
        <v>199354.82289318438</v>
      </c>
      <c r="I681" s="212">
        <f t="shared" si="78"/>
        <v>6236579.1971658096</v>
      </c>
    </row>
    <row r="682" spans="1:9" outlineLevel="2" x14ac:dyDescent="0.25">
      <c r="A682">
        <v>38500</v>
      </c>
      <c r="B682">
        <v>1997</v>
      </c>
      <c r="C682" s="258">
        <v>26.5</v>
      </c>
      <c r="D682" s="212">
        <v>292567.28999999998</v>
      </c>
      <c r="E682">
        <v>39</v>
      </c>
      <c r="F682">
        <v>16.655111999999999</v>
      </c>
      <c r="G682" s="90">
        <f>'Proposed Rates'!$O$29/100</f>
        <v>0</v>
      </c>
      <c r="H682" s="212">
        <f t="shared" si="75"/>
        <v>167625.21352598767</v>
      </c>
      <c r="I682" s="212">
        <f t="shared" si="78"/>
        <v>4872740.982486479</v>
      </c>
    </row>
    <row r="683" spans="1:9" outlineLevel="2" x14ac:dyDescent="0.25">
      <c r="A683">
        <v>38500</v>
      </c>
      <c r="B683">
        <v>1996</v>
      </c>
      <c r="C683" s="258">
        <v>27.5</v>
      </c>
      <c r="D683" s="212">
        <v>238512.58</v>
      </c>
      <c r="E683">
        <v>39</v>
      </c>
      <c r="F683">
        <v>15.966365</v>
      </c>
      <c r="G683" s="90">
        <f>'Proposed Rates'!$O$29/100</f>
        <v>0</v>
      </c>
      <c r="H683" s="212">
        <f t="shared" si="75"/>
        <v>140866.9669391872</v>
      </c>
      <c r="I683" s="212">
        <f t="shared" si="78"/>
        <v>3808178.9093716997</v>
      </c>
    </row>
    <row r="684" spans="1:9" outlineLevel="2" x14ac:dyDescent="0.25">
      <c r="A684">
        <v>38500</v>
      </c>
      <c r="B684">
        <v>1995</v>
      </c>
      <c r="C684" s="258">
        <v>28.5</v>
      </c>
      <c r="D684" s="212">
        <v>207956.66</v>
      </c>
      <c r="E684">
        <v>39</v>
      </c>
      <c r="F684">
        <v>15.29224</v>
      </c>
      <c r="G684" s="90">
        <f>'Proposed Rates'!$O$29/100</f>
        <v>0</v>
      </c>
      <c r="H684" s="212">
        <f t="shared" si="75"/>
        <v>126415.04065850256</v>
      </c>
      <c r="I684" s="212">
        <f t="shared" si="78"/>
        <v>3180123.1543184002</v>
      </c>
    </row>
    <row r="685" spans="1:9" outlineLevel="2" x14ac:dyDescent="0.25">
      <c r="A685">
        <v>38500</v>
      </c>
      <c r="B685">
        <v>1994</v>
      </c>
      <c r="C685" s="258">
        <v>29.5</v>
      </c>
      <c r="D685" s="212">
        <v>656860</v>
      </c>
      <c r="E685">
        <v>39</v>
      </c>
      <c r="F685">
        <v>14.634646</v>
      </c>
      <c r="G685" s="90">
        <f>'Proposed Rates'!$O$29/100</f>
        <v>0</v>
      </c>
      <c r="H685" s="212">
        <f t="shared" ref="H685:H718" si="85">+D685*(1-F685/E685)*(1-G685)</f>
        <v>410375.03662666673</v>
      </c>
      <c r="I685" s="212">
        <f t="shared" si="78"/>
        <v>9612913.5715599991</v>
      </c>
    </row>
    <row r="686" spans="1:9" outlineLevel="2" x14ac:dyDescent="0.25">
      <c r="A686">
        <v>38500</v>
      </c>
      <c r="B686">
        <v>1993</v>
      </c>
      <c r="C686" s="258">
        <v>30.5</v>
      </c>
      <c r="D686" s="212">
        <v>352865.07</v>
      </c>
      <c r="E686">
        <v>39</v>
      </c>
      <c r="F686">
        <v>13.993316999999999</v>
      </c>
      <c r="G686" s="90">
        <f>'Proposed Rates'!$O$29/100</f>
        <v>0</v>
      </c>
      <c r="H686" s="212">
        <f t="shared" si="85"/>
        <v>226256.02428879001</v>
      </c>
      <c r="I686" s="212">
        <f t="shared" si="78"/>
        <v>4937752.7827371899</v>
      </c>
    </row>
    <row r="687" spans="1:9" outlineLevel="2" x14ac:dyDescent="0.25">
      <c r="A687">
        <v>38500</v>
      </c>
      <c r="B687">
        <v>1992</v>
      </c>
      <c r="C687" s="258">
        <v>31.5</v>
      </c>
      <c r="D687" s="212">
        <v>234841.1</v>
      </c>
      <c r="E687">
        <v>39</v>
      </c>
      <c r="F687">
        <v>13.369560999999999</v>
      </c>
      <c r="G687" s="90">
        <f>'Proposed Rates'!$O$29/100</f>
        <v>0</v>
      </c>
      <c r="H687" s="212">
        <f t="shared" si="85"/>
        <v>154335.39713443335</v>
      </c>
      <c r="I687" s="212">
        <f t="shared" si="78"/>
        <v>3139722.4117570999</v>
      </c>
    </row>
    <row r="688" spans="1:9" outlineLevel="2" x14ac:dyDescent="0.25">
      <c r="A688">
        <v>38500</v>
      </c>
      <c r="B688">
        <v>1991</v>
      </c>
      <c r="C688" s="258">
        <v>32.5</v>
      </c>
      <c r="D688" s="212">
        <v>328532.15999999997</v>
      </c>
      <c r="E688">
        <v>39</v>
      </c>
      <c r="F688">
        <v>12.764093000000001</v>
      </c>
      <c r="G688" s="90">
        <f>'Proposed Rates'!$O$29/100</f>
        <v>0</v>
      </c>
      <c r="H688" s="212">
        <f t="shared" si="85"/>
        <v>221008.6973402338</v>
      </c>
      <c r="I688" s="212">
        <f t="shared" si="78"/>
        <v>4193415.0437308801</v>
      </c>
    </row>
    <row r="689" spans="1:9" outlineLevel="2" x14ac:dyDescent="0.25">
      <c r="A689">
        <v>38500</v>
      </c>
      <c r="B689">
        <v>1990</v>
      </c>
      <c r="C689" s="258">
        <v>33.5</v>
      </c>
      <c r="D689" s="212">
        <v>660172.68999999994</v>
      </c>
      <c r="E689">
        <v>39</v>
      </c>
      <c r="F689">
        <v>12.17731</v>
      </c>
      <c r="G689" s="90">
        <f>'Proposed Rates'!$O$29/100</f>
        <v>0</v>
      </c>
      <c r="H689" s="212">
        <f t="shared" si="85"/>
        <v>454041.21564964356</v>
      </c>
      <c r="I689" s="212">
        <f t="shared" si="78"/>
        <v>8039127.4996638997</v>
      </c>
    </row>
    <row r="690" spans="1:9" outlineLevel="2" x14ac:dyDescent="0.25">
      <c r="A690">
        <v>38500</v>
      </c>
      <c r="B690">
        <v>1989</v>
      </c>
      <c r="C690" s="258">
        <v>34.5</v>
      </c>
      <c r="D690" s="212">
        <v>269563.17</v>
      </c>
      <c r="E690">
        <v>39</v>
      </c>
      <c r="F690">
        <v>11.610889999999999</v>
      </c>
      <c r="G690" s="90">
        <f>'Proposed Rates'!$O$29/100</f>
        <v>0</v>
      </c>
      <c r="H690" s="212">
        <f t="shared" si="85"/>
        <v>189310.13628406922</v>
      </c>
      <c r="I690" s="212">
        <f t="shared" si="78"/>
        <v>3129868.3149212995</v>
      </c>
    </row>
    <row r="691" spans="1:9" outlineLevel="2" x14ac:dyDescent="0.25">
      <c r="A691">
        <v>38500</v>
      </c>
      <c r="B691">
        <v>1988</v>
      </c>
      <c r="C691" s="258">
        <v>35.5</v>
      </c>
      <c r="D691" s="212">
        <v>502416.81</v>
      </c>
      <c r="E691">
        <v>39</v>
      </c>
      <c r="F691">
        <v>11.064299999999999</v>
      </c>
      <c r="G691" s="90">
        <f>'Proposed Rates'!$O$29/100</f>
        <v>0</v>
      </c>
      <c r="H691" s="212">
        <f t="shared" si="85"/>
        <v>359881.16100299999</v>
      </c>
      <c r="I691" s="212">
        <f t="shared" si="78"/>
        <v>5558890.3108829996</v>
      </c>
    </row>
    <row r="692" spans="1:9" outlineLevel="2" x14ac:dyDescent="0.25">
      <c r="A692">
        <v>38500</v>
      </c>
      <c r="B692">
        <v>1987</v>
      </c>
      <c r="C692" s="258">
        <v>36.5</v>
      </c>
      <c r="D692" s="212">
        <v>229133.04</v>
      </c>
      <c r="E692">
        <v>39</v>
      </c>
      <c r="F692">
        <v>10.539731</v>
      </c>
      <c r="G692" s="90">
        <f>'Proposed Rates'!$O$29/100</f>
        <v>0</v>
      </c>
      <c r="H692" s="212">
        <f t="shared" si="85"/>
        <v>167209.94756891695</v>
      </c>
      <c r="I692" s="212">
        <f t="shared" si="78"/>
        <v>2415000.6048122402</v>
      </c>
    </row>
    <row r="693" spans="1:9" outlineLevel="2" x14ac:dyDescent="0.25">
      <c r="A693">
        <v>38500</v>
      </c>
      <c r="B693">
        <v>1986</v>
      </c>
      <c r="C693" s="258">
        <v>37.5</v>
      </c>
      <c r="D693" s="212">
        <v>354147.05</v>
      </c>
      <c r="E693">
        <v>39</v>
      </c>
      <c r="F693">
        <v>10.036345000000001</v>
      </c>
      <c r="G693" s="90">
        <f>'Proposed Rates'!$O$29/100</f>
        <v>0</v>
      </c>
      <c r="H693" s="212">
        <f t="shared" si="85"/>
        <v>263010.07629404485</v>
      </c>
      <c r="I693" s="212">
        <f t="shared" si="78"/>
        <v>3554341.9745322503</v>
      </c>
    </row>
    <row r="694" spans="1:9" outlineLevel="2" x14ac:dyDescent="0.25">
      <c r="A694">
        <v>38500</v>
      </c>
      <c r="B694">
        <v>1985</v>
      </c>
      <c r="C694" s="258">
        <v>38.5</v>
      </c>
      <c r="D694" s="212">
        <v>176580.69</v>
      </c>
      <c r="E694">
        <v>39</v>
      </c>
      <c r="F694">
        <v>9.5554400000000008</v>
      </c>
      <c r="G694" s="90">
        <f>'Proposed Rates'!$O$29/100</f>
        <v>0</v>
      </c>
      <c r="H694" s="212">
        <f t="shared" si="85"/>
        <v>133316.42875759999</v>
      </c>
      <c r="I694" s="212">
        <f t="shared" si="78"/>
        <v>1687306.1884536003</v>
      </c>
    </row>
    <row r="695" spans="1:9" outlineLevel="2" x14ac:dyDescent="0.25">
      <c r="A695">
        <v>38500</v>
      </c>
      <c r="B695">
        <v>1984</v>
      </c>
      <c r="C695" s="258">
        <v>39.5</v>
      </c>
      <c r="D695" s="212">
        <v>114096.57</v>
      </c>
      <c r="E695">
        <v>39</v>
      </c>
      <c r="F695">
        <v>9.0968210000000003</v>
      </c>
      <c r="G695" s="90">
        <f>'Proposed Rates'!$O$29/100</f>
        <v>0</v>
      </c>
      <c r="H695" s="212">
        <f t="shared" si="85"/>
        <v>87483.337333231553</v>
      </c>
      <c r="I695" s="212">
        <f t="shared" si="78"/>
        <v>1037916.0740039701</v>
      </c>
    </row>
    <row r="696" spans="1:9" outlineLevel="2" x14ac:dyDescent="0.25">
      <c r="A696">
        <v>38500</v>
      </c>
      <c r="B696">
        <v>1983</v>
      </c>
      <c r="C696" s="258">
        <v>40.5</v>
      </c>
      <c r="D696" s="212">
        <v>88578.93</v>
      </c>
      <c r="E696">
        <v>39</v>
      </c>
      <c r="F696">
        <v>8.6605899999999991</v>
      </c>
      <c r="G696" s="90">
        <f>'Proposed Rates'!$O$29/100</f>
        <v>0</v>
      </c>
      <c r="H696" s="212">
        <f t="shared" si="85"/>
        <v>68908.524990546153</v>
      </c>
      <c r="I696" s="212">
        <f t="shared" si="78"/>
        <v>767145.79536869982</v>
      </c>
    </row>
    <row r="697" spans="1:9" outlineLevel="2" x14ac:dyDescent="0.25">
      <c r="A697">
        <v>38500</v>
      </c>
      <c r="B697">
        <v>1982</v>
      </c>
      <c r="C697" s="258">
        <v>41.5</v>
      </c>
      <c r="D697" s="212">
        <v>86063.71</v>
      </c>
      <c r="E697">
        <v>39</v>
      </c>
      <c r="F697">
        <v>8.2467729999999992</v>
      </c>
      <c r="G697" s="90">
        <f>'Proposed Rates'!$O$29/100</f>
        <v>0</v>
      </c>
      <c r="H697" s="212">
        <f t="shared" si="85"/>
        <v>67865.046412619748</v>
      </c>
      <c r="I697" s="212">
        <f t="shared" si="78"/>
        <v>709747.87990783004</v>
      </c>
    </row>
    <row r="698" spans="1:9" outlineLevel="2" x14ac:dyDescent="0.25">
      <c r="A698">
        <v>38500</v>
      </c>
      <c r="B698">
        <v>1981</v>
      </c>
      <c r="C698" s="258">
        <v>42.5</v>
      </c>
      <c r="D698" s="212">
        <v>29721.03</v>
      </c>
      <c r="E698">
        <v>39</v>
      </c>
      <c r="F698">
        <v>7.8546610000000001</v>
      </c>
      <c r="G698" s="90">
        <f>'Proposed Rates'!$O$29/100</f>
        <v>0</v>
      </c>
      <c r="H698" s="212">
        <f t="shared" si="85"/>
        <v>23735.168071260767</v>
      </c>
      <c r="I698" s="212">
        <f t="shared" si="78"/>
        <v>233448.61522082999</v>
      </c>
    </row>
    <row r="699" spans="1:9" outlineLevel="2" x14ac:dyDescent="0.25">
      <c r="A699">
        <v>38500</v>
      </c>
      <c r="B699">
        <v>1980</v>
      </c>
      <c r="C699" s="258">
        <v>43.5</v>
      </c>
      <c r="D699" s="212">
        <v>4431.1899999999996</v>
      </c>
      <c r="E699">
        <v>39</v>
      </c>
      <c r="F699">
        <v>7.4837939999999996</v>
      </c>
      <c r="G699" s="90">
        <f>'Proposed Rates'!$O$29/100</f>
        <v>0</v>
      </c>
      <c r="H699" s="212">
        <f t="shared" si="85"/>
        <v>3580.8794067984618</v>
      </c>
      <c r="I699" s="212">
        <f t="shared" si="78"/>
        <v>33162.113134859996</v>
      </c>
    </row>
    <row r="700" spans="1:9" outlineLevel="2" x14ac:dyDescent="0.25">
      <c r="A700">
        <v>38500</v>
      </c>
      <c r="B700">
        <v>1979</v>
      </c>
      <c r="C700" s="258">
        <v>44.5</v>
      </c>
      <c r="D700" s="212">
        <v>301.47000000000003</v>
      </c>
      <c r="E700">
        <v>39</v>
      </c>
      <c r="F700">
        <v>7.1332409999999999</v>
      </c>
      <c r="G700" s="90">
        <f>'Proposed Rates'!$O$29/100</f>
        <v>0</v>
      </c>
      <c r="H700" s="212">
        <f t="shared" si="85"/>
        <v>246.33004707000001</v>
      </c>
      <c r="I700" s="212">
        <f t="shared" si="78"/>
        <v>2150.45816427</v>
      </c>
    </row>
    <row r="701" spans="1:9" outlineLevel="2" x14ac:dyDescent="0.25">
      <c r="A701">
        <v>38500</v>
      </c>
      <c r="B701">
        <v>1977</v>
      </c>
      <c r="C701" s="258">
        <v>46.5</v>
      </c>
      <c r="D701" s="212">
        <v>6344.39</v>
      </c>
      <c r="E701">
        <v>39</v>
      </c>
      <c r="F701">
        <v>6.4876339999999999</v>
      </c>
      <c r="G701" s="90">
        <f>'Proposed Rates'!$O$29/100</f>
        <v>0</v>
      </c>
      <c r="H701" s="212">
        <f t="shared" si="85"/>
        <v>5289.0033263266669</v>
      </c>
      <c r="I701" s="212">
        <f t="shared" si="78"/>
        <v>41160.080273259999</v>
      </c>
    </row>
    <row r="702" spans="1:9" outlineLevel="2" x14ac:dyDescent="0.25">
      <c r="A702">
        <v>38500</v>
      </c>
      <c r="B702">
        <v>1976</v>
      </c>
      <c r="C702" s="258">
        <v>47.5</v>
      </c>
      <c r="D702" s="212">
        <v>1302.27</v>
      </c>
      <c r="E702">
        <v>39</v>
      </c>
      <c r="F702">
        <v>6.1897219999999997</v>
      </c>
      <c r="G702" s="90">
        <f>'Proposed Rates'!$O$29/100</f>
        <v>0</v>
      </c>
      <c r="H702" s="212">
        <f t="shared" si="85"/>
        <v>1095.5856597707693</v>
      </c>
      <c r="I702" s="212">
        <f t="shared" si="78"/>
        <v>8060.6892689399992</v>
      </c>
    </row>
    <row r="703" spans="1:9" outlineLevel="2" x14ac:dyDescent="0.25">
      <c r="A703">
        <v>38500</v>
      </c>
      <c r="B703">
        <v>1975</v>
      </c>
      <c r="C703" s="258">
        <v>48.5</v>
      </c>
      <c r="D703" s="212">
        <v>3536.71</v>
      </c>
      <c r="E703">
        <v>39</v>
      </c>
      <c r="F703">
        <v>5.905735</v>
      </c>
      <c r="G703" s="90">
        <f>'Proposed Rates'!$O$29/100</f>
        <v>0</v>
      </c>
      <c r="H703" s="212">
        <f t="shared" si="85"/>
        <v>3001.1491786705128</v>
      </c>
      <c r="I703" s="212">
        <f t="shared" si="78"/>
        <v>20886.872031850002</v>
      </c>
    </row>
    <row r="704" spans="1:9" outlineLevel="2" x14ac:dyDescent="0.25">
      <c r="A704">
        <v>38500</v>
      </c>
      <c r="B704">
        <v>1974</v>
      </c>
      <c r="C704" s="258">
        <v>49.5</v>
      </c>
      <c r="D704" s="212">
        <v>8987.32</v>
      </c>
      <c r="E704">
        <v>39</v>
      </c>
      <c r="F704">
        <v>5.6348770000000004</v>
      </c>
      <c r="G704" s="90">
        <f>'Proposed Rates'!$O$29/100</f>
        <v>0</v>
      </c>
      <c r="H704" s="212">
        <f t="shared" si="85"/>
        <v>7688.7958266758978</v>
      </c>
      <c r="I704" s="212">
        <f t="shared" ref="I704:I754" si="86">+D704*F704</f>
        <v>50642.442759639998</v>
      </c>
    </row>
    <row r="705" spans="1:10" outlineLevel="2" x14ac:dyDescent="0.25">
      <c r="A705">
        <v>38500</v>
      </c>
      <c r="B705">
        <v>1972</v>
      </c>
      <c r="C705" s="258">
        <v>51.5</v>
      </c>
      <c r="D705" s="212">
        <v>711.03</v>
      </c>
      <c r="E705">
        <v>39</v>
      </c>
      <c r="F705">
        <v>5.1217420000000002</v>
      </c>
      <c r="G705" s="90">
        <f>'Proposed Rates'!$O$29/100</f>
        <v>0</v>
      </c>
      <c r="H705" s="212">
        <f t="shared" si="85"/>
        <v>617.65276373692302</v>
      </c>
      <c r="I705" s="212">
        <f t="shared" si="86"/>
        <v>3641.7122142600001</v>
      </c>
    </row>
    <row r="706" spans="1:10" outlineLevel="2" x14ac:dyDescent="0.25">
      <c r="A706">
        <v>38500</v>
      </c>
      <c r="B706">
        <v>1971</v>
      </c>
      <c r="C706" s="258">
        <v>52.5</v>
      </c>
      <c r="D706" s="212">
        <v>6882.95</v>
      </c>
      <c r="E706">
        <v>39</v>
      </c>
      <c r="F706">
        <v>4.8754879999999998</v>
      </c>
      <c r="G706" s="90">
        <f>'Proposed Rates'!$O$29/100</f>
        <v>0</v>
      </c>
      <c r="H706" s="212">
        <f t="shared" si="85"/>
        <v>6022.4951248820507</v>
      </c>
      <c r="I706" s="212">
        <f t="shared" si="86"/>
        <v>33557.740129599995</v>
      </c>
    </row>
    <row r="707" spans="1:10" outlineLevel="2" x14ac:dyDescent="0.25">
      <c r="A707">
        <v>38500</v>
      </c>
      <c r="B707">
        <v>1970</v>
      </c>
      <c r="C707" s="258">
        <v>53.5</v>
      </c>
      <c r="D707" s="212">
        <v>5759.09</v>
      </c>
      <c r="E707">
        <v>39</v>
      </c>
      <c r="F707">
        <v>4.6365030000000003</v>
      </c>
      <c r="G707" s="90">
        <f>'Proposed Rates'!$O$29/100</f>
        <v>0</v>
      </c>
      <c r="H707" s="212">
        <f t="shared" si="85"/>
        <v>5074.4223573776926</v>
      </c>
      <c r="I707" s="212">
        <f t="shared" si="86"/>
        <v>26702.038062270003</v>
      </c>
    </row>
    <row r="708" spans="1:10" outlineLevel="2" x14ac:dyDescent="0.25">
      <c r="A708">
        <v>38500</v>
      </c>
      <c r="B708">
        <v>1969</v>
      </c>
      <c r="C708" s="258">
        <v>54.5</v>
      </c>
      <c r="D708" s="212">
        <v>930.64</v>
      </c>
      <c r="E708">
        <v>39</v>
      </c>
      <c r="F708">
        <v>4.401618</v>
      </c>
      <c r="G708" s="90">
        <f>'Proposed Rates'!$O$29/100</f>
        <v>0</v>
      </c>
      <c r="H708" s="212">
        <f t="shared" si="85"/>
        <v>825.60610831999998</v>
      </c>
      <c r="I708" s="212">
        <f t="shared" si="86"/>
        <v>4096.3217755200003</v>
      </c>
    </row>
    <row r="709" spans="1:10" ht="13" outlineLevel="1" x14ac:dyDescent="0.3">
      <c r="A709" s="18" t="s">
        <v>1191</v>
      </c>
      <c r="C709" s="258" t="s">
        <v>1229</v>
      </c>
      <c r="D709" s="212">
        <f>SUBTOTAL(9,D662:D708)</f>
        <v>15196826.639999999</v>
      </c>
      <c r="H709" s="212">
        <f>SUBTOTAL(9,H662:H708)</f>
        <v>5742690.4927719124</v>
      </c>
      <c r="I709" s="212">
        <f>SUBTOTAL(9,I662:I708)</f>
        <v>368711309.74189544</v>
      </c>
      <c r="J709" s="212">
        <f>+I709/D709</f>
        <v>24.262388357540377</v>
      </c>
    </row>
    <row r="710" spans="1:10" outlineLevel="2" x14ac:dyDescent="0.25">
      <c r="A710">
        <v>38700</v>
      </c>
      <c r="B710">
        <v>2022</v>
      </c>
      <c r="C710" s="258">
        <v>1.5</v>
      </c>
      <c r="D710" s="212">
        <v>506839.74</v>
      </c>
      <c r="E710">
        <v>27</v>
      </c>
      <c r="F710">
        <v>25.557400000000001</v>
      </c>
      <c r="G710" s="90">
        <f>'Proposed Rates'!$O$31/100</f>
        <v>0</v>
      </c>
      <c r="H710" s="212">
        <f t="shared" si="85"/>
        <v>27080.259589777765</v>
      </c>
      <c r="I710" s="212">
        <f t="shared" si="86"/>
        <v>12953505.971076</v>
      </c>
    </row>
    <row r="711" spans="1:10" outlineLevel="2" x14ac:dyDescent="0.25">
      <c r="A711">
        <v>38700</v>
      </c>
      <c r="B711">
        <v>2021</v>
      </c>
      <c r="C711" s="258">
        <v>2.5</v>
      </c>
      <c r="D711" s="212">
        <v>1821650.02</v>
      </c>
      <c r="E711">
        <v>27</v>
      </c>
      <c r="F711">
        <v>24.619824000000001</v>
      </c>
      <c r="G711" s="90">
        <f>'Proposed Rates'!$O$31/100</f>
        <v>0</v>
      </c>
      <c r="H711" s="212">
        <f t="shared" ref="H711:H715" si="87">+D711*(1-F711/E711)*(1-G711)</f>
        <v>160586.95029642654</v>
      </c>
      <c r="I711" s="212">
        <f t="shared" ref="I711:I715" si="88">+D711*F711</f>
        <v>44848702.881996483</v>
      </c>
    </row>
    <row r="712" spans="1:10" outlineLevel="2" x14ac:dyDescent="0.25">
      <c r="A712">
        <v>38700</v>
      </c>
      <c r="B712">
        <v>2020</v>
      </c>
      <c r="C712" s="258">
        <v>3.5</v>
      </c>
      <c r="D712" s="212">
        <v>984702.63</v>
      </c>
      <c r="E712">
        <v>27</v>
      </c>
      <c r="F712">
        <v>23.707391000000001</v>
      </c>
      <c r="G712" s="90">
        <f>'Proposed Rates'!$O$31/100</f>
        <v>0</v>
      </c>
      <c r="H712" s="212">
        <f t="shared" si="87"/>
        <v>120082.99043932105</v>
      </c>
      <c r="I712" s="212">
        <f t="shared" si="88"/>
        <v>23344730.26813833</v>
      </c>
    </row>
    <row r="713" spans="1:10" outlineLevel="2" x14ac:dyDescent="0.25">
      <c r="A713">
        <v>38700</v>
      </c>
      <c r="B713">
        <v>2019</v>
      </c>
      <c r="C713" s="258">
        <v>4.5</v>
      </c>
      <c r="D713" s="212">
        <v>1243321.68</v>
      </c>
      <c r="E713">
        <v>27</v>
      </c>
      <c r="F713">
        <v>22.824318000000002</v>
      </c>
      <c r="G713" s="90">
        <f>'Proposed Rates'!$O$31/100</f>
        <v>0</v>
      </c>
      <c r="H713" s="212">
        <f t="shared" si="87"/>
        <v>192285.77627354654</v>
      </c>
      <c r="I713" s="212">
        <f t="shared" si="88"/>
        <v>28377969.400614239</v>
      </c>
    </row>
    <row r="714" spans="1:10" outlineLevel="2" x14ac:dyDescent="0.25">
      <c r="A714">
        <v>38700</v>
      </c>
      <c r="B714">
        <v>2018</v>
      </c>
      <c r="C714" s="258">
        <v>5.5</v>
      </c>
      <c r="D714" s="212">
        <v>1520325.52</v>
      </c>
      <c r="E714">
        <v>27</v>
      </c>
      <c r="F714">
        <v>21.972497000000001</v>
      </c>
      <c r="G714" s="90">
        <f>'Proposed Rates'!$O$31/100</f>
        <v>0</v>
      </c>
      <c r="H714" s="212">
        <f t="shared" si="87"/>
        <v>283090.41158431693</v>
      </c>
      <c r="I714" s="212">
        <f t="shared" si="88"/>
        <v>33405347.92722344</v>
      </c>
    </row>
    <row r="715" spans="1:10" outlineLevel="2" x14ac:dyDescent="0.25">
      <c r="A715">
        <v>38700</v>
      </c>
      <c r="B715">
        <v>2017</v>
      </c>
      <c r="C715" s="258">
        <v>6.5</v>
      </c>
      <c r="D715" s="212">
        <v>625901.17000000004</v>
      </c>
      <c r="E715">
        <v>27</v>
      </c>
      <c r="F715">
        <v>21.153324999999999</v>
      </c>
      <c r="G715" s="90">
        <f>'Proposed Rates'!$O$31/100</f>
        <v>0</v>
      </c>
      <c r="H715" s="212">
        <f t="shared" si="87"/>
        <v>135534.84159665747</v>
      </c>
      <c r="I715" s="212">
        <f t="shared" si="88"/>
        <v>13239890.86689025</v>
      </c>
    </row>
    <row r="716" spans="1:10" outlineLevel="2" x14ac:dyDescent="0.25">
      <c r="A716">
        <v>38700</v>
      </c>
      <c r="B716">
        <v>2016</v>
      </c>
      <c r="C716" s="258">
        <v>7.5</v>
      </c>
      <c r="D716" s="212">
        <v>497048.71</v>
      </c>
      <c r="E716">
        <v>27</v>
      </c>
      <c r="F716">
        <v>20.367936</v>
      </c>
      <c r="G716" s="90">
        <f>'Proposed Rates'!$O$31/100</f>
        <v>0</v>
      </c>
      <c r="H716" s="212">
        <f t="shared" si="85"/>
        <v>122091.06873471999</v>
      </c>
      <c r="I716" s="212">
        <f t="shared" si="86"/>
        <v>10123856.31416256</v>
      </c>
    </row>
    <row r="717" spans="1:10" outlineLevel="2" x14ac:dyDescent="0.25">
      <c r="A717">
        <v>38700</v>
      </c>
      <c r="B717">
        <v>2015</v>
      </c>
      <c r="C717" s="258">
        <v>8.5</v>
      </c>
      <c r="D717" s="212">
        <v>491827.7</v>
      </c>
      <c r="E717">
        <v>27</v>
      </c>
      <c r="F717">
        <v>19.615556999999999</v>
      </c>
      <c r="G717" s="90">
        <f>'Proposed Rates'!$O$31/100</f>
        <v>0</v>
      </c>
      <c r="H717" s="212">
        <f t="shared" si="85"/>
        <v>134513.8376470778</v>
      </c>
      <c r="I717" s="212">
        <f t="shared" si="86"/>
        <v>9647474.2835288998</v>
      </c>
    </row>
    <row r="718" spans="1:10" outlineLevel="2" x14ac:dyDescent="0.25">
      <c r="A718">
        <v>38700</v>
      </c>
      <c r="B718">
        <v>2014</v>
      </c>
      <c r="C718" s="258">
        <v>9.5</v>
      </c>
      <c r="D718" s="212">
        <v>1084921.98</v>
      </c>
      <c r="E718">
        <v>27</v>
      </c>
      <c r="F718">
        <v>18.895634000000001</v>
      </c>
      <c r="G718" s="90">
        <f>'Proposed Rates'!$O$31/100</f>
        <v>0</v>
      </c>
      <c r="H718" s="212">
        <f t="shared" si="85"/>
        <v>325652.0299023955</v>
      </c>
      <c r="I718" s="212">
        <f t="shared" si="86"/>
        <v>20500288.652635321</v>
      </c>
    </row>
    <row r="719" spans="1:10" outlineLevel="2" x14ac:dyDescent="0.25">
      <c r="A719">
        <v>38700</v>
      </c>
      <c r="B719">
        <v>2013</v>
      </c>
      <c r="C719" s="258">
        <v>10.5</v>
      </c>
      <c r="D719" s="212">
        <v>307418.8</v>
      </c>
      <c r="E719">
        <v>27</v>
      </c>
      <c r="F719">
        <v>18.21123</v>
      </c>
      <c r="G719" s="90">
        <f>'Proposed Rates'!$O$31/100</f>
        <v>0</v>
      </c>
      <c r="H719" s="212">
        <f t="shared" ref="H719:H752" si="89">+D719*(1-F719/E719)*(1-G719)</f>
        <v>100067.89358799999</v>
      </c>
      <c r="I719" s="212">
        <f t="shared" ref="I719:I752" si="90">+D719*F719</f>
        <v>5598474.4731240002</v>
      </c>
    </row>
    <row r="720" spans="1:10" outlineLevel="2" x14ac:dyDescent="0.25">
      <c r="A720">
        <v>38700</v>
      </c>
      <c r="B720">
        <v>2012</v>
      </c>
      <c r="C720" s="258">
        <v>11.5</v>
      </c>
      <c r="D720" s="212">
        <v>520523.51</v>
      </c>
      <c r="E720">
        <v>27</v>
      </c>
      <c r="F720">
        <v>17.566966000000001</v>
      </c>
      <c r="G720" s="90">
        <f>'Proposed Rates'!$O$31/100</f>
        <v>0</v>
      </c>
      <c r="H720" s="212">
        <f t="shared" si="89"/>
        <v>181856.14694923483</v>
      </c>
      <c r="I720" s="212">
        <f t="shared" si="90"/>
        <v>9144018.80237066</v>
      </c>
    </row>
    <row r="721" spans="1:9" outlineLevel="2" x14ac:dyDescent="0.25">
      <c r="A721">
        <v>38700</v>
      </c>
      <c r="B721">
        <v>2011</v>
      </c>
      <c r="C721" s="258">
        <v>12.5</v>
      </c>
      <c r="D721" s="212">
        <v>536464.85</v>
      </c>
      <c r="E721">
        <v>27</v>
      </c>
      <c r="F721">
        <v>16.965181999999999</v>
      </c>
      <c r="G721" s="90">
        <f>'Proposed Rates'!$O$31/100</f>
        <v>0</v>
      </c>
      <c r="H721" s="212">
        <f t="shared" si="89"/>
        <v>199382.48641286299</v>
      </c>
      <c r="I721" s="212">
        <f t="shared" si="90"/>
        <v>9101223.8168526981</v>
      </c>
    </row>
    <row r="722" spans="1:9" outlineLevel="2" x14ac:dyDescent="0.25">
      <c r="A722">
        <v>38700</v>
      </c>
      <c r="B722">
        <v>2010</v>
      </c>
      <c r="C722" s="258">
        <v>13.5</v>
      </c>
      <c r="D722" s="212">
        <v>539022.11</v>
      </c>
      <c r="E722">
        <v>27</v>
      </c>
      <c r="F722">
        <v>16.406782</v>
      </c>
      <c r="G722" s="90">
        <f>'Proposed Rates'!$O$31/100</f>
        <v>0</v>
      </c>
      <c r="H722" s="212">
        <f t="shared" si="89"/>
        <v>211480.69326111037</v>
      </c>
      <c r="I722" s="212">
        <f t="shared" si="90"/>
        <v>8843618.25195002</v>
      </c>
    </row>
    <row r="723" spans="1:9" outlineLevel="2" x14ac:dyDescent="0.25">
      <c r="A723">
        <v>38700</v>
      </c>
      <c r="B723">
        <v>2009</v>
      </c>
      <c r="C723" s="258">
        <v>14.5</v>
      </c>
      <c r="D723" s="212">
        <v>668413.77</v>
      </c>
      <c r="E723">
        <v>27</v>
      </c>
      <c r="F723">
        <v>15.891529</v>
      </c>
      <c r="G723" s="90">
        <f>'Proposed Rates'!$O$31/100</f>
        <v>0</v>
      </c>
      <c r="H723" s="212">
        <f t="shared" si="89"/>
        <v>275002.0362979878</v>
      </c>
      <c r="I723" s="212">
        <f t="shared" si="90"/>
        <v>10622116.80995433</v>
      </c>
    </row>
    <row r="724" spans="1:9" outlineLevel="2" x14ac:dyDescent="0.25">
      <c r="A724">
        <v>38700</v>
      </c>
      <c r="B724">
        <v>2008</v>
      </c>
      <c r="C724" s="258">
        <v>15.5</v>
      </c>
      <c r="D724" s="212">
        <v>148017.06</v>
      </c>
      <c r="E724">
        <v>27</v>
      </c>
      <c r="F724">
        <v>15.415426</v>
      </c>
      <c r="G724" s="90">
        <f>'Proposed Rates'!$O$31/100</f>
        <v>0</v>
      </c>
      <c r="H724" s="212">
        <f t="shared" si="89"/>
        <v>63507.947586386668</v>
      </c>
      <c r="I724" s="212">
        <f t="shared" si="90"/>
        <v>2281746.03516756</v>
      </c>
    </row>
    <row r="725" spans="1:9" outlineLevel="2" x14ac:dyDescent="0.25">
      <c r="A725">
        <v>38700</v>
      </c>
      <c r="B725">
        <v>2007</v>
      </c>
      <c r="C725" s="258">
        <v>16.5</v>
      </c>
      <c r="D725" s="212">
        <v>329322.34999999998</v>
      </c>
      <c r="E725">
        <v>27</v>
      </c>
      <c r="F725">
        <v>14.974061000000001</v>
      </c>
      <c r="G725" s="90">
        <f>'Proposed Rates'!$O$31/100</f>
        <v>0</v>
      </c>
      <c r="H725" s="212">
        <f t="shared" si="89"/>
        <v>146681.87009024629</v>
      </c>
      <c r="I725" s="212">
        <f t="shared" si="90"/>
        <v>4931292.95756335</v>
      </c>
    </row>
    <row r="726" spans="1:9" outlineLevel="2" x14ac:dyDescent="0.25">
      <c r="A726">
        <v>38700</v>
      </c>
      <c r="B726">
        <v>2006</v>
      </c>
      <c r="C726" s="258">
        <v>17.5</v>
      </c>
      <c r="D726" s="212">
        <v>346776.93</v>
      </c>
      <c r="E726">
        <v>27</v>
      </c>
      <c r="F726">
        <v>14.563381</v>
      </c>
      <c r="G726" s="90">
        <f>'Proposed Rates'!$O$31/100</f>
        <v>0</v>
      </c>
      <c r="H726" s="212">
        <f t="shared" si="89"/>
        <v>159730.83542221002</v>
      </c>
      <c r="I726" s="212">
        <f t="shared" si="90"/>
        <v>5050244.5536003299</v>
      </c>
    </row>
    <row r="727" spans="1:9" outlineLevel="2" x14ac:dyDescent="0.25">
      <c r="A727">
        <v>38700</v>
      </c>
      <c r="B727">
        <v>2005</v>
      </c>
      <c r="C727" s="258">
        <v>18.5</v>
      </c>
      <c r="D727" s="212">
        <v>139566.21</v>
      </c>
      <c r="E727">
        <v>27</v>
      </c>
      <c r="F727">
        <v>14.180161</v>
      </c>
      <c r="G727" s="90">
        <f>'Proposed Rates'!$O$31/100</f>
        <v>0</v>
      </c>
      <c r="H727" s="212">
        <f t="shared" si="89"/>
        <v>66267.271927414433</v>
      </c>
      <c r="I727" s="212">
        <f t="shared" si="90"/>
        <v>1979071.3279598099</v>
      </c>
    </row>
    <row r="728" spans="1:9" outlineLevel="2" x14ac:dyDescent="0.25">
      <c r="A728">
        <v>38700</v>
      </c>
      <c r="B728">
        <v>2004</v>
      </c>
      <c r="C728" s="258">
        <v>19.5</v>
      </c>
      <c r="D728" s="212">
        <v>202102.66</v>
      </c>
      <c r="E728">
        <v>27</v>
      </c>
      <c r="F728">
        <v>13.821171</v>
      </c>
      <c r="G728" s="90">
        <f>'Proposed Rates'!$O$31/100</f>
        <v>0</v>
      </c>
      <c r="H728" s="212">
        <f t="shared" si="89"/>
        <v>98647.273947597787</v>
      </c>
      <c r="I728" s="212">
        <f t="shared" si="90"/>
        <v>2793295.4234148599</v>
      </c>
    </row>
    <row r="729" spans="1:9" outlineLevel="2" x14ac:dyDescent="0.25">
      <c r="A729">
        <v>38700</v>
      </c>
      <c r="B729">
        <v>2003</v>
      </c>
      <c r="C729" s="258">
        <v>20.5</v>
      </c>
      <c r="D729" s="212">
        <v>190802.76</v>
      </c>
      <c r="E729">
        <v>27</v>
      </c>
      <c r="F729">
        <v>13.483267</v>
      </c>
      <c r="G729" s="90">
        <f>'Proposed Rates'!$O$31/100</f>
        <v>0</v>
      </c>
      <c r="H729" s="212">
        <f t="shared" si="89"/>
        <v>95519.628243817773</v>
      </c>
      <c r="I729" s="212">
        <f t="shared" si="90"/>
        <v>2572644.5574169201</v>
      </c>
    </row>
    <row r="730" spans="1:9" outlineLevel="2" x14ac:dyDescent="0.25">
      <c r="A730">
        <v>38700</v>
      </c>
      <c r="B730">
        <v>2002</v>
      </c>
      <c r="C730" s="258">
        <v>21.5</v>
      </c>
      <c r="D730" s="212">
        <v>78107.23</v>
      </c>
      <c r="E730">
        <v>27</v>
      </c>
      <c r="F730">
        <v>13.163162</v>
      </c>
      <c r="G730" s="90">
        <f>'Proposed Rates'!$O$31/100</f>
        <v>0</v>
      </c>
      <c r="H730" s="212">
        <f t="shared" si="89"/>
        <v>40028.040301434812</v>
      </c>
      <c r="I730" s="212">
        <f t="shared" si="90"/>
        <v>1028138.1218612599</v>
      </c>
    </row>
    <row r="731" spans="1:9" outlineLevel="2" x14ac:dyDescent="0.25">
      <c r="A731">
        <v>38700</v>
      </c>
      <c r="B731">
        <v>2001</v>
      </c>
      <c r="C731" s="258">
        <v>22.5</v>
      </c>
      <c r="D731" s="212">
        <v>96049.08</v>
      </c>
      <c r="E731">
        <v>27</v>
      </c>
      <c r="F731">
        <v>12.857765000000001</v>
      </c>
      <c r="G731" s="90">
        <f>'Proposed Rates'!$O$31/100</f>
        <v>0</v>
      </c>
      <c r="H731" s="212">
        <f t="shared" si="89"/>
        <v>50309.20966273333</v>
      </c>
      <c r="I731" s="212">
        <f t="shared" si="90"/>
        <v>1234976.4991062002</v>
      </c>
    </row>
    <row r="732" spans="1:9" outlineLevel="2" x14ac:dyDescent="0.25">
      <c r="A732">
        <v>38700</v>
      </c>
      <c r="B732">
        <v>2000</v>
      </c>
      <c r="C732" s="258">
        <v>23.5</v>
      </c>
      <c r="D732" s="212">
        <v>156360.82</v>
      </c>
      <c r="E732">
        <v>27</v>
      </c>
      <c r="F732">
        <v>12.564323</v>
      </c>
      <c r="G732" s="90">
        <f>'Proposed Rates'!$O$31/100</f>
        <v>0</v>
      </c>
      <c r="H732" s="212">
        <f t="shared" si="89"/>
        <v>83599.047887968147</v>
      </c>
      <c r="I732" s="212">
        <f t="shared" si="90"/>
        <v>1964567.8470248601</v>
      </c>
    </row>
    <row r="733" spans="1:9" outlineLevel="2" x14ac:dyDescent="0.25">
      <c r="A733">
        <v>38700</v>
      </c>
      <c r="B733">
        <v>1999</v>
      </c>
      <c r="C733" s="258">
        <v>24.5</v>
      </c>
      <c r="D733" s="212">
        <v>79657.95</v>
      </c>
      <c r="E733">
        <v>27</v>
      </c>
      <c r="F733">
        <v>12.27998</v>
      </c>
      <c r="G733" s="90">
        <f>'Proposed Rates'!$O$31/100</f>
        <v>0</v>
      </c>
      <c r="H733" s="212">
        <f t="shared" si="89"/>
        <v>43428.393228111112</v>
      </c>
      <c r="I733" s="212">
        <f t="shared" si="90"/>
        <v>978198.03284100001</v>
      </c>
    </row>
    <row r="734" spans="1:9" outlineLevel="2" x14ac:dyDescent="0.25">
      <c r="A734">
        <v>38700</v>
      </c>
      <c r="B734">
        <v>1998</v>
      </c>
      <c r="C734" s="258">
        <v>25.5</v>
      </c>
      <c r="D734" s="212">
        <v>33665.1</v>
      </c>
      <c r="E734">
        <v>27</v>
      </c>
      <c r="F734">
        <v>12.002717000000001</v>
      </c>
      <c r="G734" s="90">
        <f>'Proposed Rates'!$O$31/100</f>
        <v>0</v>
      </c>
      <c r="H734" s="212">
        <f t="shared" si="89"/>
        <v>18699.445626788885</v>
      </c>
      <c r="I734" s="212">
        <f t="shared" si="90"/>
        <v>404072.66807670001</v>
      </c>
    </row>
    <row r="735" spans="1:9" outlineLevel="2" x14ac:dyDescent="0.25">
      <c r="A735">
        <v>38700</v>
      </c>
      <c r="B735">
        <v>1997</v>
      </c>
      <c r="C735" s="258">
        <v>26.5</v>
      </c>
      <c r="D735" s="212">
        <v>79003.23</v>
      </c>
      <c r="E735">
        <v>27</v>
      </c>
      <c r="F735">
        <v>11.730784999999999</v>
      </c>
      <c r="G735" s="90">
        <f>'Proposed Rates'!$O$31/100</f>
        <v>0</v>
      </c>
      <c r="H735" s="212">
        <f t="shared" si="89"/>
        <v>44678.418687572223</v>
      </c>
      <c r="I735" s="212">
        <f t="shared" si="90"/>
        <v>926769.90543554991</v>
      </c>
    </row>
    <row r="736" spans="1:9" outlineLevel="2" x14ac:dyDescent="0.25">
      <c r="A736">
        <v>38700</v>
      </c>
      <c r="B736">
        <v>1996</v>
      </c>
      <c r="C736" s="258">
        <v>27.5</v>
      </c>
      <c r="D736" s="212">
        <v>35736.370000000003</v>
      </c>
      <c r="E736">
        <v>27</v>
      </c>
      <c r="F736">
        <v>11.462444</v>
      </c>
      <c r="G736" s="90">
        <f>'Proposed Rates'!$O$31/100</f>
        <v>0</v>
      </c>
      <c r="H736" s="212">
        <f t="shared" si="89"/>
        <v>20565.031485619264</v>
      </c>
      <c r="I736" s="212">
        <f t="shared" si="90"/>
        <v>409626.13988828001</v>
      </c>
    </row>
    <row r="737" spans="1:9" outlineLevel="2" x14ac:dyDescent="0.25">
      <c r="A737">
        <v>38700</v>
      </c>
      <c r="B737">
        <v>1995</v>
      </c>
      <c r="C737" s="258">
        <v>28.5</v>
      </c>
      <c r="D737" s="212">
        <v>26792.02</v>
      </c>
      <c r="E737">
        <v>27</v>
      </c>
      <c r="F737">
        <v>11.196512999999999</v>
      </c>
      <c r="G737" s="90">
        <f>'Proposed Rates'!$O$31/100</f>
        <v>0</v>
      </c>
      <c r="H737" s="212">
        <f t="shared" si="89"/>
        <v>15681.753324953332</v>
      </c>
      <c r="I737" s="212">
        <f t="shared" si="90"/>
        <v>299977.20022626</v>
      </c>
    </row>
    <row r="738" spans="1:9" outlineLevel="2" x14ac:dyDescent="0.25">
      <c r="A738">
        <v>38700</v>
      </c>
      <c r="B738">
        <v>1994</v>
      </c>
      <c r="C738" s="258">
        <v>29.5</v>
      </c>
      <c r="D738" s="212">
        <v>41201.18</v>
      </c>
      <c r="E738">
        <v>27</v>
      </c>
      <c r="F738">
        <v>10.932515</v>
      </c>
      <c r="G738" s="90">
        <f>'Proposed Rates'!$O$31/100</f>
        <v>0</v>
      </c>
      <c r="H738" s="212">
        <f t="shared" si="89"/>
        <v>24518.494134529625</v>
      </c>
      <c r="I738" s="212">
        <f t="shared" si="90"/>
        <v>450432.51836770005</v>
      </c>
    </row>
    <row r="739" spans="1:9" outlineLevel="2" x14ac:dyDescent="0.25">
      <c r="A739">
        <v>38700</v>
      </c>
      <c r="B739">
        <v>1993</v>
      </c>
      <c r="C739" s="258">
        <v>30.5</v>
      </c>
      <c r="D739" s="212">
        <v>21490.94</v>
      </c>
      <c r="E739">
        <v>27</v>
      </c>
      <c r="F739">
        <v>10.669924</v>
      </c>
      <c r="G739" s="90">
        <f>'Proposed Rates'!$O$31/100</f>
        <v>0</v>
      </c>
      <c r="H739" s="212">
        <f t="shared" si="89"/>
        <v>12998.099389312594</v>
      </c>
      <c r="I739" s="212">
        <f t="shared" si="90"/>
        <v>229306.69648855997</v>
      </c>
    </row>
    <row r="740" spans="1:9" outlineLevel="2" x14ac:dyDescent="0.25">
      <c r="A740">
        <v>38700</v>
      </c>
      <c r="B740">
        <v>1992</v>
      </c>
      <c r="C740" s="258">
        <v>31.5</v>
      </c>
      <c r="D740" s="212">
        <v>16379.55</v>
      </c>
      <c r="E740">
        <v>27</v>
      </c>
      <c r="F740">
        <v>10.407983</v>
      </c>
      <c r="G740" s="90">
        <f>'Proposed Rates'!$O$31/100</f>
        <v>0</v>
      </c>
      <c r="H740" s="212">
        <f t="shared" si="89"/>
        <v>10065.547113050001</v>
      </c>
      <c r="I740" s="212">
        <f t="shared" si="90"/>
        <v>170478.07794764999</v>
      </c>
    </row>
    <row r="741" spans="1:9" outlineLevel="2" x14ac:dyDescent="0.25">
      <c r="A741">
        <v>38700</v>
      </c>
      <c r="B741">
        <v>1991</v>
      </c>
      <c r="C741" s="258">
        <v>32.5</v>
      </c>
      <c r="D741" s="212">
        <v>17681.57</v>
      </c>
      <c r="E741">
        <v>27</v>
      </c>
      <c r="F741">
        <v>10.147294</v>
      </c>
      <c r="G741" s="90">
        <f>'Proposed Rates'!$O$31/100</f>
        <v>0</v>
      </c>
      <c r="H741" s="212">
        <f t="shared" si="89"/>
        <v>11036.381512163704</v>
      </c>
      <c r="I741" s="212">
        <f t="shared" si="90"/>
        <v>179420.08917158001</v>
      </c>
    </row>
    <row r="742" spans="1:9" outlineLevel="2" x14ac:dyDescent="0.25">
      <c r="A742">
        <v>38700</v>
      </c>
      <c r="B742">
        <v>1990</v>
      </c>
      <c r="C742" s="258">
        <v>33.5</v>
      </c>
      <c r="D742" s="212">
        <v>8597.36</v>
      </c>
      <c r="E742">
        <v>27</v>
      </c>
      <c r="F742">
        <v>9.8880719999999993</v>
      </c>
      <c r="G742" s="90">
        <f>'Proposed Rates'!$O$31/100</f>
        <v>0</v>
      </c>
      <c r="H742" s="212">
        <f t="shared" si="89"/>
        <v>5448.7927892622229</v>
      </c>
      <c r="I742" s="212">
        <f t="shared" si="90"/>
        <v>85011.314689919993</v>
      </c>
    </row>
    <row r="743" spans="1:9" outlineLevel="2" x14ac:dyDescent="0.25">
      <c r="A743">
        <v>38700</v>
      </c>
      <c r="B743">
        <v>1989</v>
      </c>
      <c r="C743" s="258">
        <v>34.5</v>
      </c>
      <c r="D743" s="212">
        <v>2004.48</v>
      </c>
      <c r="E743">
        <v>27</v>
      </c>
      <c r="F743">
        <v>9.6300509999999999</v>
      </c>
      <c r="G743" s="90">
        <f>'Proposed Rates'!$O$31/100</f>
        <v>0</v>
      </c>
      <c r="H743" s="212">
        <f t="shared" si="89"/>
        <v>1289.5450137600001</v>
      </c>
      <c r="I743" s="212">
        <f t="shared" si="90"/>
        <v>19303.244628479999</v>
      </c>
    </row>
    <row r="744" spans="1:9" outlineLevel="2" x14ac:dyDescent="0.25">
      <c r="A744">
        <v>38700</v>
      </c>
      <c r="B744">
        <v>1988</v>
      </c>
      <c r="C744" s="258">
        <v>35.5</v>
      </c>
      <c r="D744" s="212">
        <v>4612.16</v>
      </c>
      <c r="E744">
        <v>27</v>
      </c>
      <c r="F744">
        <v>9.3739500000000007</v>
      </c>
      <c r="G744" s="90">
        <f>'Proposed Rates'!$O$31/100</f>
        <v>0</v>
      </c>
      <c r="H744" s="212">
        <f t="shared" si="89"/>
        <v>3010.8949173333331</v>
      </c>
      <c r="I744" s="212">
        <f t="shared" si="90"/>
        <v>43234.157232000005</v>
      </c>
    </row>
    <row r="745" spans="1:9" outlineLevel="2" x14ac:dyDescent="0.25">
      <c r="A745">
        <v>38700</v>
      </c>
      <c r="B745">
        <v>1986</v>
      </c>
      <c r="C745" s="258">
        <v>37.5</v>
      </c>
      <c r="D745" s="212">
        <v>7400.34</v>
      </c>
      <c r="E745">
        <v>27</v>
      </c>
      <c r="F745">
        <v>8.8695310000000003</v>
      </c>
      <c r="G745" s="90">
        <f>'Proposed Rates'!$O$31/100</f>
        <v>0</v>
      </c>
      <c r="H745" s="212">
        <f t="shared" si="89"/>
        <v>4969.3198133133337</v>
      </c>
      <c r="I745" s="212">
        <f t="shared" si="90"/>
        <v>65637.545040540004</v>
      </c>
    </row>
    <row r="746" spans="1:9" outlineLevel="2" x14ac:dyDescent="0.25">
      <c r="A746">
        <v>38700</v>
      </c>
      <c r="B746">
        <v>1985</v>
      </c>
      <c r="C746" s="258">
        <v>38.5</v>
      </c>
      <c r="D746" s="212">
        <v>1881.03</v>
      </c>
      <c r="E746">
        <v>27</v>
      </c>
      <c r="F746">
        <v>8.6214779999999998</v>
      </c>
      <c r="G746" s="90">
        <f>'Proposed Rates'!$O$31/100</f>
        <v>0</v>
      </c>
      <c r="H746" s="212">
        <f t="shared" si="89"/>
        <v>1280.3907865799999</v>
      </c>
      <c r="I746" s="212">
        <f t="shared" si="90"/>
        <v>16217.25876234</v>
      </c>
    </row>
    <row r="747" spans="1:9" outlineLevel="2" x14ac:dyDescent="0.25">
      <c r="A747">
        <v>38700</v>
      </c>
      <c r="B747">
        <v>1983</v>
      </c>
      <c r="C747" s="258">
        <v>40.5</v>
      </c>
      <c r="D747" s="212">
        <v>1376.02</v>
      </c>
      <c r="E747">
        <v>27</v>
      </c>
      <c r="F747">
        <v>8.1367829999999994</v>
      </c>
      <c r="G747" s="90">
        <f>'Proposed Rates'!$O$31/100</f>
        <v>0</v>
      </c>
      <c r="H747" s="212">
        <f t="shared" si="89"/>
        <v>961.33940208666672</v>
      </c>
      <c r="I747" s="212">
        <f t="shared" si="90"/>
        <v>11196.37614366</v>
      </c>
    </row>
    <row r="748" spans="1:9" outlineLevel="2" x14ac:dyDescent="0.25">
      <c r="A748">
        <v>38700</v>
      </c>
      <c r="B748">
        <v>1982</v>
      </c>
      <c r="C748" s="258">
        <v>41.5</v>
      </c>
      <c r="D748" s="212">
        <v>880.94</v>
      </c>
      <c r="E748">
        <v>27</v>
      </c>
      <c r="F748">
        <v>7.8997109999999999</v>
      </c>
      <c r="G748" s="90">
        <f>'Proposed Rates'!$O$31/100</f>
        <v>0</v>
      </c>
      <c r="H748" s="212">
        <f t="shared" si="89"/>
        <v>623.19291080222229</v>
      </c>
      <c r="I748" s="212">
        <f t="shared" si="90"/>
        <v>6959.1714083400002</v>
      </c>
    </row>
    <row r="749" spans="1:9" outlineLevel="2" x14ac:dyDescent="0.25">
      <c r="A749">
        <v>38700</v>
      </c>
      <c r="B749">
        <v>1981</v>
      </c>
      <c r="C749" s="258">
        <v>42.5</v>
      </c>
      <c r="D749" s="212">
        <v>1900.94</v>
      </c>
      <c r="E749">
        <v>27</v>
      </c>
      <c r="F749">
        <v>7.6669900000000002</v>
      </c>
      <c r="G749" s="90">
        <f>'Proposed Rates'!$O$31/100</f>
        <v>0</v>
      </c>
      <c r="H749" s="212">
        <f t="shared" si="89"/>
        <v>1361.144149237037</v>
      </c>
      <c r="I749" s="212">
        <f t="shared" si="90"/>
        <v>14574.487970600001</v>
      </c>
    </row>
    <row r="750" spans="1:9" outlineLevel="2" x14ac:dyDescent="0.25">
      <c r="A750">
        <v>38700</v>
      </c>
      <c r="B750">
        <v>1979</v>
      </c>
      <c r="C750" s="258">
        <v>44.5</v>
      </c>
      <c r="D750" s="212">
        <v>2403.2800000000002</v>
      </c>
      <c r="E750">
        <v>27</v>
      </c>
      <c r="F750">
        <v>7.2144820000000003</v>
      </c>
      <c r="G750" s="90">
        <f>'Proposed Rates'!$O$31/100</f>
        <v>0</v>
      </c>
      <c r="H750" s="212">
        <f t="shared" si="89"/>
        <v>1761.1162851496297</v>
      </c>
      <c r="I750" s="212">
        <f t="shared" si="90"/>
        <v>17338.420300960002</v>
      </c>
    </row>
    <row r="751" spans="1:9" outlineLevel="2" x14ac:dyDescent="0.25">
      <c r="A751">
        <v>38700</v>
      </c>
      <c r="B751">
        <v>1977</v>
      </c>
      <c r="C751" s="258">
        <v>46.5</v>
      </c>
      <c r="D751" s="212">
        <v>9036.84</v>
      </c>
      <c r="E751">
        <v>27</v>
      </c>
      <c r="F751">
        <v>6.7786270000000002</v>
      </c>
      <c r="G751" s="90">
        <f>'Proposed Rates'!$O$31/100</f>
        <v>0</v>
      </c>
      <c r="H751" s="212">
        <f t="shared" si="89"/>
        <v>6768.0486067155562</v>
      </c>
      <c r="I751" s="212">
        <f t="shared" si="90"/>
        <v>61257.36761868</v>
      </c>
    </row>
    <row r="752" spans="1:9" outlineLevel="2" x14ac:dyDescent="0.25">
      <c r="A752">
        <v>38700</v>
      </c>
      <c r="B752">
        <v>1975</v>
      </c>
      <c r="C752" s="258">
        <v>48.5</v>
      </c>
      <c r="D752" s="212">
        <v>4654.4399999999996</v>
      </c>
      <c r="E752">
        <v>27</v>
      </c>
      <c r="F752">
        <v>6.3592959999999996</v>
      </c>
      <c r="G752" s="90">
        <f>'Proposed Rates'!$O$31/100</f>
        <v>0</v>
      </c>
      <c r="H752" s="212">
        <f t="shared" si="89"/>
        <v>3558.1821602133332</v>
      </c>
      <c r="I752" s="212">
        <f t="shared" si="90"/>
        <v>29598.961674239996</v>
      </c>
    </row>
    <row r="753" spans="1:10" ht="13" outlineLevel="1" x14ac:dyDescent="0.3">
      <c r="A753" s="18" t="s">
        <v>1192</v>
      </c>
      <c r="C753" s="258" t="s">
        <v>1229</v>
      </c>
      <c r="D753" s="212">
        <f>SUBTOTAL(9,D710:D752)</f>
        <v>13431843.029999996</v>
      </c>
      <c r="H753" s="212">
        <f>SUBTOTAL(9,H710:H752)</f>
        <v>3505702.0789797986</v>
      </c>
      <c r="I753" s="212">
        <f>SUBTOTAL(9,I710:I752)</f>
        <v>268005805.6775454</v>
      </c>
      <c r="J753" s="212">
        <f>+I753/D753</f>
        <v>19.953017994548844</v>
      </c>
    </row>
    <row r="754" spans="1:10" outlineLevel="2" x14ac:dyDescent="0.25">
      <c r="A754">
        <v>39000</v>
      </c>
      <c r="B754">
        <v>2023</v>
      </c>
      <c r="C754" s="258">
        <v>0.5</v>
      </c>
      <c r="D754" s="212">
        <v>544265.86</v>
      </c>
      <c r="E754">
        <v>25</v>
      </c>
      <c r="F754">
        <v>24.579360000000001</v>
      </c>
      <c r="G754" s="90">
        <f>'Proposed Rates'!$O$54/100</f>
        <v>0</v>
      </c>
      <c r="H754" s="212">
        <f t="shared" ref="H754:H827" si="91">+D754*(1-F754/E754)*(1-G754)</f>
        <v>9157.5996540159977</v>
      </c>
      <c r="I754" s="212">
        <f t="shared" si="86"/>
        <v>13377706.508649601</v>
      </c>
    </row>
    <row r="755" spans="1:10" outlineLevel="2" x14ac:dyDescent="0.25">
      <c r="A755">
        <v>39000</v>
      </c>
      <c r="B755">
        <v>2016</v>
      </c>
      <c r="C755" s="258">
        <v>7.5</v>
      </c>
      <c r="D755" s="212">
        <v>12393.52</v>
      </c>
      <c r="E755">
        <v>25</v>
      </c>
      <c r="F755">
        <v>20.606793</v>
      </c>
      <c r="G755" s="90">
        <f>'Proposed Rates'!$O$54/100</f>
        <v>0</v>
      </c>
      <c r="H755" s="212">
        <f t="shared" ref="H755:H760" si="92">+D755*(1-F755/E755)*(1-G755)</f>
        <v>2177.8919527455996</v>
      </c>
      <c r="I755" s="212">
        <f t="shared" ref="I755:I760" si="93">+D755*F755</f>
        <v>255390.70118136</v>
      </c>
    </row>
    <row r="756" spans="1:10" outlineLevel="2" x14ac:dyDescent="0.25">
      <c r="A756">
        <v>39000</v>
      </c>
      <c r="B756">
        <v>2015</v>
      </c>
      <c r="C756" s="258">
        <v>8.5</v>
      </c>
      <c r="D756" s="212">
        <v>18604.02</v>
      </c>
      <c r="E756">
        <v>25</v>
      </c>
      <c r="F756">
        <v>20.166761999999999</v>
      </c>
      <c r="G756" s="90">
        <f>'Proposed Rates'!$O$54/100</f>
        <v>0</v>
      </c>
      <c r="H756" s="212">
        <f t="shared" ref="H756:H758" si="94">+D756*(1-F756/E756)*(1-G756)</f>
        <v>3596.7062566704008</v>
      </c>
      <c r="I756" s="212">
        <f t="shared" ref="I756:I758" si="95">+D756*F756</f>
        <v>375182.84358324</v>
      </c>
    </row>
    <row r="757" spans="1:10" outlineLevel="2" x14ac:dyDescent="0.25">
      <c r="A757">
        <v>39000</v>
      </c>
      <c r="B757">
        <v>2012</v>
      </c>
      <c r="C757" s="258">
        <v>11.5</v>
      </c>
      <c r="D757" s="212">
        <v>50788.77</v>
      </c>
      <c r="E757">
        <v>25</v>
      </c>
      <c r="F757">
        <v>18.943248000000001</v>
      </c>
      <c r="G757" s="90">
        <f>'Proposed Rates'!$O$54/100</f>
        <v>0</v>
      </c>
      <c r="H757" s="212">
        <f t="shared" si="94"/>
        <v>12304.599371001596</v>
      </c>
      <c r="I757" s="212">
        <f t="shared" si="95"/>
        <v>962104.26572496002</v>
      </c>
    </row>
    <row r="758" spans="1:10" outlineLevel="2" x14ac:dyDescent="0.25">
      <c r="A758">
        <v>39000</v>
      </c>
      <c r="B758">
        <v>2009</v>
      </c>
      <c r="C758" s="258">
        <v>14.5</v>
      </c>
      <c r="D758" s="212">
        <v>9582.32</v>
      </c>
      <c r="E758">
        <v>25</v>
      </c>
      <c r="F758">
        <v>17.814609999999998</v>
      </c>
      <c r="G758" s="90">
        <f>'Proposed Rates'!$O$54/100</f>
        <v>0</v>
      </c>
      <c r="H758" s="212">
        <f t="shared" si="94"/>
        <v>2754.1082521920007</v>
      </c>
      <c r="I758" s="212">
        <f t="shared" si="95"/>
        <v>170705.29369519997</v>
      </c>
    </row>
    <row r="759" spans="1:10" outlineLevel="2" x14ac:dyDescent="0.25">
      <c r="A759">
        <v>39000</v>
      </c>
      <c r="B759">
        <v>2008</v>
      </c>
      <c r="C759" s="258">
        <v>15.5</v>
      </c>
      <c r="D759" s="212">
        <v>2319.3000000000002</v>
      </c>
      <c r="E759">
        <v>25</v>
      </c>
      <c r="F759">
        <v>17.453707000000001</v>
      </c>
      <c r="G759" s="90">
        <f>'Proposed Rates'!$O$54/100</f>
        <v>0</v>
      </c>
      <c r="H759" s="212">
        <f t="shared" si="92"/>
        <v>700.08469419599987</v>
      </c>
      <c r="I759" s="212">
        <f t="shared" si="93"/>
        <v>40480.382645100006</v>
      </c>
    </row>
    <row r="760" spans="1:10" outlineLevel="2" x14ac:dyDescent="0.25">
      <c r="A760">
        <v>39000</v>
      </c>
      <c r="B760">
        <v>2007</v>
      </c>
      <c r="C760" s="258">
        <v>16.5</v>
      </c>
      <c r="D760" s="212">
        <v>25115.11</v>
      </c>
      <c r="E760">
        <v>25</v>
      </c>
      <c r="F760">
        <v>17.100109</v>
      </c>
      <c r="G760" s="90">
        <f>'Proposed Rates'!$O$54/100</f>
        <v>0</v>
      </c>
      <c r="H760" s="212">
        <f t="shared" si="92"/>
        <v>7936.2652581204011</v>
      </c>
      <c r="I760" s="212">
        <f t="shared" si="93"/>
        <v>429471.11854698998</v>
      </c>
    </row>
    <row r="761" spans="1:10" ht="13" outlineLevel="1" x14ac:dyDescent="0.3">
      <c r="A761" s="18" t="s">
        <v>1193</v>
      </c>
      <c r="C761" s="258" t="s">
        <v>1229</v>
      </c>
      <c r="D761" s="212">
        <f>SUBTOTAL(9,D754:D760)</f>
        <v>663068.9</v>
      </c>
      <c r="H761" s="212">
        <f>SUBTOTAL(9,H754:H760)</f>
        <v>38627.255438941997</v>
      </c>
      <c r="I761" s="212">
        <f>SUBTOTAL(9,I754:I760)</f>
        <v>15611041.114026451</v>
      </c>
      <c r="J761" s="212">
        <f>+I761/D761</f>
        <v>23.543618338948562</v>
      </c>
    </row>
    <row r="762" spans="1:10" outlineLevel="2" x14ac:dyDescent="0.25">
      <c r="C762" s="258"/>
    </row>
    <row r="763" spans="1:10" outlineLevel="2" x14ac:dyDescent="0.25">
      <c r="A763">
        <v>39100</v>
      </c>
      <c r="B763">
        <v>2023</v>
      </c>
      <c r="C763" s="258">
        <f t="shared" ref="C763:C764" si="96">2023.5-B763</f>
        <v>0.5</v>
      </c>
      <c r="D763" s="212">
        <v>241700.33</v>
      </c>
      <c r="E763">
        <v>17</v>
      </c>
      <c r="F763">
        <f t="shared" ref="F763:F804" si="97">+E763-C763</f>
        <v>16.5</v>
      </c>
      <c r="G763" s="90">
        <f>'Proposed Rates'!$O$55/100</f>
        <v>0</v>
      </c>
      <c r="H763" s="212">
        <f t="shared" ref="H763:H778" si="98">+D763*(1-F763/E763)*(1-G763)</f>
        <v>7108.8332352941188</v>
      </c>
      <c r="I763" s="212">
        <f t="shared" ref="I763:I778" si="99">+D763*F763</f>
        <v>3988055.4449999998</v>
      </c>
    </row>
    <row r="764" spans="1:10" outlineLevel="2" x14ac:dyDescent="0.25">
      <c r="A764">
        <v>39100</v>
      </c>
      <c r="B764">
        <v>2022</v>
      </c>
      <c r="C764" s="258">
        <f t="shared" si="96"/>
        <v>1.5</v>
      </c>
      <c r="D764" s="212">
        <v>31734.79</v>
      </c>
      <c r="E764">
        <v>17</v>
      </c>
      <c r="F764">
        <f t="shared" ref="F764:F768" si="100">+E764-C764</f>
        <v>15.5</v>
      </c>
      <c r="G764" s="90">
        <f>'Proposed Rates'!$O$55/100</f>
        <v>0</v>
      </c>
      <c r="H764" s="212">
        <f t="shared" ref="H764:H768" si="101">+D764*(1-F764/E764)*(1-G764)</f>
        <v>2800.1285294117656</v>
      </c>
      <c r="I764" s="212">
        <f t="shared" ref="I764:I768" si="102">+D764*F764</f>
        <v>491889.245</v>
      </c>
    </row>
    <row r="765" spans="1:10" outlineLevel="2" x14ac:dyDescent="0.25">
      <c r="A765">
        <v>39100</v>
      </c>
      <c r="B765">
        <v>2020</v>
      </c>
      <c r="C765" s="258">
        <f t="shared" ref="C765:C826" si="103">2023.5-B765</f>
        <v>3.5</v>
      </c>
      <c r="D765" s="212">
        <v>71253.88</v>
      </c>
      <c r="E765">
        <v>17</v>
      </c>
      <c r="F765">
        <f t="shared" si="100"/>
        <v>13.5</v>
      </c>
      <c r="G765" s="90">
        <f>'Proposed Rates'!$O$55/100</f>
        <v>0</v>
      </c>
      <c r="H765" s="212">
        <f t="shared" si="101"/>
        <v>14669.916470588239</v>
      </c>
      <c r="I765" s="212">
        <f t="shared" si="102"/>
        <v>961927.38000000012</v>
      </c>
    </row>
    <row r="766" spans="1:10" outlineLevel="2" x14ac:dyDescent="0.25">
      <c r="A766">
        <v>39100</v>
      </c>
      <c r="B766">
        <v>2019</v>
      </c>
      <c r="C766" s="258">
        <f t="shared" si="103"/>
        <v>4.5</v>
      </c>
      <c r="D766" s="212">
        <v>135016.5</v>
      </c>
      <c r="E766">
        <v>17</v>
      </c>
      <c r="F766">
        <f t="shared" si="100"/>
        <v>12.5</v>
      </c>
      <c r="G766" s="90">
        <f>'Proposed Rates'!$O$55/100</f>
        <v>0</v>
      </c>
      <c r="H766" s="212">
        <f t="shared" si="101"/>
        <v>35739.661764705874</v>
      </c>
      <c r="I766" s="212">
        <f t="shared" si="102"/>
        <v>1687706.25</v>
      </c>
    </row>
    <row r="767" spans="1:10" outlineLevel="2" x14ac:dyDescent="0.25">
      <c r="A767">
        <v>39100</v>
      </c>
      <c r="B767">
        <v>2018</v>
      </c>
      <c r="C767" s="258">
        <f t="shared" si="103"/>
        <v>5.5</v>
      </c>
      <c r="D767" s="212">
        <v>575028.36</v>
      </c>
      <c r="E767">
        <v>17</v>
      </c>
      <c r="F767">
        <f t="shared" si="100"/>
        <v>11.5</v>
      </c>
      <c r="G767" s="90">
        <f>'Proposed Rates'!$O$55/100</f>
        <v>0</v>
      </c>
      <c r="H767" s="212">
        <f t="shared" si="101"/>
        <v>186038.5870588235</v>
      </c>
      <c r="I767" s="212">
        <f t="shared" si="102"/>
        <v>6612826.1399999997</v>
      </c>
    </row>
    <row r="768" spans="1:10" outlineLevel="2" x14ac:dyDescent="0.25">
      <c r="A768">
        <v>39100</v>
      </c>
      <c r="B768">
        <v>2017</v>
      </c>
      <c r="C768" s="258">
        <f t="shared" si="103"/>
        <v>6.5</v>
      </c>
      <c r="D768" s="212">
        <v>91250.94</v>
      </c>
      <c r="E768">
        <v>17</v>
      </c>
      <c r="F768">
        <f t="shared" si="100"/>
        <v>10.5</v>
      </c>
      <c r="G768" s="90">
        <f>'Proposed Rates'!$O$55/100</f>
        <v>0</v>
      </c>
      <c r="H768" s="212">
        <f t="shared" si="101"/>
        <v>34890.065294117645</v>
      </c>
      <c r="I768" s="212">
        <f t="shared" si="102"/>
        <v>958134.87</v>
      </c>
    </row>
    <row r="769" spans="1:10" outlineLevel="2" x14ac:dyDescent="0.25">
      <c r="A769">
        <v>39100</v>
      </c>
      <c r="B769">
        <v>2016</v>
      </c>
      <c r="C769" s="258">
        <f t="shared" si="103"/>
        <v>7.5</v>
      </c>
      <c r="D769" s="212">
        <v>305779.15999999997</v>
      </c>
      <c r="E769">
        <v>17</v>
      </c>
      <c r="F769">
        <f t="shared" si="97"/>
        <v>9.5</v>
      </c>
      <c r="G769" s="90">
        <f>'Proposed Rates'!$O$55/100</f>
        <v>0</v>
      </c>
      <c r="H769" s="212">
        <f t="shared" si="98"/>
        <v>134902.57058823528</v>
      </c>
      <c r="I769" s="212">
        <f t="shared" si="99"/>
        <v>2904902.0199999996</v>
      </c>
    </row>
    <row r="770" spans="1:10" outlineLevel="2" x14ac:dyDescent="0.25">
      <c r="A770">
        <v>39100</v>
      </c>
      <c r="B770">
        <v>2015</v>
      </c>
      <c r="C770" s="258">
        <f t="shared" si="103"/>
        <v>8.5</v>
      </c>
      <c r="D770" s="212">
        <v>52030.62</v>
      </c>
      <c r="E770">
        <v>17</v>
      </c>
      <c r="F770">
        <f t="shared" si="97"/>
        <v>8.5</v>
      </c>
      <c r="G770" s="90">
        <f>'Proposed Rates'!$O$55/100</f>
        <v>0</v>
      </c>
      <c r="H770" s="212">
        <f t="shared" si="98"/>
        <v>26015.31</v>
      </c>
      <c r="I770" s="212">
        <f t="shared" si="99"/>
        <v>442260.27</v>
      </c>
    </row>
    <row r="771" spans="1:10" outlineLevel="2" x14ac:dyDescent="0.25">
      <c r="A771">
        <v>39100</v>
      </c>
      <c r="B771">
        <v>2014</v>
      </c>
      <c r="C771" s="258">
        <f t="shared" si="103"/>
        <v>9.5</v>
      </c>
      <c r="D771" s="212">
        <v>17304.09</v>
      </c>
      <c r="E771">
        <v>17</v>
      </c>
      <c r="F771">
        <f t="shared" si="97"/>
        <v>7.5</v>
      </c>
      <c r="G771" s="90">
        <f>'Proposed Rates'!$O$55/100</f>
        <v>0</v>
      </c>
      <c r="H771" s="212">
        <f t="shared" si="98"/>
        <v>9669.9326470588239</v>
      </c>
      <c r="I771" s="212">
        <f t="shared" si="99"/>
        <v>129780.675</v>
      </c>
    </row>
    <row r="772" spans="1:10" outlineLevel="2" x14ac:dyDescent="0.25">
      <c r="A772">
        <v>39100</v>
      </c>
      <c r="B772">
        <v>2013</v>
      </c>
      <c r="C772" s="258">
        <f t="shared" si="103"/>
        <v>10.5</v>
      </c>
      <c r="D772" s="212">
        <v>54887.66</v>
      </c>
      <c r="E772">
        <v>17</v>
      </c>
      <c r="F772">
        <f t="shared" si="97"/>
        <v>6.5</v>
      </c>
      <c r="G772" s="90">
        <f>'Proposed Rates'!$O$55/100</f>
        <v>0</v>
      </c>
      <c r="H772" s="212">
        <f t="shared" si="98"/>
        <v>33901.201764705889</v>
      </c>
      <c r="I772" s="212">
        <f t="shared" si="99"/>
        <v>356769.79000000004</v>
      </c>
    </row>
    <row r="773" spans="1:10" outlineLevel="2" x14ac:dyDescent="0.25">
      <c r="A773">
        <v>39100</v>
      </c>
      <c r="B773">
        <v>2012</v>
      </c>
      <c r="C773" s="258">
        <f t="shared" si="103"/>
        <v>11.5</v>
      </c>
      <c r="D773" s="212">
        <v>46697.45</v>
      </c>
      <c r="E773">
        <v>17</v>
      </c>
      <c r="F773">
        <f t="shared" si="97"/>
        <v>5.5</v>
      </c>
      <c r="G773" s="90">
        <f>'Proposed Rates'!$O$55/100</f>
        <v>0</v>
      </c>
      <c r="H773" s="212">
        <f t="shared" si="98"/>
        <v>31589.451470588236</v>
      </c>
      <c r="I773" s="212">
        <f t="shared" si="99"/>
        <v>256835.97499999998</v>
      </c>
    </row>
    <row r="774" spans="1:10" outlineLevel="2" x14ac:dyDescent="0.25">
      <c r="A774">
        <v>39100</v>
      </c>
      <c r="B774">
        <v>2011</v>
      </c>
      <c r="C774" s="258">
        <f t="shared" si="103"/>
        <v>12.5</v>
      </c>
      <c r="D774" s="212">
        <v>271246.45</v>
      </c>
      <c r="E774">
        <v>17</v>
      </c>
      <c r="F774">
        <f t="shared" si="97"/>
        <v>4.5</v>
      </c>
      <c r="G774" s="90">
        <f>'Proposed Rates'!$O$55/100</f>
        <v>0</v>
      </c>
      <c r="H774" s="212">
        <f t="shared" si="98"/>
        <v>199445.91911764708</v>
      </c>
      <c r="I774" s="212">
        <f t="shared" si="99"/>
        <v>1220609.0250000001</v>
      </c>
    </row>
    <row r="775" spans="1:10" outlineLevel="2" x14ac:dyDescent="0.25">
      <c r="A775">
        <v>39100</v>
      </c>
      <c r="B775">
        <v>2010</v>
      </c>
      <c r="C775" s="258">
        <f t="shared" si="103"/>
        <v>13.5</v>
      </c>
      <c r="D775" s="212">
        <v>40633.46</v>
      </c>
      <c r="E775">
        <v>17</v>
      </c>
      <c r="F775">
        <f t="shared" si="97"/>
        <v>3.5</v>
      </c>
      <c r="G775" s="90">
        <f>'Proposed Rates'!$O$55/100</f>
        <v>0</v>
      </c>
      <c r="H775" s="212">
        <f t="shared" si="98"/>
        <v>32267.747647058826</v>
      </c>
      <c r="I775" s="212">
        <f t="shared" si="99"/>
        <v>142217.10999999999</v>
      </c>
    </row>
    <row r="776" spans="1:10" outlineLevel="2" x14ac:dyDescent="0.25">
      <c r="A776">
        <v>39100</v>
      </c>
      <c r="B776">
        <v>2009</v>
      </c>
      <c r="C776" s="258">
        <f t="shared" si="103"/>
        <v>14.5</v>
      </c>
      <c r="D776" s="212">
        <v>19483.57</v>
      </c>
      <c r="E776">
        <v>17</v>
      </c>
      <c r="F776">
        <f t="shared" si="97"/>
        <v>2.5</v>
      </c>
      <c r="G776" s="90">
        <f>'Proposed Rates'!$O$55/100</f>
        <v>0</v>
      </c>
      <c r="H776" s="212">
        <f t="shared" si="98"/>
        <v>16618.339117647058</v>
      </c>
      <c r="I776" s="212">
        <f t="shared" si="99"/>
        <v>48708.925000000003</v>
      </c>
    </row>
    <row r="777" spans="1:10" outlineLevel="2" x14ac:dyDescent="0.25">
      <c r="A777">
        <v>39100</v>
      </c>
      <c r="B777">
        <v>2007</v>
      </c>
      <c r="C777" s="258">
        <f t="shared" si="103"/>
        <v>16.5</v>
      </c>
      <c r="D777" s="212">
        <v>118417.47</v>
      </c>
      <c r="E777">
        <v>17</v>
      </c>
      <c r="F777">
        <f t="shared" si="97"/>
        <v>0.5</v>
      </c>
      <c r="G777" s="90">
        <f>'Proposed Rates'!$O$55/100</f>
        <v>0</v>
      </c>
      <c r="H777" s="212">
        <f t="shared" si="98"/>
        <v>114934.60323529411</v>
      </c>
      <c r="I777" s="212">
        <f t="shared" si="99"/>
        <v>59208.735000000001</v>
      </c>
    </row>
    <row r="778" spans="1:10" outlineLevel="2" x14ac:dyDescent="0.25">
      <c r="A778">
        <v>39100</v>
      </c>
      <c r="B778">
        <v>2006</v>
      </c>
      <c r="C778" s="258">
        <f t="shared" si="103"/>
        <v>17.5</v>
      </c>
      <c r="D778" s="212">
        <v>79485</v>
      </c>
      <c r="E778">
        <v>17</v>
      </c>
      <c r="F778">
        <v>0</v>
      </c>
      <c r="G778" s="90">
        <f>'Proposed Rates'!$O$55/100</f>
        <v>0</v>
      </c>
      <c r="H778" s="212">
        <f t="shared" si="98"/>
        <v>79485</v>
      </c>
      <c r="I778" s="212">
        <f t="shared" si="99"/>
        <v>0</v>
      </c>
    </row>
    <row r="779" spans="1:10" ht="13" outlineLevel="1" x14ac:dyDescent="0.3">
      <c r="A779" s="18" t="s">
        <v>1194</v>
      </c>
      <c r="C779" s="258" t="s">
        <v>1229</v>
      </c>
      <c r="D779" s="212">
        <f>SUBTOTAL(9,D762:D778)</f>
        <v>2151949.7299999995</v>
      </c>
      <c r="F779" s="77" t="s">
        <v>1229</v>
      </c>
      <c r="H779" s="212">
        <f>SUBTOTAL(9,H762:H778)</f>
        <v>960077.26794117631</v>
      </c>
      <c r="I779" s="212">
        <f>SUBTOTAL(9,I762:I778)</f>
        <v>20261831.854999997</v>
      </c>
      <c r="J779" s="212">
        <f>+I779/D779</f>
        <v>9.4155693195491139</v>
      </c>
    </row>
    <row r="780" spans="1:10" outlineLevel="2" x14ac:dyDescent="0.25">
      <c r="A780">
        <v>39101</v>
      </c>
      <c r="B780">
        <v>2023</v>
      </c>
      <c r="C780" s="258">
        <f t="shared" si="103"/>
        <v>0.5</v>
      </c>
      <c r="D780" s="212">
        <v>2673941.5970000001</v>
      </c>
      <c r="E780">
        <v>9</v>
      </c>
      <c r="F780">
        <f t="shared" ref="F780:F781" si="104">+E780-C780</f>
        <v>8.5</v>
      </c>
      <c r="G780" s="90">
        <f>'Proposed Rates'!$O$56/100</f>
        <v>0</v>
      </c>
      <c r="H780" s="212">
        <f t="shared" ref="H780:H781" si="105">+D780*(1-F780/E780)*(1-G780)</f>
        <v>148552.3109444445</v>
      </c>
      <c r="I780" s="212">
        <f t="shared" ref="I780:I781" si="106">+D780*F780</f>
        <v>22728503.574500002</v>
      </c>
    </row>
    <row r="781" spans="1:10" outlineLevel="2" x14ac:dyDescent="0.25">
      <c r="A781">
        <v>39101</v>
      </c>
      <c r="B781">
        <v>2022</v>
      </c>
      <c r="C781" s="258">
        <f t="shared" si="103"/>
        <v>1.5</v>
      </c>
      <c r="D781" s="212">
        <v>47509.97</v>
      </c>
      <c r="E781">
        <v>9</v>
      </c>
      <c r="F781">
        <f t="shared" si="104"/>
        <v>7.5</v>
      </c>
      <c r="G781" s="90">
        <f>'Proposed Rates'!$O$56/100</f>
        <v>0</v>
      </c>
      <c r="H781" s="212">
        <f t="shared" si="105"/>
        <v>7918.328333333332</v>
      </c>
      <c r="I781" s="212">
        <f t="shared" si="106"/>
        <v>356324.77500000002</v>
      </c>
    </row>
    <row r="782" spans="1:10" outlineLevel="2" x14ac:dyDescent="0.25">
      <c r="A782">
        <v>39101</v>
      </c>
      <c r="B782">
        <v>2021</v>
      </c>
      <c r="C782" s="258">
        <f t="shared" si="103"/>
        <v>2.5</v>
      </c>
      <c r="D782" s="212">
        <v>8106.39</v>
      </c>
      <c r="E782">
        <v>9</v>
      </c>
      <c r="F782">
        <f t="shared" ref="F782:F788" si="107">+E782-C782</f>
        <v>6.5</v>
      </c>
      <c r="G782" s="90">
        <f>'Proposed Rates'!$O$56/100</f>
        <v>0</v>
      </c>
      <c r="H782" s="212">
        <f t="shared" ref="H782" si="108">+D782*(1-F782/E782)*(1-G782)</f>
        <v>2251.7750000000001</v>
      </c>
      <c r="I782" s="212">
        <f t="shared" ref="I782" si="109">+D782*F782</f>
        <v>52691.535000000003</v>
      </c>
    </row>
    <row r="783" spans="1:10" outlineLevel="2" x14ac:dyDescent="0.25">
      <c r="A783">
        <v>39101</v>
      </c>
      <c r="B783">
        <v>2020</v>
      </c>
      <c r="C783" s="258">
        <f t="shared" si="103"/>
        <v>3.5</v>
      </c>
      <c r="D783" s="212">
        <v>138455</v>
      </c>
      <c r="E783">
        <v>9</v>
      </c>
      <c r="F783">
        <f t="shared" si="107"/>
        <v>5.5</v>
      </c>
      <c r="G783" s="90">
        <f>'Proposed Rates'!$O$56/100</f>
        <v>0</v>
      </c>
      <c r="H783" s="212">
        <f t="shared" si="91"/>
        <v>53843.611111111102</v>
      </c>
      <c r="I783" s="212">
        <f t="shared" ref="I783:I848" si="110">+D783*F783</f>
        <v>761502.5</v>
      </c>
    </row>
    <row r="784" spans="1:10" outlineLevel="2" x14ac:dyDescent="0.25">
      <c r="A784">
        <v>39101</v>
      </c>
      <c r="B784">
        <v>2019</v>
      </c>
      <c r="C784" s="258">
        <f t="shared" si="103"/>
        <v>4.5</v>
      </c>
      <c r="D784" s="212">
        <v>1630801.36</v>
      </c>
      <c r="E784">
        <v>9</v>
      </c>
      <c r="F784">
        <f t="shared" si="107"/>
        <v>4.5</v>
      </c>
      <c r="G784" s="90">
        <f>'Proposed Rates'!$O$56/100</f>
        <v>0</v>
      </c>
      <c r="H784" s="212">
        <f t="shared" ref="H784:H791" si="111">+D784*(1-F784/E784)*(1-G784)</f>
        <v>815400.68</v>
      </c>
      <c r="I784" s="212">
        <f t="shared" ref="I784:I791" si="112">+D784*F784</f>
        <v>7338606.1200000001</v>
      </c>
    </row>
    <row r="785" spans="1:10" outlineLevel="2" x14ac:dyDescent="0.25">
      <c r="A785">
        <v>39101</v>
      </c>
      <c r="B785">
        <v>2018</v>
      </c>
      <c r="C785" s="258">
        <f t="shared" si="103"/>
        <v>5.5</v>
      </c>
      <c r="D785" s="212">
        <v>82269.73</v>
      </c>
      <c r="E785">
        <v>9</v>
      </c>
      <c r="F785">
        <f t="shared" si="107"/>
        <v>3.5</v>
      </c>
      <c r="G785" s="90">
        <f>'Proposed Rates'!$O$56/100</f>
        <v>0</v>
      </c>
      <c r="H785" s="212">
        <f t="shared" si="111"/>
        <v>50275.946111111116</v>
      </c>
      <c r="I785" s="212">
        <f t="shared" si="112"/>
        <v>287944.05499999999</v>
      </c>
    </row>
    <row r="786" spans="1:10" outlineLevel="2" x14ac:dyDescent="0.25">
      <c r="A786">
        <v>39101</v>
      </c>
      <c r="B786">
        <v>2017</v>
      </c>
      <c r="C786" s="258">
        <f t="shared" si="103"/>
        <v>6.5</v>
      </c>
      <c r="D786" s="212">
        <v>11535.38</v>
      </c>
      <c r="E786">
        <v>9</v>
      </c>
      <c r="F786">
        <f t="shared" si="107"/>
        <v>2.5</v>
      </c>
      <c r="G786" s="90">
        <f>'Proposed Rates'!$O$56/100</f>
        <v>0</v>
      </c>
      <c r="H786" s="212">
        <f t="shared" si="111"/>
        <v>8331.1077777777773</v>
      </c>
      <c r="I786" s="212">
        <f t="shared" si="112"/>
        <v>28838.449999999997</v>
      </c>
    </row>
    <row r="787" spans="1:10" outlineLevel="2" x14ac:dyDescent="0.25">
      <c r="A787">
        <v>39101</v>
      </c>
      <c r="B787">
        <v>2016</v>
      </c>
      <c r="C787" s="258">
        <f t="shared" si="103"/>
        <v>7.5</v>
      </c>
      <c r="D787" s="212">
        <v>175832.21</v>
      </c>
      <c r="E787">
        <v>9</v>
      </c>
      <c r="F787">
        <f t="shared" si="107"/>
        <v>1.5</v>
      </c>
      <c r="G787" s="90">
        <f>'Proposed Rates'!$O$56/100</f>
        <v>0</v>
      </c>
      <c r="H787" s="212">
        <f t="shared" si="111"/>
        <v>146526.84166666667</v>
      </c>
      <c r="I787" s="212">
        <f t="shared" si="112"/>
        <v>263748.315</v>
      </c>
    </row>
    <row r="788" spans="1:10" outlineLevel="2" x14ac:dyDescent="0.25">
      <c r="A788">
        <v>39101</v>
      </c>
      <c r="B788">
        <v>2015</v>
      </c>
      <c r="C788" s="258">
        <f t="shared" si="103"/>
        <v>8.5</v>
      </c>
      <c r="D788" s="212">
        <v>574371.25</v>
      </c>
      <c r="E788">
        <v>9</v>
      </c>
      <c r="F788">
        <f t="shared" si="107"/>
        <v>0.5</v>
      </c>
      <c r="G788" s="90">
        <f>'Proposed Rates'!$O$56/100</f>
        <v>0</v>
      </c>
      <c r="H788" s="212">
        <f t="shared" si="111"/>
        <v>542461.73611111112</v>
      </c>
      <c r="I788" s="212">
        <f t="shared" si="112"/>
        <v>287185.625</v>
      </c>
    </row>
    <row r="789" spans="1:10" outlineLevel="2" x14ac:dyDescent="0.25">
      <c r="A789">
        <v>39101</v>
      </c>
      <c r="B789">
        <v>2014</v>
      </c>
      <c r="C789" s="258">
        <f t="shared" si="103"/>
        <v>9.5</v>
      </c>
      <c r="D789" s="212">
        <v>431635.95</v>
      </c>
      <c r="E789">
        <v>9</v>
      </c>
      <c r="F789">
        <v>0</v>
      </c>
      <c r="G789" s="90">
        <f>'Proposed Rates'!$O$56/100</f>
        <v>0</v>
      </c>
      <c r="H789" s="212">
        <f t="shared" si="111"/>
        <v>431635.95</v>
      </c>
      <c r="I789" s="212">
        <f t="shared" si="112"/>
        <v>0</v>
      </c>
    </row>
    <row r="790" spans="1:10" outlineLevel="2" x14ac:dyDescent="0.25">
      <c r="A790">
        <v>39101</v>
      </c>
      <c r="B790">
        <v>2013</v>
      </c>
      <c r="C790" s="258">
        <f t="shared" si="103"/>
        <v>10.5</v>
      </c>
      <c r="D790" s="212">
        <v>100249.64</v>
      </c>
      <c r="E790">
        <v>9</v>
      </c>
      <c r="F790">
        <v>0</v>
      </c>
      <c r="G790" s="90">
        <f>'Proposed Rates'!$O$56/100</f>
        <v>0</v>
      </c>
      <c r="H790" s="212">
        <f t="shared" si="111"/>
        <v>100249.64</v>
      </c>
      <c r="I790" s="212">
        <f t="shared" si="112"/>
        <v>0</v>
      </c>
    </row>
    <row r="791" spans="1:10" outlineLevel="2" x14ac:dyDescent="0.25">
      <c r="A791">
        <v>39101</v>
      </c>
      <c r="B791">
        <v>2012</v>
      </c>
      <c r="C791" s="258">
        <f t="shared" si="103"/>
        <v>11.5</v>
      </c>
      <c r="D791" s="212">
        <v>57597.38</v>
      </c>
      <c r="E791">
        <v>9</v>
      </c>
      <c r="F791">
        <v>0</v>
      </c>
      <c r="G791" s="90">
        <f>'Proposed Rates'!$O$56/100</f>
        <v>0</v>
      </c>
      <c r="H791" s="212">
        <f t="shared" si="111"/>
        <v>57597.38</v>
      </c>
      <c r="I791" s="212">
        <f t="shared" si="112"/>
        <v>0</v>
      </c>
    </row>
    <row r="792" spans="1:10" ht="13" outlineLevel="1" x14ac:dyDescent="0.3">
      <c r="A792" s="18" t="s">
        <v>1195</v>
      </c>
      <c r="C792" s="258"/>
      <c r="D792" s="212">
        <f>SUBTOTAL(9,D780:D791)</f>
        <v>5932305.8570000008</v>
      </c>
      <c r="H792" s="212">
        <f>SUBTOTAL(9,H780:H791)</f>
        <v>2365045.3070555557</v>
      </c>
      <c r="I792" s="212">
        <f>SUBTOTAL(9,I780:I791)</f>
        <v>32105344.949500002</v>
      </c>
      <c r="J792" s="212">
        <f>+I792/D792</f>
        <v>5.4119503820957489</v>
      </c>
    </row>
    <row r="793" spans="1:10" outlineLevel="2" x14ac:dyDescent="0.25">
      <c r="A793">
        <v>39102</v>
      </c>
      <c r="B793">
        <v>2022</v>
      </c>
      <c r="C793" s="258">
        <f t="shared" si="103"/>
        <v>1.5</v>
      </c>
      <c r="D793" s="212">
        <v>67254.5</v>
      </c>
      <c r="E793">
        <v>15</v>
      </c>
      <c r="F793">
        <f t="shared" si="97"/>
        <v>13.5</v>
      </c>
      <c r="G793" s="90">
        <f>'Proposed Rates'!$O$57/100</f>
        <v>0</v>
      </c>
      <c r="H793" s="212">
        <f t="shared" si="91"/>
        <v>6725.4499999999989</v>
      </c>
      <c r="I793" s="212">
        <f t="shared" si="110"/>
        <v>907935.75</v>
      </c>
    </row>
    <row r="794" spans="1:10" outlineLevel="2" x14ac:dyDescent="0.25">
      <c r="A794">
        <v>39102</v>
      </c>
      <c r="B794">
        <v>2020</v>
      </c>
      <c r="C794" s="258">
        <f t="shared" si="103"/>
        <v>3.5</v>
      </c>
      <c r="D794" s="212">
        <v>16678.310000000001</v>
      </c>
      <c r="E794">
        <v>15</v>
      </c>
      <c r="F794">
        <f t="shared" si="97"/>
        <v>11.5</v>
      </c>
      <c r="G794" s="90">
        <f>'Proposed Rates'!$O$57/100</f>
        <v>0</v>
      </c>
      <c r="H794" s="212">
        <f t="shared" ref="H794:H799" si="113">+D794*(1-F794/E794)*(1-G794)</f>
        <v>3891.6056666666659</v>
      </c>
      <c r="I794" s="212">
        <f t="shared" ref="I794:I799" si="114">+D794*F794</f>
        <v>191800.565</v>
      </c>
    </row>
    <row r="795" spans="1:10" outlineLevel="2" x14ac:dyDescent="0.25">
      <c r="A795">
        <v>39102</v>
      </c>
      <c r="B795">
        <v>2019</v>
      </c>
      <c r="C795" s="258">
        <f t="shared" si="103"/>
        <v>4.5</v>
      </c>
      <c r="D795" s="212">
        <v>123272.16</v>
      </c>
      <c r="E795">
        <v>15</v>
      </c>
      <c r="F795">
        <f t="shared" si="97"/>
        <v>10.5</v>
      </c>
      <c r="G795" s="90">
        <f>'Proposed Rates'!$O$57/100</f>
        <v>0</v>
      </c>
      <c r="H795" s="212">
        <f t="shared" si="113"/>
        <v>36981.648000000008</v>
      </c>
      <c r="I795" s="212">
        <f t="shared" si="114"/>
        <v>1294357.68</v>
      </c>
    </row>
    <row r="796" spans="1:10" outlineLevel="2" x14ac:dyDescent="0.25">
      <c r="A796">
        <v>39102</v>
      </c>
      <c r="B796">
        <v>2018</v>
      </c>
      <c r="C796" s="258">
        <f t="shared" si="103"/>
        <v>5.5</v>
      </c>
      <c r="D796" s="212">
        <v>16931.7</v>
      </c>
      <c r="E796">
        <v>15</v>
      </c>
      <c r="F796">
        <f t="shared" si="97"/>
        <v>9.5</v>
      </c>
      <c r="G796" s="90">
        <f>'Proposed Rates'!$O$57/100</f>
        <v>0</v>
      </c>
      <c r="H796" s="212">
        <f t="shared" si="113"/>
        <v>6208.2900000000009</v>
      </c>
      <c r="I796" s="212">
        <f t="shared" si="114"/>
        <v>160851.15</v>
      </c>
    </row>
    <row r="797" spans="1:10" outlineLevel="2" x14ac:dyDescent="0.25">
      <c r="A797">
        <v>39102</v>
      </c>
      <c r="B797">
        <v>2017</v>
      </c>
      <c r="C797" s="258">
        <f t="shared" si="103"/>
        <v>6.5</v>
      </c>
      <c r="D797" s="212">
        <v>443681.45</v>
      </c>
      <c r="E797">
        <v>15</v>
      </c>
      <c r="F797">
        <f t="shared" si="97"/>
        <v>8.5</v>
      </c>
      <c r="G797" s="90">
        <f>'Proposed Rates'!$O$57/100</f>
        <v>0</v>
      </c>
      <c r="H797" s="212">
        <f t="shared" si="113"/>
        <v>192261.96166666667</v>
      </c>
      <c r="I797" s="212">
        <f t="shared" si="114"/>
        <v>3771292.3250000002</v>
      </c>
    </row>
    <row r="798" spans="1:10" outlineLevel="2" x14ac:dyDescent="0.25">
      <c r="A798">
        <v>39102</v>
      </c>
      <c r="B798">
        <v>2016</v>
      </c>
      <c r="C798" s="258">
        <f t="shared" si="103"/>
        <v>7.5</v>
      </c>
      <c r="D798" s="212">
        <v>65264.69</v>
      </c>
      <c r="E798">
        <v>15</v>
      </c>
      <c r="F798">
        <f t="shared" si="97"/>
        <v>7.5</v>
      </c>
      <c r="G798" s="90">
        <f>'Proposed Rates'!$O$57/100</f>
        <v>0</v>
      </c>
      <c r="H798" s="212">
        <f t="shared" si="113"/>
        <v>32632.345000000001</v>
      </c>
      <c r="I798" s="212">
        <f t="shared" si="114"/>
        <v>489485.17500000005</v>
      </c>
    </row>
    <row r="799" spans="1:10" outlineLevel="2" x14ac:dyDescent="0.25">
      <c r="A799">
        <v>39102</v>
      </c>
      <c r="B799">
        <v>2015</v>
      </c>
      <c r="C799" s="258">
        <f t="shared" si="103"/>
        <v>8.5</v>
      </c>
      <c r="D799" s="212">
        <v>32576.23</v>
      </c>
      <c r="E799">
        <v>15</v>
      </c>
      <c r="F799">
        <f t="shared" si="97"/>
        <v>6.5</v>
      </c>
      <c r="G799" s="90">
        <f>'Proposed Rates'!$O$57/100</f>
        <v>0</v>
      </c>
      <c r="H799" s="212">
        <f t="shared" si="113"/>
        <v>18459.863666666664</v>
      </c>
      <c r="I799" s="212">
        <f t="shared" si="114"/>
        <v>211745.495</v>
      </c>
    </row>
    <row r="800" spans="1:10" outlineLevel="2" x14ac:dyDescent="0.25">
      <c r="A800">
        <v>39102</v>
      </c>
      <c r="B800">
        <v>2014</v>
      </c>
      <c r="C800" s="258">
        <f t="shared" si="103"/>
        <v>9.5</v>
      </c>
      <c r="D800" s="212">
        <v>15220.5</v>
      </c>
      <c r="E800">
        <v>15</v>
      </c>
      <c r="F800">
        <f t="shared" si="97"/>
        <v>5.5</v>
      </c>
      <c r="G800" s="90">
        <f>'Proposed Rates'!$O$57/100</f>
        <v>0</v>
      </c>
      <c r="H800" s="212">
        <f t="shared" si="91"/>
        <v>9639.65</v>
      </c>
      <c r="I800" s="212">
        <f t="shared" si="110"/>
        <v>83712.75</v>
      </c>
    </row>
    <row r="801" spans="1:10" outlineLevel="2" x14ac:dyDescent="0.25">
      <c r="A801">
        <v>39102</v>
      </c>
      <c r="B801">
        <v>2013</v>
      </c>
      <c r="C801" s="258">
        <f t="shared" si="103"/>
        <v>10.5</v>
      </c>
      <c r="D801" s="212">
        <v>257470.04</v>
      </c>
      <c r="E801">
        <v>15</v>
      </c>
      <c r="F801">
        <f t="shared" si="97"/>
        <v>4.5</v>
      </c>
      <c r="G801" s="90">
        <f>'Proposed Rates'!$O$57/100</f>
        <v>0</v>
      </c>
      <c r="H801" s="212">
        <f t="shared" ref="H801:H803" si="115">+D801*(1-F801/E801)*(1-G801)</f>
        <v>180229.02799999999</v>
      </c>
      <c r="I801" s="212">
        <f t="shared" ref="I801:I803" si="116">+D801*F801</f>
        <v>1158615.18</v>
      </c>
    </row>
    <row r="802" spans="1:10" outlineLevel="2" x14ac:dyDescent="0.25">
      <c r="A802">
        <v>39102</v>
      </c>
      <c r="B802">
        <v>2012</v>
      </c>
      <c r="C802" s="258">
        <f t="shared" si="103"/>
        <v>11.5</v>
      </c>
      <c r="D802" s="212">
        <v>9286.1299999999992</v>
      </c>
      <c r="E802">
        <v>15</v>
      </c>
      <c r="F802">
        <f t="shared" ref="F802" si="117">+E802-C802</f>
        <v>3.5</v>
      </c>
      <c r="G802" s="90">
        <f>'Proposed Rates'!$O$57/100</f>
        <v>0</v>
      </c>
      <c r="H802" s="212">
        <f t="shared" ref="H802" si="118">+D802*(1-F802/E802)*(1-G802)</f>
        <v>7119.3663333333325</v>
      </c>
      <c r="I802" s="212">
        <f t="shared" ref="I802" si="119">+D802*F802</f>
        <v>32501.454999999998</v>
      </c>
    </row>
    <row r="803" spans="1:10" outlineLevel="2" x14ac:dyDescent="0.25">
      <c r="A803">
        <v>39102</v>
      </c>
      <c r="B803">
        <v>2011</v>
      </c>
      <c r="C803" s="258">
        <f t="shared" si="103"/>
        <v>12.5</v>
      </c>
      <c r="D803" s="212">
        <v>277041.59000000003</v>
      </c>
      <c r="E803">
        <v>15</v>
      </c>
      <c r="F803">
        <f t="shared" si="97"/>
        <v>2.5</v>
      </c>
      <c r="G803" s="90">
        <f>'Proposed Rates'!$O$57/100</f>
        <v>0</v>
      </c>
      <c r="H803" s="212">
        <f t="shared" si="115"/>
        <v>230867.9916666667</v>
      </c>
      <c r="I803" s="212">
        <f t="shared" si="116"/>
        <v>692603.97500000009</v>
      </c>
    </row>
    <row r="804" spans="1:10" outlineLevel="2" x14ac:dyDescent="0.25">
      <c r="A804">
        <v>39102</v>
      </c>
      <c r="B804">
        <v>2010</v>
      </c>
      <c r="C804" s="258">
        <f t="shared" si="103"/>
        <v>13.5</v>
      </c>
      <c r="D804" s="212">
        <v>11701.77</v>
      </c>
      <c r="E804">
        <v>15</v>
      </c>
      <c r="F804">
        <f t="shared" si="97"/>
        <v>1.5</v>
      </c>
      <c r="G804" s="90">
        <f>'Proposed Rates'!$O$57/100</f>
        <v>0</v>
      </c>
      <c r="H804" s="212">
        <f t="shared" si="91"/>
        <v>10531.593000000001</v>
      </c>
      <c r="I804" s="212">
        <f t="shared" si="110"/>
        <v>17552.654999999999</v>
      </c>
    </row>
    <row r="805" spans="1:10" outlineLevel="2" x14ac:dyDescent="0.25">
      <c r="A805">
        <v>39102</v>
      </c>
      <c r="B805">
        <v>2009</v>
      </c>
      <c r="C805" s="258">
        <f t="shared" si="103"/>
        <v>14.5</v>
      </c>
      <c r="D805" s="212">
        <v>3389.84</v>
      </c>
      <c r="E805">
        <v>15</v>
      </c>
      <c r="F805">
        <v>0</v>
      </c>
      <c r="G805" s="90">
        <f>'Proposed Rates'!$O$57/100</f>
        <v>0</v>
      </c>
      <c r="H805" s="212">
        <f t="shared" si="91"/>
        <v>3389.84</v>
      </c>
      <c r="I805" s="212">
        <f t="shared" si="110"/>
        <v>0</v>
      </c>
    </row>
    <row r="806" spans="1:10" outlineLevel="2" x14ac:dyDescent="0.25">
      <c r="A806">
        <v>39102</v>
      </c>
      <c r="B806">
        <v>2008</v>
      </c>
      <c r="C806" s="258">
        <f t="shared" si="103"/>
        <v>15.5</v>
      </c>
      <c r="D806" s="212">
        <v>3705.13</v>
      </c>
      <c r="E806">
        <v>15</v>
      </c>
      <c r="F806">
        <v>0</v>
      </c>
      <c r="G806" s="90">
        <f>'Proposed Rates'!$O$57/100</f>
        <v>0</v>
      </c>
      <c r="H806" s="212">
        <f t="shared" si="91"/>
        <v>3705.13</v>
      </c>
      <c r="I806" s="212">
        <f t="shared" si="110"/>
        <v>0</v>
      </c>
    </row>
    <row r="807" spans="1:10" outlineLevel="2" x14ac:dyDescent="0.25">
      <c r="A807">
        <v>39102</v>
      </c>
      <c r="B807">
        <v>2007</v>
      </c>
      <c r="C807" s="258">
        <f t="shared" si="103"/>
        <v>16.5</v>
      </c>
      <c r="D807" s="212">
        <v>100172.03</v>
      </c>
      <c r="E807">
        <v>15</v>
      </c>
      <c r="F807">
        <v>0</v>
      </c>
      <c r="G807" s="90">
        <f>'Proposed Rates'!$O$57/100</f>
        <v>0</v>
      </c>
      <c r="H807" s="212">
        <f t="shared" si="91"/>
        <v>100172.03</v>
      </c>
      <c r="I807" s="212">
        <f t="shared" si="110"/>
        <v>0</v>
      </c>
    </row>
    <row r="808" spans="1:10" outlineLevel="2" x14ac:dyDescent="0.25">
      <c r="A808">
        <v>39102</v>
      </c>
      <c r="B808">
        <v>2006</v>
      </c>
      <c r="C808" s="258">
        <f t="shared" si="103"/>
        <v>17.5</v>
      </c>
      <c r="D808" s="212">
        <v>10052.629999999999</v>
      </c>
      <c r="E808">
        <v>15</v>
      </c>
      <c r="F808">
        <v>0</v>
      </c>
      <c r="G808" s="90">
        <f>'Proposed Rates'!$O$57/100</f>
        <v>0</v>
      </c>
      <c r="H808" s="212">
        <f t="shared" si="91"/>
        <v>10052.629999999999</v>
      </c>
      <c r="I808" s="212">
        <f t="shared" si="110"/>
        <v>0</v>
      </c>
    </row>
    <row r="809" spans="1:10" outlineLevel="2" x14ac:dyDescent="0.25">
      <c r="A809">
        <v>39102</v>
      </c>
      <c r="B809">
        <v>2005</v>
      </c>
      <c r="C809" s="258">
        <f t="shared" si="103"/>
        <v>18.5</v>
      </c>
      <c r="D809" s="212">
        <v>15753.72</v>
      </c>
      <c r="E809">
        <v>15</v>
      </c>
      <c r="F809">
        <v>0</v>
      </c>
      <c r="G809" s="90">
        <f>'Proposed Rates'!$O$57/100</f>
        <v>0</v>
      </c>
      <c r="H809" s="212">
        <f t="shared" si="91"/>
        <v>15753.72</v>
      </c>
      <c r="I809" s="212">
        <f t="shared" si="110"/>
        <v>0</v>
      </c>
    </row>
    <row r="810" spans="1:10" outlineLevel="2" x14ac:dyDescent="0.25">
      <c r="A810">
        <v>39102</v>
      </c>
      <c r="B810">
        <v>2004</v>
      </c>
      <c r="C810" s="258">
        <f t="shared" si="103"/>
        <v>19.5</v>
      </c>
      <c r="D810" s="212">
        <v>50945.45</v>
      </c>
      <c r="E810">
        <v>15</v>
      </c>
      <c r="F810">
        <v>0</v>
      </c>
      <c r="G810" s="90">
        <f>'Proposed Rates'!$O$57/100</f>
        <v>0</v>
      </c>
      <c r="H810" s="212">
        <f t="shared" si="91"/>
        <v>50945.45</v>
      </c>
      <c r="I810" s="212">
        <f t="shared" si="110"/>
        <v>0</v>
      </c>
    </row>
    <row r="811" spans="1:10" outlineLevel="2" x14ac:dyDescent="0.25">
      <c r="A811">
        <v>39102</v>
      </c>
      <c r="B811">
        <v>2002</v>
      </c>
      <c r="C811" s="258">
        <f t="shared" si="103"/>
        <v>21.5</v>
      </c>
      <c r="D811" s="212">
        <v>9275.92</v>
      </c>
      <c r="E811">
        <v>15</v>
      </c>
      <c r="F811">
        <v>0</v>
      </c>
      <c r="G811" s="90">
        <f>'Proposed Rates'!$O$57/100</f>
        <v>0</v>
      </c>
      <c r="H811" s="212">
        <f t="shared" si="91"/>
        <v>9275.92</v>
      </c>
      <c r="I811" s="212">
        <f t="shared" si="110"/>
        <v>0</v>
      </c>
    </row>
    <row r="812" spans="1:10" ht="13" outlineLevel="1" x14ac:dyDescent="0.3">
      <c r="A812" s="18" t="s">
        <v>1196</v>
      </c>
      <c r="C812" s="258" t="s">
        <v>1229</v>
      </c>
      <c r="D812" s="212">
        <f>SUBTOTAL(9,D793:D811)</f>
        <v>1529673.7899999998</v>
      </c>
      <c r="H812" s="212">
        <f>SUBTOTAL(9,H793:H811)</f>
        <v>928843.51299999992</v>
      </c>
      <c r="I812" s="212">
        <f>SUBTOTAL(9,I793:I811)</f>
        <v>9012454.1549999993</v>
      </c>
      <c r="J812" s="212">
        <f>+I812/D812</f>
        <v>5.8917490865813953</v>
      </c>
    </row>
    <row r="813" spans="1:10" outlineLevel="2" x14ac:dyDescent="0.25">
      <c r="A813">
        <v>39201</v>
      </c>
      <c r="B813">
        <v>2023</v>
      </c>
      <c r="C813" s="258">
        <f t="shared" si="103"/>
        <v>0.5</v>
      </c>
      <c r="D813" s="257">
        <v>6169828.3810000001</v>
      </c>
      <c r="E813">
        <v>8</v>
      </c>
      <c r="F813">
        <v>7.5011140000000003</v>
      </c>
      <c r="G813" s="90">
        <f>'Proposed Rates'!$O$38/100</f>
        <v>0.11</v>
      </c>
      <c r="H813" s="212">
        <f t="shared" si="91"/>
        <v>342432.06143729656</v>
      </c>
      <c r="I813" s="212">
        <f t="shared" si="110"/>
        <v>46280586.046316437</v>
      </c>
    </row>
    <row r="814" spans="1:10" outlineLevel="2" x14ac:dyDescent="0.25">
      <c r="A814">
        <v>39201</v>
      </c>
      <c r="B814">
        <v>2022</v>
      </c>
      <c r="C814" s="258">
        <f t="shared" si="103"/>
        <v>1.5</v>
      </c>
      <c r="D814" s="257">
        <v>1724117.87</v>
      </c>
      <c r="E814">
        <v>8</v>
      </c>
      <c r="F814">
        <v>6.525328</v>
      </c>
      <c r="G814" s="90">
        <f>'Proposed Rates'!$O$38/100</f>
        <v>0.11</v>
      </c>
      <c r="H814" s="212">
        <f t="shared" si="91"/>
        <v>282854.05366923625</v>
      </c>
      <c r="I814" s="212">
        <f t="shared" si="110"/>
        <v>11250434.612411361</v>
      </c>
    </row>
    <row r="815" spans="1:10" outlineLevel="2" x14ac:dyDescent="0.25">
      <c r="A815">
        <v>39201</v>
      </c>
      <c r="B815">
        <v>2021</v>
      </c>
      <c r="C815" s="258">
        <f t="shared" si="103"/>
        <v>2.5</v>
      </c>
      <c r="D815" s="257">
        <v>444941.58</v>
      </c>
      <c r="E815">
        <v>8</v>
      </c>
      <c r="F815">
        <v>5.6049100000000003</v>
      </c>
      <c r="G815" s="90">
        <f>'Proposed Rates'!$O$38/100</f>
        <v>0.11</v>
      </c>
      <c r="H815" s="212">
        <f t="shared" ref="H815:H821" si="120">+D815*(1-F815/E815)*(1-G815)</f>
        <v>118556.35808369474</v>
      </c>
      <c r="I815" s="212">
        <f t="shared" ref="I815:I821" si="121">+D815*F815</f>
        <v>2493857.5111578004</v>
      </c>
    </row>
    <row r="816" spans="1:10" outlineLevel="2" x14ac:dyDescent="0.25">
      <c r="A816">
        <v>39201</v>
      </c>
      <c r="B816">
        <v>2020</v>
      </c>
      <c r="C816" s="258">
        <f t="shared" si="103"/>
        <v>3.5</v>
      </c>
      <c r="D816" s="257">
        <v>905277.36</v>
      </c>
      <c r="E816">
        <v>8</v>
      </c>
      <c r="F816">
        <v>4.7608139999999999</v>
      </c>
      <c r="G816" s="90">
        <f>'Proposed Rates'!$O$38/100</f>
        <v>0.11</v>
      </c>
      <c r="H816" s="212">
        <f t="shared" si="120"/>
        <v>326225.24475747178</v>
      </c>
      <c r="I816" s="212">
        <f t="shared" si="121"/>
        <v>4309857.1293710396</v>
      </c>
    </row>
    <row r="817" spans="1:22" outlineLevel="2" x14ac:dyDescent="0.25">
      <c r="A817">
        <v>39201</v>
      </c>
      <c r="B817">
        <v>2019</v>
      </c>
      <c r="C817" s="258">
        <f t="shared" si="103"/>
        <v>4.5</v>
      </c>
      <c r="D817" s="257">
        <v>644561.13</v>
      </c>
      <c r="E817">
        <v>8</v>
      </c>
      <c r="F817">
        <v>4.0408670000000004</v>
      </c>
      <c r="G817" s="90">
        <f>'Proposed Rates'!$O$38/100</f>
        <v>0.11</v>
      </c>
      <c r="H817" s="212">
        <f t="shared" si="120"/>
        <v>283899.23548340728</v>
      </c>
      <c r="I817" s="212">
        <f t="shared" si="121"/>
        <v>2604585.7996997102</v>
      </c>
    </row>
    <row r="818" spans="1:22" outlineLevel="2" x14ac:dyDescent="0.25">
      <c r="A818">
        <v>39201</v>
      </c>
      <c r="B818">
        <v>2018</v>
      </c>
      <c r="C818" s="258">
        <f t="shared" si="103"/>
        <v>5.5</v>
      </c>
      <c r="D818" s="257">
        <v>332369.98</v>
      </c>
      <c r="E818">
        <v>8</v>
      </c>
      <c r="F818">
        <v>3.488842</v>
      </c>
      <c r="G818" s="90">
        <f>'Proposed Rates'!$O$38/100</f>
        <v>0.11</v>
      </c>
      <c r="H818" s="212">
        <f t="shared" si="120"/>
        <v>166805.30123384844</v>
      </c>
      <c r="I818" s="212">
        <f t="shared" si="121"/>
        <v>1159586.3457631599</v>
      </c>
    </row>
    <row r="819" spans="1:22" outlineLevel="2" x14ac:dyDescent="0.25">
      <c r="A819">
        <v>39201</v>
      </c>
      <c r="B819">
        <v>2017</v>
      </c>
      <c r="C819" s="258">
        <f t="shared" si="103"/>
        <v>6.5</v>
      </c>
      <c r="D819" s="257">
        <v>740847.12</v>
      </c>
      <c r="E819">
        <v>8</v>
      </c>
      <c r="F819">
        <v>3.1165280000000002</v>
      </c>
      <c r="G819" s="90">
        <f>'Proposed Rates'!$O$38/100</f>
        <v>0.11</v>
      </c>
      <c r="H819" s="212">
        <f t="shared" si="120"/>
        <v>402492.06105657114</v>
      </c>
      <c r="I819" s="212">
        <f t="shared" si="121"/>
        <v>2308870.7931993599</v>
      </c>
    </row>
    <row r="820" spans="1:22" outlineLevel="2" x14ac:dyDescent="0.25">
      <c r="A820">
        <v>39201</v>
      </c>
      <c r="B820">
        <v>2016</v>
      </c>
      <c r="C820" s="258">
        <f t="shared" si="103"/>
        <v>7.5</v>
      </c>
      <c r="D820" s="257">
        <v>792209.89</v>
      </c>
      <c r="E820">
        <v>8</v>
      </c>
      <c r="F820">
        <v>2.8787219999999998</v>
      </c>
      <c r="G820" s="90">
        <f>'Proposed Rates'!$O$38/100</f>
        <v>0.11</v>
      </c>
      <c r="H820" s="212">
        <f t="shared" si="120"/>
        <v>451355.3877656355</v>
      </c>
      <c r="I820" s="212">
        <f t="shared" si="121"/>
        <v>2280552.0389605798</v>
      </c>
    </row>
    <row r="821" spans="1:22" outlineLevel="2" x14ac:dyDescent="0.25">
      <c r="A821">
        <v>39201</v>
      </c>
      <c r="B821">
        <v>2015</v>
      </c>
      <c r="C821" s="258">
        <f t="shared" si="103"/>
        <v>8.5</v>
      </c>
      <c r="D821" s="257">
        <v>1016083.21</v>
      </c>
      <c r="E821">
        <v>8</v>
      </c>
      <c r="F821">
        <v>2.6922030000000001</v>
      </c>
      <c r="G821" s="90">
        <f>'Proposed Rates'!$O$38/100</f>
        <v>0.11</v>
      </c>
      <c r="H821" s="212">
        <f t="shared" si="120"/>
        <v>599989.42978395615</v>
      </c>
      <c r="I821" s="212">
        <f t="shared" si="121"/>
        <v>2735502.2662116298</v>
      </c>
      <c r="V821" s="77" t="s">
        <v>1229</v>
      </c>
    </row>
    <row r="822" spans="1:22" outlineLevel="2" x14ac:dyDescent="0.25">
      <c r="A822">
        <v>39201</v>
      </c>
      <c r="B822">
        <v>2014</v>
      </c>
      <c r="C822" s="258">
        <f t="shared" si="103"/>
        <v>9.5</v>
      </c>
      <c r="D822" s="257">
        <v>168286.89</v>
      </c>
      <c r="E822">
        <v>8</v>
      </c>
      <c r="F822">
        <v>2.4909059999999998</v>
      </c>
      <c r="G822" s="90">
        <f>'Proposed Rates'!$O$38/100</f>
        <v>0.11</v>
      </c>
      <c r="H822" s="212">
        <f t="shared" si="91"/>
        <v>103140.79792751469</v>
      </c>
      <c r="I822" s="212">
        <f t="shared" si="110"/>
        <v>419186.82402234001</v>
      </c>
    </row>
    <row r="823" spans="1:22" outlineLevel="2" x14ac:dyDescent="0.25">
      <c r="A823">
        <v>39201</v>
      </c>
      <c r="B823">
        <v>2013</v>
      </c>
      <c r="C823" s="258">
        <f t="shared" si="103"/>
        <v>10.5</v>
      </c>
      <c r="D823" s="257">
        <v>742667.23</v>
      </c>
      <c r="E823">
        <v>8</v>
      </c>
      <c r="F823">
        <v>2.2623920000000002</v>
      </c>
      <c r="G823" s="90">
        <f>'Proposed Rates'!$O$38/100</f>
        <v>0.11</v>
      </c>
      <c r="H823" s="212">
        <f t="shared" si="91"/>
        <v>474051.09522067464</v>
      </c>
      <c r="I823" s="212">
        <f t="shared" si="110"/>
        <v>1680204.3998141601</v>
      </c>
    </row>
    <row r="824" spans="1:22" outlineLevel="2" x14ac:dyDescent="0.25">
      <c r="A824">
        <v>39201</v>
      </c>
      <c r="B824">
        <v>2012</v>
      </c>
      <c r="C824" s="258">
        <f t="shared" si="103"/>
        <v>11.5</v>
      </c>
      <c r="D824" s="257">
        <v>152253.16</v>
      </c>
      <c r="E824">
        <v>8</v>
      </c>
      <c r="F824">
        <v>2.027609</v>
      </c>
      <c r="G824" s="90">
        <f>'Proposed Rates'!$O$38/100</f>
        <v>0.11</v>
      </c>
      <c r="H824" s="212">
        <f t="shared" si="91"/>
        <v>101161.33852874357</v>
      </c>
      <c r="I824" s="212">
        <f t="shared" si="110"/>
        <v>308709.87749444001</v>
      </c>
    </row>
    <row r="825" spans="1:22" outlineLevel="2" x14ac:dyDescent="0.25">
      <c r="A825">
        <v>39201</v>
      </c>
      <c r="B825">
        <v>2011</v>
      </c>
      <c r="C825" s="258">
        <f t="shared" si="103"/>
        <v>12.5</v>
      </c>
      <c r="D825" s="257">
        <v>504980.21</v>
      </c>
      <c r="E825">
        <v>8</v>
      </c>
      <c r="F825">
        <v>1.8062959999999999</v>
      </c>
      <c r="G825" s="90">
        <f>'Proposed Rates'!$O$38/100</f>
        <v>0.11</v>
      </c>
      <c r="H825" s="212">
        <f t="shared" si="91"/>
        <v>347956.39655900974</v>
      </c>
      <c r="I825" s="212">
        <f t="shared" si="110"/>
        <v>912143.73340216</v>
      </c>
    </row>
    <row r="826" spans="1:22" outlineLevel="2" x14ac:dyDescent="0.25">
      <c r="A826">
        <v>39201</v>
      </c>
      <c r="B826">
        <v>2010</v>
      </c>
      <c r="C826" s="258">
        <f t="shared" si="103"/>
        <v>13.5</v>
      </c>
      <c r="D826" s="257">
        <v>424184.03</v>
      </c>
      <c r="E826">
        <v>8</v>
      </c>
      <c r="F826">
        <v>1.6073299999999999</v>
      </c>
      <c r="G826" s="90">
        <f>'Proposed Rates'!$O$38/100</f>
        <v>0.11</v>
      </c>
      <c r="H826" s="212">
        <f t="shared" si="91"/>
        <v>301673.12319043616</v>
      </c>
      <c r="I826" s="212">
        <f t="shared" si="110"/>
        <v>681803.71693990007</v>
      </c>
    </row>
    <row r="827" spans="1:22" outlineLevel="2" x14ac:dyDescent="0.25">
      <c r="A827">
        <v>39201</v>
      </c>
      <c r="B827">
        <v>2009</v>
      </c>
      <c r="C827" s="258">
        <f t="shared" ref="C827:C889" si="122">2023.5-B827</f>
        <v>14.5</v>
      </c>
      <c r="D827" s="257">
        <v>246695.29</v>
      </c>
      <c r="E827">
        <v>8</v>
      </c>
      <c r="F827">
        <v>1.433211</v>
      </c>
      <c r="G827" s="90">
        <f>'Proposed Rates'!$O$38/100</f>
        <v>0.11</v>
      </c>
      <c r="H827" s="212">
        <f t="shared" si="91"/>
        <v>180224.54573552389</v>
      </c>
      <c r="I827" s="212">
        <f t="shared" si="110"/>
        <v>353566.40327618999</v>
      </c>
    </row>
    <row r="828" spans="1:22" outlineLevel="2" x14ac:dyDescent="0.25">
      <c r="A828">
        <v>39201</v>
      </c>
      <c r="B828">
        <v>2008</v>
      </c>
      <c r="C828" s="258">
        <f t="shared" si="122"/>
        <v>15.5</v>
      </c>
      <c r="D828" s="257">
        <v>71314.789999999994</v>
      </c>
      <c r="E828">
        <v>8</v>
      </c>
      <c r="F828">
        <v>1.283657</v>
      </c>
      <c r="G828" s="90">
        <f>'Proposed Rates'!$O$38/100</f>
        <v>0.11</v>
      </c>
      <c r="H828" s="212">
        <f t="shared" ref="H828:H834" si="123">+D828*(1-F828/E828)*(1-G828)</f>
        <v>53285.92320569291</v>
      </c>
      <c r="I828" s="212">
        <f t="shared" ref="I828:I834" si="124">+D828*F828</f>
        <v>91543.729387029991</v>
      </c>
    </row>
    <row r="829" spans="1:22" outlineLevel="2" x14ac:dyDescent="0.25">
      <c r="A829">
        <v>39201</v>
      </c>
      <c r="B829">
        <v>2007</v>
      </c>
      <c r="C829" s="258">
        <f t="shared" si="122"/>
        <v>16.5</v>
      </c>
      <c r="D829" s="257">
        <v>37028.730000000003</v>
      </c>
      <c r="E829">
        <v>8</v>
      </c>
      <c r="F829">
        <v>1.1552450000000001</v>
      </c>
      <c r="G829" s="90">
        <f>'Proposed Rates'!$O$38/100</f>
        <v>0.11</v>
      </c>
      <c r="H829" s="212">
        <f t="shared" si="123"/>
        <v>28196.600060240442</v>
      </c>
      <c r="I829" s="212">
        <f t="shared" si="124"/>
        <v>42777.255188850009</v>
      </c>
    </row>
    <row r="830" spans="1:22" outlineLevel="2" x14ac:dyDescent="0.25">
      <c r="A830">
        <v>39201</v>
      </c>
      <c r="B830">
        <v>2006</v>
      </c>
      <c r="C830" s="258">
        <f t="shared" si="122"/>
        <v>17.5</v>
      </c>
      <c r="D830" s="257">
        <v>87562.880000000005</v>
      </c>
      <c r="E830">
        <v>8</v>
      </c>
      <c r="F830">
        <v>1.041066</v>
      </c>
      <c r="G830" s="90">
        <f>'Proposed Rates'!$O$38/100</f>
        <v>0.11</v>
      </c>
      <c r="H830" s="212">
        <f t="shared" si="123"/>
        <v>67789.553683153616</v>
      </c>
      <c r="I830" s="212">
        <f t="shared" si="124"/>
        <v>91158.737230080005</v>
      </c>
    </row>
    <row r="831" spans="1:22" outlineLevel="2" x14ac:dyDescent="0.25">
      <c r="A831">
        <v>39201</v>
      </c>
      <c r="B831">
        <v>2005</v>
      </c>
      <c r="C831" s="258">
        <f t="shared" si="122"/>
        <v>18.5</v>
      </c>
      <c r="D831" s="257">
        <v>22425.81</v>
      </c>
      <c r="E831">
        <v>8</v>
      </c>
      <c r="F831">
        <v>0.95473200000000003</v>
      </c>
      <c r="G831" s="90">
        <f>'Proposed Rates'!$O$38/100</f>
        <v>0.11</v>
      </c>
      <c r="H831" s="212">
        <f t="shared" si="123"/>
        <v>17577.037374337651</v>
      </c>
      <c r="I831" s="212">
        <f t="shared" si="124"/>
        <v>21410.638432920001</v>
      </c>
    </row>
    <row r="832" spans="1:22" outlineLevel="2" x14ac:dyDescent="0.25">
      <c r="A832">
        <v>39201</v>
      </c>
      <c r="B832">
        <v>2004</v>
      </c>
      <c r="C832" s="258">
        <f t="shared" si="122"/>
        <v>19.5</v>
      </c>
      <c r="D832" s="257">
        <v>74529.36</v>
      </c>
      <c r="E832">
        <v>8</v>
      </c>
      <c r="F832">
        <v>0.60967300000000002</v>
      </c>
      <c r="G832" s="90">
        <f>'Proposed Rates'!$O$38/100</f>
        <v>0.11</v>
      </c>
      <c r="H832" s="212">
        <f t="shared" si="123"/>
        <v>61276.092991955105</v>
      </c>
      <c r="I832" s="212">
        <f t="shared" si="124"/>
        <v>45438.538499280003</v>
      </c>
    </row>
    <row r="833" spans="1:10" outlineLevel="2" x14ac:dyDescent="0.25">
      <c r="A833">
        <v>39201</v>
      </c>
      <c r="B833">
        <v>2002</v>
      </c>
      <c r="C833" s="258">
        <f t="shared" si="122"/>
        <v>21.5</v>
      </c>
      <c r="D833" s="257">
        <v>42654.92</v>
      </c>
      <c r="E833">
        <v>8</v>
      </c>
      <c r="F833">
        <v>0</v>
      </c>
      <c r="G833" s="90">
        <f>'Proposed Rates'!$O$38/100</f>
        <v>0.11</v>
      </c>
      <c r="H833" s="212">
        <f t="shared" si="123"/>
        <v>37962.878799999999</v>
      </c>
      <c r="I833" s="212">
        <f t="shared" si="124"/>
        <v>0</v>
      </c>
    </row>
    <row r="834" spans="1:10" outlineLevel="2" x14ac:dyDescent="0.25">
      <c r="A834">
        <v>39201</v>
      </c>
      <c r="B834">
        <v>2001</v>
      </c>
      <c r="C834" s="258">
        <f t="shared" si="122"/>
        <v>22.5</v>
      </c>
      <c r="D834" s="257">
        <v>36755.440000000002</v>
      </c>
      <c r="E834">
        <v>8</v>
      </c>
      <c r="F834">
        <v>0</v>
      </c>
      <c r="G834" s="90">
        <f>'Proposed Rates'!$O$38/100</f>
        <v>0.11</v>
      </c>
      <c r="H834" s="212">
        <f t="shared" si="123"/>
        <v>32712.341600000003</v>
      </c>
      <c r="I834" s="212">
        <f t="shared" si="124"/>
        <v>0</v>
      </c>
    </row>
    <row r="835" spans="1:10" ht="13" outlineLevel="1" x14ac:dyDescent="0.3">
      <c r="A835" s="18" t="s">
        <v>1197</v>
      </c>
      <c r="C835" s="258">
        <f t="shared" si="122"/>
        <v>2023.5</v>
      </c>
      <c r="D835" s="212">
        <f>SUBTOTAL(9,D813:D834)</f>
        <v>15381575.261000002</v>
      </c>
      <c r="H835" s="212">
        <f>SUBTOTAL(9,H813:H834)</f>
        <v>4781616.8581483997</v>
      </c>
      <c r="I835" s="212">
        <f>SUBTOTAL(9,I813:I834)</f>
        <v>80071776.39677842</v>
      </c>
      <c r="J835" s="212">
        <f>+I835/D835</f>
        <v>5.2056941527829395</v>
      </c>
    </row>
    <row r="836" spans="1:10" outlineLevel="2" x14ac:dyDescent="0.25">
      <c r="A836">
        <v>39202</v>
      </c>
      <c r="B836">
        <v>2022</v>
      </c>
      <c r="C836" s="258">
        <f t="shared" si="122"/>
        <v>1.5</v>
      </c>
      <c r="D836" s="212">
        <v>2475253.83</v>
      </c>
      <c r="E836">
        <v>10</v>
      </c>
      <c r="F836">
        <v>8.5012860000000003</v>
      </c>
      <c r="G836" s="90">
        <f>'Proposed Rates'!$O$39/100</f>
        <v>0.11</v>
      </c>
      <c r="H836" s="212">
        <f t="shared" ref="H836:H896" si="125">+D836*(1-F836/E836)*(1-G836)</f>
        <v>330163.08360314119</v>
      </c>
      <c r="I836" s="212">
        <f t="shared" si="110"/>
        <v>21042840.731425382</v>
      </c>
    </row>
    <row r="837" spans="1:10" outlineLevel="2" x14ac:dyDescent="0.25">
      <c r="A837">
        <v>39202</v>
      </c>
      <c r="B837">
        <v>2021</v>
      </c>
      <c r="C837" s="258">
        <f t="shared" si="122"/>
        <v>2.5</v>
      </c>
      <c r="D837" s="212">
        <v>2259093.98</v>
      </c>
      <c r="E837">
        <v>10</v>
      </c>
      <c r="F837">
        <v>7.5197130000000003</v>
      </c>
      <c r="G837" s="90">
        <f>'Proposed Rates'!$O$39/100</f>
        <v>0.11</v>
      </c>
      <c r="H837" s="212">
        <f t="shared" si="125"/>
        <v>498684.92730313109</v>
      </c>
      <c r="I837" s="212">
        <f t="shared" si="110"/>
        <v>16987738.36962774</v>
      </c>
    </row>
    <row r="838" spans="1:10" outlineLevel="2" x14ac:dyDescent="0.25">
      <c r="A838">
        <v>39202</v>
      </c>
      <c r="B838">
        <v>2020</v>
      </c>
      <c r="C838" s="258">
        <f t="shared" si="122"/>
        <v>3.5</v>
      </c>
      <c r="D838" s="212">
        <v>2150749.91</v>
      </c>
      <c r="E838">
        <v>10</v>
      </c>
      <c r="F838">
        <v>6.5766720000000003</v>
      </c>
      <c r="G838" s="90">
        <f>'Proposed Rates'!$O$39/100</f>
        <v>0.11</v>
      </c>
      <c r="H838" s="212">
        <f t="shared" si="125"/>
        <v>655282.29252314277</v>
      </c>
      <c r="I838" s="212">
        <f t="shared" si="110"/>
        <v>14144776.712099522</v>
      </c>
    </row>
    <row r="839" spans="1:10" outlineLevel="2" x14ac:dyDescent="0.25">
      <c r="A839">
        <v>39202</v>
      </c>
      <c r="B839">
        <v>2019</v>
      </c>
      <c r="C839" s="258">
        <f t="shared" si="122"/>
        <v>4.5</v>
      </c>
      <c r="D839" s="212">
        <v>3533710.6</v>
      </c>
      <c r="E839">
        <v>10</v>
      </c>
      <c r="F839">
        <v>5.6848380000000001</v>
      </c>
      <c r="G839" s="90">
        <f>'Proposed Rates'!$O$39/100</f>
        <v>0.11</v>
      </c>
      <c r="H839" s="212">
        <f t="shared" si="125"/>
        <v>1357119.4993104308</v>
      </c>
      <c r="I839" s="212">
        <f t="shared" si="110"/>
        <v>20088572.299882799</v>
      </c>
    </row>
    <row r="840" spans="1:10" outlineLevel="2" x14ac:dyDescent="0.25">
      <c r="A840">
        <v>39202</v>
      </c>
      <c r="B840">
        <v>2018</v>
      </c>
      <c r="C840" s="258">
        <f t="shared" si="122"/>
        <v>5.5</v>
      </c>
      <c r="D840" s="212">
        <v>1935383.29</v>
      </c>
      <c r="E840">
        <v>10</v>
      </c>
      <c r="F840">
        <v>4.8689450000000001</v>
      </c>
      <c r="G840" s="90">
        <f>'Proposed Rates'!$O$39/100</f>
        <v>0.11</v>
      </c>
      <c r="H840" s="212">
        <f t="shared" ref="H840:H847" si="126">+D840*(1-F840/E840)*(1-G840)</f>
        <v>883819.67152931448</v>
      </c>
      <c r="I840" s="212">
        <f t="shared" ref="I840:I847" si="127">+D840*F840</f>
        <v>9423274.7929290496</v>
      </c>
    </row>
    <row r="841" spans="1:10" outlineLevel="2" x14ac:dyDescent="0.25">
      <c r="A841">
        <v>39202</v>
      </c>
      <c r="B841">
        <v>2017</v>
      </c>
      <c r="C841" s="258">
        <f t="shared" si="122"/>
        <v>6.5</v>
      </c>
      <c r="D841" s="212">
        <v>1279351.26</v>
      </c>
      <c r="E841">
        <v>10</v>
      </c>
      <c r="F841">
        <v>4.1828209999999997</v>
      </c>
      <c r="G841" s="90">
        <f>'Proposed Rates'!$O$39/100</f>
        <v>0.11</v>
      </c>
      <c r="H841" s="212">
        <f t="shared" si="126"/>
        <v>662357.16021330305</v>
      </c>
      <c r="I841" s="212">
        <f t="shared" si="127"/>
        <v>5351297.3167044595</v>
      </c>
    </row>
    <row r="842" spans="1:10" outlineLevel="2" x14ac:dyDescent="0.25">
      <c r="A842">
        <v>39202</v>
      </c>
      <c r="B842">
        <v>2016</v>
      </c>
      <c r="C842" s="258">
        <f t="shared" si="122"/>
        <v>7.5</v>
      </c>
      <c r="D842" s="212">
        <v>1068257.92</v>
      </c>
      <c r="E842">
        <v>10</v>
      </c>
      <c r="F842">
        <v>3.6712199999999999</v>
      </c>
      <c r="G842" s="90">
        <f>'Proposed Rates'!$O$39/100</f>
        <v>0.11</v>
      </c>
      <c r="H842" s="212">
        <f t="shared" si="126"/>
        <v>601708.4729454465</v>
      </c>
      <c r="I842" s="212">
        <f t="shared" si="127"/>
        <v>3921809.8410623996</v>
      </c>
    </row>
    <row r="843" spans="1:10" outlineLevel="2" x14ac:dyDescent="0.25">
      <c r="A843">
        <v>39202</v>
      </c>
      <c r="B843">
        <v>2015</v>
      </c>
      <c r="C843" s="258">
        <f t="shared" si="122"/>
        <v>8.5</v>
      </c>
      <c r="D843" s="212">
        <v>792939.6</v>
      </c>
      <c r="E843">
        <v>10</v>
      </c>
      <c r="F843">
        <v>3.330425</v>
      </c>
      <c r="G843" s="90">
        <f>'Proposed Rates'!$O$39/100</f>
        <v>0.11</v>
      </c>
      <c r="H843" s="212">
        <f t="shared" si="126"/>
        <v>470682.74180762999</v>
      </c>
      <c r="I843" s="212">
        <f t="shared" si="127"/>
        <v>2640825.8673299998</v>
      </c>
    </row>
    <row r="844" spans="1:10" outlineLevel="2" x14ac:dyDescent="0.25">
      <c r="A844">
        <v>39202</v>
      </c>
      <c r="B844">
        <v>2014</v>
      </c>
      <c r="C844" s="258">
        <f t="shared" si="122"/>
        <v>9.5</v>
      </c>
      <c r="D844" s="212">
        <v>540415.86</v>
      </c>
      <c r="E844">
        <v>10</v>
      </c>
      <c r="F844">
        <v>3.11158</v>
      </c>
      <c r="G844" s="90">
        <f>'Proposed Rates'!$O$39/100</f>
        <v>0.11</v>
      </c>
      <c r="H844" s="212">
        <f t="shared" si="126"/>
        <v>331312.41623236676</v>
      </c>
      <c r="I844" s="212">
        <f t="shared" si="127"/>
        <v>1681547.1816588</v>
      </c>
    </row>
    <row r="845" spans="1:10" outlineLevel="2" x14ac:dyDescent="0.25">
      <c r="A845">
        <v>39202</v>
      </c>
      <c r="B845">
        <v>2013</v>
      </c>
      <c r="C845" s="258">
        <f t="shared" si="122"/>
        <v>10.5</v>
      </c>
      <c r="D845" s="212">
        <v>543449.19999999995</v>
      </c>
      <c r="E845">
        <v>10</v>
      </c>
      <c r="F845">
        <v>2.9432559999999999</v>
      </c>
      <c r="G845" s="90">
        <f>'Proposed Rates'!$O$39/100</f>
        <v>0.11</v>
      </c>
      <c r="H845" s="212">
        <f t="shared" si="126"/>
        <v>341313.38744502718</v>
      </c>
      <c r="I845" s="212">
        <f t="shared" si="127"/>
        <v>1599510.1185951999</v>
      </c>
    </row>
    <row r="846" spans="1:10" outlineLevel="2" x14ac:dyDescent="0.25">
      <c r="A846">
        <v>39202</v>
      </c>
      <c r="B846">
        <v>2012</v>
      </c>
      <c r="C846" s="258">
        <f t="shared" si="122"/>
        <v>11.5</v>
      </c>
      <c r="D846" s="212">
        <v>164947.66</v>
      </c>
      <c r="E846">
        <v>10</v>
      </c>
      <c r="F846">
        <v>2.7621199999999999</v>
      </c>
      <c r="G846" s="90">
        <f>'Proposed Rates'!$O$39/100</f>
        <v>0.11</v>
      </c>
      <c r="H846" s="212">
        <f t="shared" si="126"/>
        <v>106254.55187311121</v>
      </c>
      <c r="I846" s="212">
        <f t="shared" si="127"/>
        <v>455605.23063920002</v>
      </c>
    </row>
    <row r="847" spans="1:10" outlineLevel="2" x14ac:dyDescent="0.25">
      <c r="A847">
        <v>39202</v>
      </c>
      <c r="B847">
        <v>2011</v>
      </c>
      <c r="C847" s="258">
        <f t="shared" si="122"/>
        <v>12.5</v>
      </c>
      <c r="D847" s="212">
        <v>427348.14</v>
      </c>
      <c r="E847">
        <v>10</v>
      </c>
      <c r="F847">
        <v>2.5417860000000001</v>
      </c>
      <c r="G847" s="90">
        <f>'Proposed Rates'!$O$39/100</f>
        <v>0.11</v>
      </c>
      <c r="H847" s="212">
        <f t="shared" si="126"/>
        <v>283665.5953753544</v>
      </c>
      <c r="I847" s="212">
        <f t="shared" si="127"/>
        <v>1086227.51937804</v>
      </c>
    </row>
    <row r="848" spans="1:10" outlineLevel="2" x14ac:dyDescent="0.25">
      <c r="A848">
        <v>39202</v>
      </c>
      <c r="B848">
        <v>2010</v>
      </c>
      <c r="C848" s="258">
        <f t="shared" si="122"/>
        <v>13.5</v>
      </c>
      <c r="D848" s="212">
        <v>274641.56</v>
      </c>
      <c r="E848">
        <v>10</v>
      </c>
      <c r="F848">
        <v>2.2926169999999999</v>
      </c>
      <c r="G848" s="90">
        <f>'Proposed Rates'!$O$39/100</f>
        <v>0.11</v>
      </c>
      <c r="H848" s="212">
        <f t="shared" si="125"/>
        <v>188392.32446673571</v>
      </c>
      <c r="I848" s="212">
        <f t="shared" si="110"/>
        <v>629647.90936251997</v>
      </c>
    </row>
    <row r="849" spans="1:10" outlineLevel="2" x14ac:dyDescent="0.25">
      <c r="A849">
        <v>39202</v>
      </c>
      <c r="B849">
        <v>2008</v>
      </c>
      <c r="C849" s="258">
        <f t="shared" si="122"/>
        <v>15.5</v>
      </c>
      <c r="D849" s="212">
        <v>73253.509999999995</v>
      </c>
      <c r="E849">
        <v>10</v>
      </c>
      <c r="F849">
        <v>1.7878849999999999</v>
      </c>
      <c r="G849" s="90">
        <f>'Proposed Rates'!$O$39/100</f>
        <v>0.11</v>
      </c>
      <c r="H849" s="212">
        <f t="shared" ref="H849:H854" si="128">+D849*(1-F849/E849)*(1-G849)</f>
        <v>53539.396096354852</v>
      </c>
      <c r="I849" s="212">
        <f t="shared" ref="I849:I854" si="129">+D849*F849</f>
        <v>130968.85172634998</v>
      </c>
    </row>
    <row r="850" spans="1:10" outlineLevel="2" x14ac:dyDescent="0.25">
      <c r="A850">
        <v>39202</v>
      </c>
      <c r="B850">
        <v>2007</v>
      </c>
      <c r="C850" s="258">
        <f t="shared" si="122"/>
        <v>16.5</v>
      </c>
      <c r="D850" s="212">
        <v>147650.81</v>
      </c>
      <c r="E850">
        <v>10</v>
      </c>
      <c r="F850">
        <v>1.5527820000000001</v>
      </c>
      <c r="G850" s="90">
        <f>'Proposed Rates'!$O$39/100</f>
        <v>0.11</v>
      </c>
      <c r="H850" s="212">
        <f t="shared" si="128"/>
        <v>111004.23361524563</v>
      </c>
      <c r="I850" s="212">
        <f t="shared" si="129"/>
        <v>229269.52005342001</v>
      </c>
    </row>
    <row r="851" spans="1:10" outlineLevel="2" x14ac:dyDescent="0.25">
      <c r="A851">
        <v>39202</v>
      </c>
      <c r="B851">
        <v>2006</v>
      </c>
      <c r="C851" s="258">
        <f t="shared" si="122"/>
        <v>17.5</v>
      </c>
      <c r="D851" s="212">
        <v>24202.13</v>
      </c>
      <c r="E851">
        <v>10</v>
      </c>
      <c r="F851">
        <v>1.3320380000000001</v>
      </c>
      <c r="G851" s="90">
        <f>'Proposed Rates'!$O$39/100</f>
        <v>0.11</v>
      </c>
      <c r="H851" s="212">
        <f t="shared" ref="H851:H853" si="130">+D851*(1-F851/E851)*(1-G851)</f>
        <v>18670.699741156342</v>
      </c>
      <c r="I851" s="212">
        <f t="shared" ref="I851:I853" si="131">+D851*F851</f>
        <v>32238.156840940002</v>
      </c>
    </row>
    <row r="852" spans="1:10" outlineLevel="2" x14ac:dyDescent="0.25">
      <c r="A852">
        <v>39202</v>
      </c>
      <c r="B852">
        <v>2005</v>
      </c>
      <c r="C852" s="258">
        <f t="shared" si="122"/>
        <v>18.5</v>
      </c>
      <c r="D852" s="212">
        <v>34520.57</v>
      </c>
      <c r="E852">
        <v>10</v>
      </c>
      <c r="F852">
        <v>1.1253789999999999</v>
      </c>
      <c r="G852" s="90">
        <f>'Proposed Rates'!$O$39/100</f>
        <v>0.11</v>
      </c>
      <c r="H852" s="212">
        <f t="shared" si="130"/>
        <v>27265.770815403332</v>
      </c>
      <c r="I852" s="212">
        <f t="shared" si="131"/>
        <v>38848.724546029996</v>
      </c>
    </row>
    <row r="853" spans="1:10" outlineLevel="2" x14ac:dyDescent="0.25">
      <c r="A853">
        <v>39202</v>
      </c>
      <c r="B853">
        <v>2002</v>
      </c>
      <c r="C853" s="258">
        <f t="shared" si="122"/>
        <v>21.5</v>
      </c>
      <c r="D853" s="212">
        <v>50180.97</v>
      </c>
      <c r="E853">
        <v>10</v>
      </c>
      <c r="F853">
        <v>0.60716599999999998</v>
      </c>
      <c r="G853" s="90">
        <f>'Proposed Rates'!$O$39/100</f>
        <v>0.11</v>
      </c>
      <c r="H853" s="212">
        <f t="shared" si="130"/>
        <v>41949.395384039221</v>
      </c>
      <c r="I853" s="212">
        <f t="shared" si="131"/>
        <v>30468.178831019999</v>
      </c>
    </row>
    <row r="854" spans="1:10" outlineLevel="2" x14ac:dyDescent="0.25">
      <c r="A854">
        <v>39202</v>
      </c>
      <c r="B854">
        <v>1999</v>
      </c>
      <c r="C854" s="258">
        <f t="shared" si="122"/>
        <v>24.5</v>
      </c>
      <c r="D854" s="212">
        <v>28303.89</v>
      </c>
      <c r="E854">
        <v>10</v>
      </c>
      <c r="F854">
        <v>0</v>
      </c>
      <c r="G854" s="90">
        <f>'Proposed Rates'!$O$39/100</f>
        <v>0.11</v>
      </c>
      <c r="H854" s="212">
        <f t="shared" si="128"/>
        <v>25190.462100000001</v>
      </c>
      <c r="I854" s="212">
        <f t="shared" si="129"/>
        <v>0</v>
      </c>
    </row>
    <row r="855" spans="1:10" ht="13" outlineLevel="1" x14ac:dyDescent="0.3">
      <c r="A855" s="18" t="s">
        <v>1198</v>
      </c>
      <c r="C855" s="258" t="s">
        <v>1229</v>
      </c>
      <c r="D855" s="212">
        <f>SUBTOTAL(9,D836:D854)</f>
        <v>17803654.689999994</v>
      </c>
      <c r="H855" s="212">
        <f>SUBTOTAL(9,H836:H854)</f>
        <v>6988376.0823803348</v>
      </c>
      <c r="I855" s="212">
        <f>SUBTOTAL(9,I836:I854)</f>
        <v>99515467.322692871</v>
      </c>
      <c r="J855" s="212">
        <f>+I855/D855</f>
        <v>5.5896089345402205</v>
      </c>
    </row>
    <row r="856" spans="1:10" outlineLevel="2" x14ac:dyDescent="0.25">
      <c r="A856">
        <v>39204</v>
      </c>
      <c r="B856">
        <v>2023</v>
      </c>
      <c r="C856" s="258">
        <f t="shared" si="122"/>
        <v>0.5</v>
      </c>
      <c r="D856" s="212">
        <v>1315163.56</v>
      </c>
      <c r="E856">
        <v>30</v>
      </c>
      <c r="F856">
        <v>29.588438</v>
      </c>
      <c r="G856" s="90">
        <f>'Proposed Rates'!$O$40/100</f>
        <v>0.2</v>
      </c>
      <c r="H856" s="212">
        <f t="shared" si="125"/>
        <v>14433.90253548582</v>
      </c>
      <c r="I856" s="212">
        <f t="shared" ref="I856:I909" si="132">+D856*F856</f>
        <v>38913635.454919279</v>
      </c>
    </row>
    <row r="857" spans="1:10" outlineLevel="2" x14ac:dyDescent="0.25">
      <c r="A857">
        <v>39204</v>
      </c>
      <c r="B857">
        <v>2022</v>
      </c>
      <c r="C857" s="258">
        <f t="shared" si="122"/>
        <v>1.5</v>
      </c>
      <c r="D857" s="212">
        <v>14459.36</v>
      </c>
      <c r="E857">
        <v>30</v>
      </c>
      <c r="F857">
        <v>28.770717000000001</v>
      </c>
      <c r="G857" s="90">
        <f>'Proposed Rates'!$O$40/100</f>
        <v>0.2</v>
      </c>
      <c r="H857" s="212">
        <f t="shared" si="125"/>
        <v>473.99054503679957</v>
      </c>
      <c r="I857" s="212">
        <f t="shared" si="132"/>
        <v>416006.15456112003</v>
      </c>
    </row>
    <row r="858" spans="1:10" outlineLevel="2" x14ac:dyDescent="0.25">
      <c r="A858">
        <v>39204</v>
      </c>
      <c r="B858">
        <v>2021</v>
      </c>
      <c r="C858" s="258">
        <f t="shared" si="122"/>
        <v>2.5</v>
      </c>
      <c r="D858" s="212">
        <v>29471.59</v>
      </c>
      <c r="E858">
        <v>30</v>
      </c>
      <c r="F858">
        <v>27.960895000000001</v>
      </c>
      <c r="G858" s="90">
        <f>'Proposed Rates'!$O$40/100</f>
        <v>0.2</v>
      </c>
      <c r="H858" s="212">
        <f t="shared" si="125"/>
        <v>1602.5511073853334</v>
      </c>
      <c r="I858" s="212">
        <f t="shared" si="132"/>
        <v>824052.03347304999</v>
      </c>
    </row>
    <row r="859" spans="1:10" outlineLevel="2" x14ac:dyDescent="0.25">
      <c r="A859">
        <v>39204</v>
      </c>
      <c r="B859">
        <v>2020</v>
      </c>
      <c r="C859" s="258">
        <f t="shared" si="122"/>
        <v>3.5</v>
      </c>
      <c r="D859" s="212">
        <v>895773.72</v>
      </c>
      <c r="E859">
        <v>30</v>
      </c>
      <c r="F859">
        <v>27.158677999999998</v>
      </c>
      <c r="G859" s="90">
        <f>'Proposed Rates'!$O$40/100</f>
        <v>0.2</v>
      </c>
      <c r="H859" s="212">
        <f t="shared" si="125"/>
        <v>67871.508737542419</v>
      </c>
      <c r="I859" s="212">
        <f t="shared" si="132"/>
        <v>24328030.022342157</v>
      </c>
    </row>
    <row r="860" spans="1:10" outlineLevel="2" x14ac:dyDescent="0.25">
      <c r="A860">
        <v>39204</v>
      </c>
      <c r="B860">
        <v>2019</v>
      </c>
      <c r="C860" s="258">
        <f t="shared" si="122"/>
        <v>4.5</v>
      </c>
      <c r="D860" s="212">
        <v>1077081.04</v>
      </c>
      <c r="E860">
        <v>30</v>
      </c>
      <c r="F860">
        <v>26.364101000000002</v>
      </c>
      <c r="G860" s="90">
        <f>'Proposed Rates'!$O$40/100</f>
        <v>0.2</v>
      </c>
      <c r="H860" s="212">
        <f t="shared" si="125"/>
        <v>104430.87670013226</v>
      </c>
      <c r="I860" s="212">
        <f t="shared" si="132"/>
        <v>28396273.323745042</v>
      </c>
    </row>
    <row r="861" spans="1:10" outlineLevel="2" x14ac:dyDescent="0.25">
      <c r="A861">
        <v>39204</v>
      </c>
      <c r="B861">
        <v>2018</v>
      </c>
      <c r="C861" s="258">
        <f t="shared" si="122"/>
        <v>5.5</v>
      </c>
      <c r="D861" s="212">
        <v>20800.900000000001</v>
      </c>
      <c r="E861">
        <v>30</v>
      </c>
      <c r="F861">
        <v>25.577590000000001</v>
      </c>
      <c r="G861" s="90">
        <f>'Proposed Rates'!$O$40/100</f>
        <v>0.2</v>
      </c>
      <c r="H861" s="212">
        <f t="shared" si="125"/>
        <v>2453.0695511733334</v>
      </c>
      <c r="I861" s="212">
        <f t="shared" si="132"/>
        <v>532036.8918310001</v>
      </c>
    </row>
    <row r="862" spans="1:10" outlineLevel="2" x14ac:dyDescent="0.25">
      <c r="A862">
        <v>39204</v>
      </c>
      <c r="B862">
        <v>2017</v>
      </c>
      <c r="C862" s="258">
        <f t="shared" si="122"/>
        <v>6.5</v>
      </c>
      <c r="D862" s="212">
        <v>94323.73</v>
      </c>
      <c r="E862">
        <v>30</v>
      </c>
      <c r="F862">
        <v>24.798822000000001</v>
      </c>
      <c r="G862" s="90">
        <f>'Proposed Rates'!$O$40/100</f>
        <v>0.2</v>
      </c>
      <c r="H862" s="212">
        <f t="shared" si="125"/>
        <v>13082.520249438399</v>
      </c>
      <c r="I862" s="212">
        <f t="shared" si="132"/>
        <v>2339117.39064606</v>
      </c>
    </row>
    <row r="863" spans="1:10" outlineLevel="2" x14ac:dyDescent="0.25">
      <c r="A863">
        <v>39204</v>
      </c>
      <c r="B863">
        <v>2016</v>
      </c>
      <c r="C863" s="258">
        <f t="shared" si="122"/>
        <v>7.5</v>
      </c>
      <c r="D863" s="212">
        <v>23325.99</v>
      </c>
      <c r="E863">
        <v>30</v>
      </c>
      <c r="F863">
        <v>24.027832</v>
      </c>
      <c r="G863" s="90">
        <f>'Proposed Rates'!$O$40/100</f>
        <v>0.2</v>
      </c>
      <c r="H863" s="212">
        <f t="shared" si="125"/>
        <v>3714.8461612352003</v>
      </c>
      <c r="I863" s="212">
        <f t="shared" si="132"/>
        <v>560472.96895368001</v>
      </c>
    </row>
    <row r="864" spans="1:10" outlineLevel="2" x14ac:dyDescent="0.25">
      <c r="A864">
        <v>39204</v>
      </c>
      <c r="B864">
        <v>2015</v>
      </c>
      <c r="C864" s="258">
        <f t="shared" si="122"/>
        <v>8.5</v>
      </c>
      <c r="D864" s="212">
        <v>5738.84</v>
      </c>
      <c r="E864">
        <v>30</v>
      </c>
      <c r="F864">
        <v>23.265070999999999</v>
      </c>
      <c r="G864" s="90">
        <f>'Proposed Rates'!$O$40/100</f>
        <v>0.2</v>
      </c>
      <c r="H864" s="212">
        <f t="shared" si="125"/>
        <v>1030.6847984629337</v>
      </c>
      <c r="I864" s="212">
        <f t="shared" si="132"/>
        <v>133514.52005764001</v>
      </c>
    </row>
    <row r="865" spans="1:9" outlineLevel="2" x14ac:dyDescent="0.25">
      <c r="A865">
        <v>39204</v>
      </c>
      <c r="B865">
        <v>2014</v>
      </c>
      <c r="C865" s="258">
        <f t="shared" si="122"/>
        <v>9.5</v>
      </c>
      <c r="D865" s="212">
        <v>818004.33</v>
      </c>
      <c r="E865">
        <v>30</v>
      </c>
      <c r="F865">
        <v>22.510234000000001</v>
      </c>
      <c r="G865" s="90">
        <f>'Proposed Rates'!$O$40/100</f>
        <v>0.2</v>
      </c>
      <c r="H865" s="212">
        <f t="shared" si="125"/>
        <v>163377.62716498083</v>
      </c>
      <c r="I865" s="212">
        <f t="shared" si="132"/>
        <v>18413468.88131322</v>
      </c>
    </row>
    <row r="866" spans="1:9" outlineLevel="2" x14ac:dyDescent="0.25">
      <c r="A866">
        <v>39204</v>
      </c>
      <c r="B866">
        <v>2013</v>
      </c>
      <c r="C866" s="258">
        <f t="shared" si="122"/>
        <v>10.5</v>
      </c>
      <c r="D866" s="212">
        <v>13995.21</v>
      </c>
      <c r="E866">
        <v>30</v>
      </c>
      <c r="F866">
        <v>21.763556999999999</v>
      </c>
      <c r="G866" s="90">
        <f>'Proposed Rates'!$O$40/100</f>
        <v>0.2</v>
      </c>
      <c r="H866" s="212">
        <f t="shared" si="125"/>
        <v>3073.8866516808012</v>
      </c>
      <c r="I866" s="212">
        <f t="shared" si="132"/>
        <v>304585.55056196998</v>
      </c>
    </row>
    <row r="867" spans="1:9" outlineLevel="2" x14ac:dyDescent="0.25">
      <c r="A867">
        <v>39204</v>
      </c>
      <c r="B867">
        <v>2012</v>
      </c>
      <c r="C867" s="258">
        <f t="shared" si="122"/>
        <v>11.5</v>
      </c>
      <c r="D867" s="212">
        <v>3189.24</v>
      </c>
      <c r="E867">
        <v>30</v>
      </c>
      <c r="F867">
        <v>21.025891999999999</v>
      </c>
      <c r="G867" s="90">
        <f>'Proposed Rates'!$O$40/100</f>
        <v>0.2</v>
      </c>
      <c r="H867" s="212">
        <f t="shared" ref="H867:H880" si="133">+D867*(1-F867/E867)*(1-G867)</f>
        <v>763.21557861120004</v>
      </c>
      <c r="I867" s="212">
        <f t="shared" ref="I867:I880" si="134">+D867*F867</f>
        <v>67056.615802079992</v>
      </c>
    </row>
    <row r="868" spans="1:9" outlineLevel="2" x14ac:dyDescent="0.25">
      <c r="A868">
        <v>39204</v>
      </c>
      <c r="B868">
        <v>2011</v>
      </c>
      <c r="C868" s="258">
        <f t="shared" si="122"/>
        <v>12.5</v>
      </c>
      <c r="D868" s="212">
        <v>63338.54</v>
      </c>
      <c r="E868">
        <v>30</v>
      </c>
      <c r="F868">
        <v>20.297322000000001</v>
      </c>
      <c r="G868" s="90">
        <f>'Proposed Rates'!$O$40/100</f>
        <v>0.2</v>
      </c>
      <c r="H868" s="212">
        <f t="shared" si="133"/>
        <v>16388.092229603204</v>
      </c>
      <c r="I868" s="212">
        <f t="shared" si="134"/>
        <v>1285602.7413898802</v>
      </c>
    </row>
    <row r="869" spans="1:9" outlineLevel="2" x14ac:dyDescent="0.25">
      <c r="A869">
        <v>39204</v>
      </c>
      <c r="B869">
        <v>2010</v>
      </c>
      <c r="C869" s="258">
        <f t="shared" si="122"/>
        <v>13.5</v>
      </c>
      <c r="D869" s="212">
        <v>2115.2600000000002</v>
      </c>
      <c r="E869">
        <v>30</v>
      </c>
      <c r="F869">
        <v>19.578389000000001</v>
      </c>
      <c r="G869" s="90">
        <f>'Proposed Rates'!$O$40/100</f>
        <v>0.2</v>
      </c>
      <c r="H869" s="212">
        <f t="shared" si="133"/>
        <v>587.85111690293331</v>
      </c>
      <c r="I869" s="212">
        <f t="shared" si="134"/>
        <v>41413.383116140008</v>
      </c>
    </row>
    <row r="870" spans="1:9" outlineLevel="2" x14ac:dyDescent="0.25">
      <c r="A870">
        <v>39204</v>
      </c>
      <c r="B870">
        <v>2009</v>
      </c>
      <c r="C870" s="258">
        <f t="shared" si="122"/>
        <v>14.5</v>
      </c>
      <c r="D870" s="212">
        <v>4641.83</v>
      </c>
      <c r="E870">
        <v>30</v>
      </c>
      <c r="F870">
        <v>18.870199</v>
      </c>
      <c r="G870" s="90">
        <f>'Proposed Rates'!$O$40/100</f>
        <v>0.2</v>
      </c>
      <c r="H870" s="212">
        <f t="shared" si="133"/>
        <v>1377.6705113554669</v>
      </c>
      <c r="I870" s="212">
        <f t="shared" si="134"/>
        <v>87592.255824170003</v>
      </c>
    </row>
    <row r="871" spans="1:9" outlineLevel="2" x14ac:dyDescent="0.25">
      <c r="A871">
        <v>39204</v>
      </c>
      <c r="B871">
        <v>2008</v>
      </c>
      <c r="C871" s="258">
        <f t="shared" si="122"/>
        <v>15.5</v>
      </c>
      <c r="D871" s="212">
        <v>6491.02</v>
      </c>
      <c r="E871">
        <v>30</v>
      </c>
      <c r="F871">
        <v>18.172865999999999</v>
      </c>
      <c r="G871" s="90">
        <f>'Proposed Rates'!$O$40/100</f>
        <v>0.2</v>
      </c>
      <c r="H871" s="212">
        <f t="shared" si="133"/>
        <v>2047.2043556448007</v>
      </c>
      <c r="I871" s="212">
        <f t="shared" si="134"/>
        <v>117960.43666332</v>
      </c>
    </row>
    <row r="872" spans="1:9" outlineLevel="2" x14ac:dyDescent="0.25">
      <c r="A872">
        <v>39204</v>
      </c>
      <c r="B872">
        <v>2007</v>
      </c>
      <c r="C872" s="258">
        <f t="shared" si="122"/>
        <v>16.5</v>
      </c>
      <c r="D872" s="212">
        <v>11864.93</v>
      </c>
      <c r="E872">
        <v>30</v>
      </c>
      <c r="F872">
        <v>17.486981</v>
      </c>
      <c r="G872" s="90">
        <f>'Proposed Rates'!$O$40/100</f>
        <v>0.2</v>
      </c>
      <c r="H872" s="212">
        <f t="shared" si="133"/>
        <v>3959.0958539645344</v>
      </c>
      <c r="I872" s="212">
        <f t="shared" si="134"/>
        <v>207481.80547633002</v>
      </c>
    </row>
    <row r="873" spans="1:9" outlineLevel="2" x14ac:dyDescent="0.25">
      <c r="A873">
        <v>39204</v>
      </c>
      <c r="B873">
        <v>2006</v>
      </c>
      <c r="C873" s="258">
        <f t="shared" si="122"/>
        <v>17.5</v>
      </c>
      <c r="D873" s="212">
        <v>3047.57</v>
      </c>
      <c r="E873">
        <v>30</v>
      </c>
      <c r="F873">
        <v>16.813723</v>
      </c>
      <c r="G873" s="90">
        <f>'Proposed Rates'!$O$40/100</f>
        <v>0.2</v>
      </c>
      <c r="H873" s="212">
        <f t="shared" si="133"/>
        <v>1071.6293919170669</v>
      </c>
      <c r="I873" s="212">
        <f t="shared" si="134"/>
        <v>51240.997803110004</v>
      </c>
    </row>
    <row r="874" spans="1:9" outlineLevel="2" x14ac:dyDescent="0.25">
      <c r="A874">
        <v>39204</v>
      </c>
      <c r="B874">
        <v>2005</v>
      </c>
      <c r="C874" s="258">
        <f t="shared" si="122"/>
        <v>18.5</v>
      </c>
      <c r="D874" s="212">
        <v>4071</v>
      </c>
      <c r="E874">
        <v>30</v>
      </c>
      <c r="F874">
        <v>16.153130000000001</v>
      </c>
      <c r="G874" s="90">
        <f>'Proposed Rates'!$O$40/100</f>
        <v>0.2</v>
      </c>
      <c r="H874" s="212">
        <f t="shared" si="133"/>
        <v>1503.2162072000001</v>
      </c>
      <c r="I874" s="212">
        <f t="shared" si="134"/>
        <v>65759.392229999998</v>
      </c>
    </row>
    <row r="875" spans="1:9" outlineLevel="2" x14ac:dyDescent="0.25">
      <c r="A875">
        <v>39204</v>
      </c>
      <c r="B875">
        <v>2004</v>
      </c>
      <c r="C875" s="258">
        <f t="shared" si="122"/>
        <v>19.5</v>
      </c>
      <c r="D875" s="212">
        <v>3983.48</v>
      </c>
      <c r="E875">
        <v>30</v>
      </c>
      <c r="F875">
        <v>15.505763</v>
      </c>
      <c r="G875" s="90">
        <f>'Proposed Rates'!$O$40/100</f>
        <v>0.2</v>
      </c>
      <c r="H875" s="212">
        <f t="shared" si="133"/>
        <v>1539.6667521269335</v>
      </c>
      <c r="I875" s="212">
        <f t="shared" si="134"/>
        <v>61766.896795239998</v>
      </c>
    </row>
    <row r="876" spans="1:9" outlineLevel="2" x14ac:dyDescent="0.25">
      <c r="A876">
        <v>39204</v>
      </c>
      <c r="B876">
        <v>2003</v>
      </c>
      <c r="C876" s="258">
        <f t="shared" si="122"/>
        <v>20.5</v>
      </c>
      <c r="D876" s="212">
        <v>4435.24</v>
      </c>
      <c r="E876">
        <v>30</v>
      </c>
      <c r="F876">
        <v>14.872802999999999</v>
      </c>
      <c r="G876" s="90">
        <f>'Proposed Rates'!$O$40/100</f>
        <v>0.2</v>
      </c>
      <c r="H876" s="212">
        <f t="shared" si="133"/>
        <v>1789.1399792607999</v>
      </c>
      <c r="I876" s="212">
        <f t="shared" si="134"/>
        <v>65964.450777719991</v>
      </c>
    </row>
    <row r="877" spans="1:9" outlineLevel="2" x14ac:dyDescent="0.25">
      <c r="A877">
        <v>39204</v>
      </c>
      <c r="B877">
        <v>2001</v>
      </c>
      <c r="C877" s="258">
        <f t="shared" si="122"/>
        <v>22.5</v>
      </c>
      <c r="D877" s="212">
        <v>19226.38</v>
      </c>
      <c r="E877">
        <v>30</v>
      </c>
      <c r="F877">
        <v>13.650409</v>
      </c>
      <c r="G877" s="90">
        <f>'Proposed Rates'!$O$40/100</f>
        <v>0.2</v>
      </c>
      <c r="H877" s="212">
        <f t="shared" si="133"/>
        <v>8382.4919842821346</v>
      </c>
      <c r="I877" s="212">
        <f t="shared" si="134"/>
        <v>262447.95058941998</v>
      </c>
    </row>
    <row r="878" spans="1:9" outlineLevel="2" x14ac:dyDescent="0.25">
      <c r="A878">
        <v>39204</v>
      </c>
      <c r="B878">
        <v>2000</v>
      </c>
      <c r="C878" s="258">
        <f t="shared" si="122"/>
        <v>23.5</v>
      </c>
      <c r="D878" s="212">
        <v>6398.95</v>
      </c>
      <c r="E878">
        <v>30</v>
      </c>
      <c r="F878">
        <v>13.062602999999999</v>
      </c>
      <c r="G878" s="90">
        <f>'Proposed Rates'!$O$40/100</f>
        <v>0.2</v>
      </c>
      <c r="H878" s="212">
        <f t="shared" si="133"/>
        <v>2890.1748408840003</v>
      </c>
      <c r="I878" s="212">
        <f t="shared" si="134"/>
        <v>83586.943466849989</v>
      </c>
    </row>
    <row r="879" spans="1:9" outlineLevel="2" x14ac:dyDescent="0.25">
      <c r="A879">
        <v>39204</v>
      </c>
      <c r="B879">
        <v>1999</v>
      </c>
      <c r="C879" s="258">
        <f t="shared" si="122"/>
        <v>24.5</v>
      </c>
      <c r="D879" s="212">
        <v>5017.6400000000003</v>
      </c>
      <c r="E879">
        <v>30</v>
      </c>
      <c r="F879">
        <v>12.490591999999999</v>
      </c>
      <c r="G879" s="90">
        <f>'Proposed Rates'!$O$40/100</f>
        <v>0.2</v>
      </c>
      <c r="H879" s="212">
        <f t="shared" si="133"/>
        <v>2342.8241588565338</v>
      </c>
      <c r="I879" s="212">
        <f t="shared" si="134"/>
        <v>62673.294042879999</v>
      </c>
    </row>
    <row r="880" spans="1:9" outlineLevel="2" x14ac:dyDescent="0.25">
      <c r="A880">
        <v>39204</v>
      </c>
      <c r="B880">
        <v>1998</v>
      </c>
      <c r="C880" s="258">
        <f t="shared" si="122"/>
        <v>25.5</v>
      </c>
      <c r="D880" s="212">
        <v>14707.84</v>
      </c>
      <c r="E880">
        <v>30</v>
      </c>
      <c r="F880">
        <v>11.93478</v>
      </c>
      <c r="G880" s="90">
        <f>'Proposed Rates'!$O$40/100</f>
        <v>0.2</v>
      </c>
      <c r="H880" s="212">
        <f t="shared" si="133"/>
        <v>7085.3430753280009</v>
      </c>
      <c r="I880" s="212">
        <f t="shared" si="134"/>
        <v>175534.83467519999</v>
      </c>
    </row>
    <row r="881" spans="1:10" outlineLevel="2" x14ac:dyDescent="0.25">
      <c r="A881">
        <v>39204</v>
      </c>
      <c r="B881">
        <v>1997</v>
      </c>
      <c r="C881" s="258">
        <f t="shared" si="122"/>
        <v>26.5</v>
      </c>
      <c r="D881" s="212">
        <v>14299.11</v>
      </c>
      <c r="E881">
        <v>30</v>
      </c>
      <c r="F881">
        <v>11.39615</v>
      </c>
      <c r="G881" s="90">
        <f>'Proposed Rates'!$O$40/100</f>
        <v>0.2</v>
      </c>
      <c r="H881" s="212">
        <f t="shared" si="125"/>
        <v>7093.8266019600014</v>
      </c>
      <c r="I881" s="212">
        <f t="shared" si="132"/>
        <v>162954.80242650001</v>
      </c>
    </row>
    <row r="882" spans="1:10" outlineLevel="2" x14ac:dyDescent="0.25">
      <c r="A882">
        <v>39204</v>
      </c>
      <c r="B882">
        <v>1996</v>
      </c>
      <c r="C882" s="258">
        <f t="shared" si="122"/>
        <v>27.5</v>
      </c>
      <c r="D882" s="212">
        <v>58319.86</v>
      </c>
      <c r="E882">
        <v>30</v>
      </c>
      <c r="F882">
        <v>10.874404</v>
      </c>
      <c r="G882" s="90">
        <f>'Proposed Rates'!$O$40/100</f>
        <v>0.2</v>
      </c>
      <c r="H882" s="212">
        <f t="shared" si="125"/>
        <v>29744.055496974932</v>
      </c>
      <c r="I882" s="212">
        <f t="shared" si="132"/>
        <v>634193.71886343998</v>
      </c>
    </row>
    <row r="883" spans="1:10" outlineLevel="2" x14ac:dyDescent="0.25">
      <c r="A883">
        <v>39204</v>
      </c>
      <c r="B883">
        <v>1995</v>
      </c>
      <c r="C883" s="258">
        <f t="shared" si="122"/>
        <v>28.5</v>
      </c>
      <c r="D883" s="212">
        <v>7475</v>
      </c>
      <c r="E883">
        <v>30</v>
      </c>
      <c r="F883">
        <v>10.369785</v>
      </c>
      <c r="G883" s="90">
        <f>'Proposed Rates'!$O$40/100</f>
        <v>0.2</v>
      </c>
      <c r="H883" s="212">
        <f t="shared" si="125"/>
        <v>3912.9561900000003</v>
      </c>
      <c r="I883" s="212">
        <f t="shared" si="132"/>
        <v>77514.142875000005</v>
      </c>
    </row>
    <row r="884" spans="1:10" outlineLevel="2" x14ac:dyDescent="0.25">
      <c r="A884">
        <v>39204</v>
      </c>
      <c r="B884">
        <v>1994</v>
      </c>
      <c r="C884" s="258">
        <f t="shared" si="122"/>
        <v>29.5</v>
      </c>
      <c r="D884" s="212">
        <v>34745.96</v>
      </c>
      <c r="E884">
        <v>30</v>
      </c>
      <c r="F884">
        <v>9.8829670000000007</v>
      </c>
      <c r="G884" s="90">
        <f>'Proposed Rates'!$O$40/100</f>
        <v>0.2</v>
      </c>
      <c r="H884" s="212">
        <f t="shared" si="125"/>
        <v>18639.616638311465</v>
      </c>
      <c r="I884" s="212">
        <f t="shared" si="132"/>
        <v>343393.17606332002</v>
      </c>
    </row>
    <row r="885" spans="1:10" outlineLevel="2" x14ac:dyDescent="0.25">
      <c r="A885">
        <v>39204</v>
      </c>
      <c r="B885">
        <v>1991</v>
      </c>
      <c r="C885" s="258">
        <f t="shared" si="122"/>
        <v>32.5</v>
      </c>
      <c r="D885" s="212">
        <v>6535.4</v>
      </c>
      <c r="E885">
        <v>30</v>
      </c>
      <c r="F885">
        <v>8.5267239999999997</v>
      </c>
      <c r="G885" s="90">
        <f>'Proposed Rates'!$O$40/100</f>
        <v>0.2</v>
      </c>
      <c r="H885" s="212">
        <f t="shared" si="125"/>
        <v>3742.3052792106669</v>
      </c>
      <c r="I885" s="212">
        <f t="shared" si="132"/>
        <v>55725.552029599996</v>
      </c>
    </row>
    <row r="886" spans="1:10" outlineLevel="2" x14ac:dyDescent="0.25">
      <c r="A886">
        <v>39204</v>
      </c>
      <c r="B886">
        <v>1990</v>
      </c>
      <c r="C886" s="258">
        <f t="shared" si="122"/>
        <v>33.5</v>
      </c>
      <c r="D886" s="212">
        <v>3623.68</v>
      </c>
      <c r="E886">
        <v>30</v>
      </c>
      <c r="F886">
        <v>8.1089190000000002</v>
      </c>
      <c r="G886" s="90">
        <f>'Proposed Rates'!$O$40/100</f>
        <v>0.2</v>
      </c>
      <c r="H886" s="212">
        <f t="shared" si="125"/>
        <v>2115.3672639488</v>
      </c>
      <c r="I886" s="212">
        <f t="shared" si="132"/>
        <v>29384.127601919998</v>
      </c>
    </row>
    <row r="887" spans="1:10" outlineLevel="2" x14ac:dyDescent="0.25">
      <c r="A887">
        <v>39204</v>
      </c>
      <c r="B887">
        <v>1988</v>
      </c>
      <c r="C887" s="258">
        <f t="shared" si="122"/>
        <v>35.5</v>
      </c>
      <c r="D887" s="212">
        <v>6252.55</v>
      </c>
      <c r="E887">
        <v>30</v>
      </c>
      <c r="F887">
        <v>7.322031</v>
      </c>
      <c r="G887" s="90">
        <f>'Proposed Rates'!$O$40/100</f>
        <v>0.2</v>
      </c>
      <c r="H887" s="212">
        <f t="shared" ref="H887:H892" si="135">+D887*(1-F887/E887)*(1-G887)</f>
        <v>3781.2036018920003</v>
      </c>
      <c r="I887" s="212">
        <f t="shared" ref="I887:I892" si="136">+D887*F887</f>
        <v>45781.364929050003</v>
      </c>
    </row>
    <row r="888" spans="1:10" outlineLevel="2" x14ac:dyDescent="0.25">
      <c r="A888">
        <v>39204</v>
      </c>
      <c r="B888">
        <v>1987</v>
      </c>
      <c r="C888" s="258">
        <f t="shared" si="122"/>
        <v>36.5</v>
      </c>
      <c r="D888" s="212">
        <v>4914.45</v>
      </c>
      <c r="E888">
        <v>30</v>
      </c>
      <c r="F888">
        <v>6.951498</v>
      </c>
      <c r="G888" s="90">
        <f>'Proposed Rates'!$O$40/100</f>
        <v>0.2</v>
      </c>
      <c r="H888" s="212">
        <f t="shared" si="135"/>
        <v>3020.5522841040001</v>
      </c>
      <c r="I888" s="212">
        <f t="shared" si="136"/>
        <v>34162.789346099999</v>
      </c>
    </row>
    <row r="889" spans="1:10" outlineLevel="2" x14ac:dyDescent="0.25">
      <c r="A889">
        <v>39204</v>
      </c>
      <c r="B889">
        <v>1986</v>
      </c>
      <c r="C889" s="258">
        <f t="shared" si="122"/>
        <v>37.5</v>
      </c>
      <c r="D889" s="212">
        <v>1577.73</v>
      </c>
      <c r="E889">
        <v>30</v>
      </c>
      <c r="F889">
        <v>6.5951740000000001</v>
      </c>
      <c r="G889" s="90">
        <f>'Proposed Rates'!$O$40/100</f>
        <v>0.2</v>
      </c>
      <c r="H889" s="212">
        <f t="shared" si="135"/>
        <v>984.7065633328001</v>
      </c>
      <c r="I889" s="212">
        <f t="shared" si="136"/>
        <v>10405.40387502</v>
      </c>
    </row>
    <row r="890" spans="1:10" outlineLevel="2" x14ac:dyDescent="0.25">
      <c r="A890">
        <v>39204</v>
      </c>
      <c r="B890">
        <v>1984</v>
      </c>
      <c r="C890" s="258">
        <f t="shared" ref="C890:C952" si="137">2023.5-B890</f>
        <v>39.5</v>
      </c>
      <c r="D890" s="212">
        <v>1671.8</v>
      </c>
      <c r="E890">
        <v>30</v>
      </c>
      <c r="F890">
        <v>5.9195479999999998</v>
      </c>
      <c r="G890" s="90">
        <f>'Proposed Rates'!$O$40/100</f>
        <v>0.2</v>
      </c>
      <c r="H890" s="212">
        <f t="shared" si="135"/>
        <v>1073.5386574293334</v>
      </c>
      <c r="I890" s="212">
        <f t="shared" si="136"/>
        <v>9896.3003463999994</v>
      </c>
    </row>
    <row r="891" spans="1:10" outlineLevel="2" x14ac:dyDescent="0.25">
      <c r="A891">
        <v>39204</v>
      </c>
      <c r="B891">
        <v>1982</v>
      </c>
      <c r="C891" s="258">
        <f t="shared" si="137"/>
        <v>41.5</v>
      </c>
      <c r="D891" s="212">
        <v>6121.82</v>
      </c>
      <c r="E891">
        <v>30</v>
      </c>
      <c r="F891">
        <v>5.2857180000000001</v>
      </c>
      <c r="G891" s="90">
        <f>'Proposed Rates'!$O$40/100</f>
        <v>0.2</v>
      </c>
      <c r="H891" s="212">
        <f t="shared" si="135"/>
        <v>4034.5702888863998</v>
      </c>
      <c r="I891" s="212">
        <f t="shared" si="136"/>
        <v>32358.214166760001</v>
      </c>
    </row>
    <row r="892" spans="1:10" outlineLevel="2" x14ac:dyDescent="0.25">
      <c r="A892">
        <v>39204</v>
      </c>
      <c r="B892">
        <v>1978</v>
      </c>
      <c r="C892" s="258">
        <f t="shared" si="137"/>
        <v>45.5</v>
      </c>
      <c r="D892" s="212">
        <v>3068</v>
      </c>
      <c r="E892">
        <v>30</v>
      </c>
      <c r="F892">
        <v>4.1087590000000001</v>
      </c>
      <c r="G892" s="90">
        <f>'Proposed Rates'!$O$40/100</f>
        <v>0.2</v>
      </c>
      <c r="H892" s="212">
        <f t="shared" si="135"/>
        <v>2118.2487303466669</v>
      </c>
      <c r="I892" s="212">
        <f t="shared" si="136"/>
        <v>12605.672612</v>
      </c>
    </row>
    <row r="893" spans="1:10" outlineLevel="2" x14ac:dyDescent="0.25">
      <c r="A893">
        <v>39204</v>
      </c>
      <c r="B893">
        <v>1976</v>
      </c>
      <c r="C893" s="258">
        <f t="shared" si="137"/>
        <v>47.5</v>
      </c>
      <c r="D893" s="212">
        <v>1425.84</v>
      </c>
      <c r="E893">
        <v>30</v>
      </c>
      <c r="F893">
        <v>3.5593509999999999</v>
      </c>
      <c r="G893" s="90">
        <f>'Proposed Rates'!$O$40/100</f>
        <v>0.2</v>
      </c>
      <c r="H893" s="212">
        <f t="shared" si="125"/>
        <v>1005.3369325376</v>
      </c>
      <c r="I893" s="212">
        <f t="shared" si="132"/>
        <v>5075.0650298399996</v>
      </c>
    </row>
    <row r="894" spans="1:10" outlineLevel="2" x14ac:dyDescent="0.25">
      <c r="A894">
        <v>39204</v>
      </c>
      <c r="B894">
        <v>1974</v>
      </c>
      <c r="C894" s="258">
        <f t="shared" si="137"/>
        <v>49.5</v>
      </c>
      <c r="D894" s="212">
        <v>927.68</v>
      </c>
      <c r="E894">
        <v>30</v>
      </c>
      <c r="F894">
        <v>3.0391400000000002</v>
      </c>
      <c r="G894" s="90">
        <f>'Proposed Rates'!$O$40/100</f>
        <v>0.2</v>
      </c>
      <c r="H894" s="212">
        <f t="shared" si="125"/>
        <v>666.96134946133327</v>
      </c>
      <c r="I894" s="212">
        <f t="shared" si="132"/>
        <v>2819.3493951999999</v>
      </c>
    </row>
    <row r="895" spans="1:10" ht="13" outlineLevel="1" x14ac:dyDescent="0.3">
      <c r="A895" s="18" t="s">
        <v>1199</v>
      </c>
      <c r="C895" s="258" t="s">
        <v>1229</v>
      </c>
      <c r="D895" s="212">
        <f>SUBTOTAL(9,D856:D894)</f>
        <v>4611626.0700000012</v>
      </c>
      <c r="H895" s="212">
        <f>SUBTOTAL(9,H856:H894)</f>
        <v>509206.32611688768</v>
      </c>
      <c r="I895" s="212">
        <f>SUBTOTAL(9,I856:I894)</f>
        <v>119253544.87061669</v>
      </c>
      <c r="J895" s="212">
        <f>+I895/D895</f>
        <v>25.85932663673589</v>
      </c>
    </row>
    <row r="896" spans="1:10" outlineLevel="2" x14ac:dyDescent="0.25">
      <c r="A896">
        <v>39205</v>
      </c>
      <c r="B896">
        <v>2020</v>
      </c>
      <c r="C896" s="258">
        <f t="shared" si="137"/>
        <v>3.5</v>
      </c>
      <c r="D896" s="212">
        <v>571330.17000000004</v>
      </c>
      <c r="E896">
        <v>13</v>
      </c>
      <c r="F896">
        <v>9.6907359999999994</v>
      </c>
      <c r="G896" s="90">
        <f>'Proposed Rates'!$O$41/100</f>
        <v>7.0000000000000007E-2</v>
      </c>
      <c r="H896" s="212">
        <f t="shared" si="125"/>
        <v>135256.50755663373</v>
      </c>
      <c r="I896" s="212">
        <f t="shared" si="132"/>
        <v>5536609.8463051198</v>
      </c>
    </row>
    <row r="897" spans="1:10" outlineLevel="2" x14ac:dyDescent="0.25">
      <c r="A897">
        <v>39205</v>
      </c>
      <c r="B897">
        <v>2019</v>
      </c>
      <c r="C897" s="258">
        <f t="shared" si="137"/>
        <v>4.5</v>
      </c>
      <c r="D897" s="212">
        <v>623444.4</v>
      </c>
      <c r="E897">
        <v>13</v>
      </c>
      <c r="F897">
        <v>8.8521900000000002</v>
      </c>
      <c r="G897" s="90">
        <f>'Proposed Rates'!$O$41/100</f>
        <v>7.0000000000000007E-2</v>
      </c>
      <c r="H897" s="212">
        <f t="shared" ref="H897:H902" si="138">+D897*(1-F897/E897)*(1-G897)</f>
        <v>184993.37635311691</v>
      </c>
      <c r="I897" s="212">
        <f t="shared" ref="I897:I902" si="139">+D897*F897</f>
        <v>5518848.2832360007</v>
      </c>
    </row>
    <row r="898" spans="1:10" outlineLevel="2" x14ac:dyDescent="0.25">
      <c r="A898">
        <v>39205</v>
      </c>
      <c r="B898">
        <v>2018</v>
      </c>
      <c r="C898" s="258">
        <f t="shared" si="137"/>
        <v>5.5</v>
      </c>
      <c r="D898" s="212">
        <v>130825.56</v>
      </c>
      <c r="E898">
        <v>13</v>
      </c>
      <c r="F898">
        <v>8.0790439999999997</v>
      </c>
      <c r="G898" s="90">
        <f>'Proposed Rates'!$O$41/100</f>
        <v>7.0000000000000007E-2</v>
      </c>
      <c r="H898" s="212">
        <f t="shared" si="138"/>
        <v>46055.518978837295</v>
      </c>
      <c r="I898" s="212">
        <f t="shared" si="139"/>
        <v>1056945.45556464</v>
      </c>
    </row>
    <row r="899" spans="1:10" outlineLevel="2" x14ac:dyDescent="0.25">
      <c r="A899">
        <v>39205</v>
      </c>
      <c r="B899">
        <v>2016</v>
      </c>
      <c r="C899" s="258">
        <f t="shared" si="137"/>
        <v>7.5</v>
      </c>
      <c r="D899" s="212">
        <v>202698.33</v>
      </c>
      <c r="E899">
        <v>13</v>
      </c>
      <c r="F899">
        <v>6.8474469999999998</v>
      </c>
      <c r="G899" s="90">
        <f>'Proposed Rates'!$O$41/100</f>
        <v>7.0000000000000007E-2</v>
      </c>
      <c r="H899" s="212">
        <f t="shared" si="138"/>
        <v>89216.489465610415</v>
      </c>
      <c r="I899" s="212">
        <f t="shared" si="139"/>
        <v>1387966.0716635098</v>
      </c>
    </row>
    <row r="900" spans="1:10" outlineLevel="2" x14ac:dyDescent="0.25">
      <c r="A900">
        <v>39205</v>
      </c>
      <c r="B900">
        <v>2015</v>
      </c>
      <c r="C900" s="258">
        <f t="shared" si="137"/>
        <v>8.5</v>
      </c>
      <c r="D900" s="212">
        <v>576414.01</v>
      </c>
      <c r="E900">
        <v>13</v>
      </c>
      <c r="F900">
        <v>6.39208</v>
      </c>
      <c r="G900" s="90">
        <f>'Proposed Rates'!$O$41/100</f>
        <v>7.0000000000000007E-2</v>
      </c>
      <c r="H900" s="212">
        <f t="shared" si="138"/>
        <v>272482.67910861969</v>
      </c>
      <c r="I900" s="212">
        <f t="shared" si="139"/>
        <v>3684484.4650408002</v>
      </c>
    </row>
    <row r="901" spans="1:10" outlineLevel="2" x14ac:dyDescent="0.25">
      <c r="A901">
        <v>39205</v>
      </c>
      <c r="B901">
        <v>2014</v>
      </c>
      <c r="C901" s="258">
        <f t="shared" si="137"/>
        <v>9.5</v>
      </c>
      <c r="D901" s="212">
        <v>134191.32</v>
      </c>
      <c r="E901">
        <v>13</v>
      </c>
      <c r="F901">
        <v>6.0204089999999999</v>
      </c>
      <c r="G901" s="90">
        <f>'Proposed Rates'!$O$41/100</f>
        <v>7.0000000000000007E-2</v>
      </c>
      <c r="H901" s="212">
        <f t="shared" si="138"/>
        <v>67002.960945816274</v>
      </c>
      <c r="I901" s="212">
        <f t="shared" si="139"/>
        <v>807886.63064988004</v>
      </c>
    </row>
    <row r="902" spans="1:10" outlineLevel="2" x14ac:dyDescent="0.25">
      <c r="A902">
        <v>39205</v>
      </c>
      <c r="B902">
        <v>2013</v>
      </c>
      <c r="C902" s="258">
        <f t="shared" si="137"/>
        <v>10.5</v>
      </c>
      <c r="D902" s="212">
        <v>67792.77</v>
      </c>
      <c r="E902">
        <v>13</v>
      </c>
      <c r="F902">
        <v>5.7101009999999999</v>
      </c>
      <c r="G902" s="90">
        <f>'Proposed Rates'!$O$41/100</f>
        <v>7.0000000000000007E-2</v>
      </c>
      <c r="H902" s="212">
        <f t="shared" si="138"/>
        <v>35354.482691854915</v>
      </c>
      <c r="I902" s="212">
        <f t="shared" si="139"/>
        <v>387103.56376977003</v>
      </c>
    </row>
    <row r="903" spans="1:10" outlineLevel="2" x14ac:dyDescent="0.25">
      <c r="A903">
        <v>39205</v>
      </c>
      <c r="B903">
        <v>2010</v>
      </c>
      <c r="C903" s="258">
        <f t="shared" si="137"/>
        <v>13.5</v>
      </c>
      <c r="D903" s="212">
        <v>8912.49</v>
      </c>
      <c r="E903">
        <v>13</v>
      </c>
      <c r="F903">
        <v>4.95221</v>
      </c>
      <c r="G903" s="90">
        <f>'Proposed Rates'!$O$41/100</f>
        <v>7.0000000000000007E-2</v>
      </c>
      <c r="H903" s="212">
        <f t="shared" ref="H903:H906" si="140">+D903*(1-F903/E903)*(1-G903)</f>
        <v>5131.1568111002307</v>
      </c>
      <c r="I903" s="212">
        <f t="shared" ref="I903:I906" si="141">+D903*F903</f>
        <v>44136.522102900002</v>
      </c>
    </row>
    <row r="904" spans="1:10" outlineLevel="2" x14ac:dyDescent="0.25">
      <c r="A904">
        <v>39205</v>
      </c>
      <c r="B904">
        <v>2007</v>
      </c>
      <c r="C904" s="258">
        <f t="shared" si="137"/>
        <v>16.5</v>
      </c>
      <c r="D904" s="212">
        <v>71334.69</v>
      </c>
      <c r="E904">
        <v>13</v>
      </c>
      <c r="F904">
        <v>4.2192800000000004</v>
      </c>
      <c r="G904" s="90">
        <f>'Proposed Rates'!$O$41/100</f>
        <v>7.0000000000000007E-2</v>
      </c>
      <c r="H904" s="212">
        <f t="shared" si="140"/>
        <v>44809.541802647997</v>
      </c>
      <c r="I904" s="212">
        <f t="shared" si="141"/>
        <v>300981.03082320001</v>
      </c>
    </row>
    <row r="905" spans="1:10" outlineLevel="2" x14ac:dyDescent="0.25">
      <c r="A905">
        <v>39205</v>
      </c>
      <c r="B905">
        <v>2006</v>
      </c>
      <c r="C905" s="258">
        <f t="shared" si="137"/>
        <v>17.5</v>
      </c>
      <c r="D905" s="212">
        <v>120234.03</v>
      </c>
      <c r="E905">
        <v>13</v>
      </c>
      <c r="F905">
        <v>3.9680840000000002</v>
      </c>
      <c r="G905" s="90">
        <f>'Proposed Rates'!$O$41/100</f>
        <v>7.0000000000000007E-2</v>
      </c>
      <c r="H905" s="212">
        <f t="shared" si="140"/>
        <v>77686.738703875089</v>
      </c>
      <c r="I905" s="212">
        <f t="shared" si="141"/>
        <v>477098.73069852003</v>
      </c>
    </row>
    <row r="906" spans="1:10" outlineLevel="2" x14ac:dyDescent="0.25">
      <c r="A906">
        <v>39205</v>
      </c>
      <c r="B906">
        <v>2005</v>
      </c>
      <c r="C906" s="258">
        <f t="shared" si="137"/>
        <v>18.5</v>
      </c>
      <c r="D906" s="212">
        <v>10202.86</v>
      </c>
      <c r="E906">
        <v>13</v>
      </c>
      <c r="F906">
        <v>3.7180040000000001</v>
      </c>
      <c r="G906" s="90">
        <f>'Proposed Rates'!$O$41/100</f>
        <v>7.0000000000000007E-2</v>
      </c>
      <c r="H906" s="212">
        <f t="shared" si="140"/>
        <v>6774.9001776123696</v>
      </c>
      <c r="I906" s="212">
        <f t="shared" si="141"/>
        <v>37934.274291440001</v>
      </c>
    </row>
    <row r="907" spans="1:10" outlineLevel="2" x14ac:dyDescent="0.25">
      <c r="A907">
        <v>39205</v>
      </c>
      <c r="B907">
        <v>1992</v>
      </c>
      <c r="C907" s="258">
        <f t="shared" si="137"/>
        <v>31.5</v>
      </c>
      <c r="D907" s="212">
        <v>46758.6</v>
      </c>
      <c r="E907">
        <v>13</v>
      </c>
      <c r="F907">
        <v>1.050556</v>
      </c>
      <c r="G907" s="90">
        <f>'Proposed Rates'!$O$41/100</f>
        <v>7.0000000000000007E-2</v>
      </c>
      <c r="H907" s="212">
        <f t="shared" ref="H907:H974" si="142">+D907*(1-F907/E907)*(1-G907)</f>
        <v>39971.347935623999</v>
      </c>
      <c r="I907" s="212">
        <f t="shared" si="132"/>
        <v>49122.527781600002</v>
      </c>
    </row>
    <row r="908" spans="1:10" ht="13" outlineLevel="1" x14ac:dyDescent="0.3">
      <c r="A908" s="18" t="s">
        <v>1200</v>
      </c>
      <c r="C908" s="258" t="s">
        <v>1229</v>
      </c>
      <c r="D908" s="212">
        <f>SUBTOTAL(9,D896:D907)</f>
        <v>2564139.23</v>
      </c>
      <c r="H908" s="212">
        <f>SUBTOTAL(9,H896:H907)</f>
        <v>1004735.7005313487</v>
      </c>
      <c r="I908" s="212">
        <f>SUBTOTAL(9,I896:I907)</f>
        <v>19289117.401927378</v>
      </c>
      <c r="J908" s="212">
        <f>+I908/D908</f>
        <v>7.5226482151389957</v>
      </c>
    </row>
    <row r="909" spans="1:10" outlineLevel="2" x14ac:dyDescent="0.25">
      <c r="A909">
        <v>39300</v>
      </c>
      <c r="B909">
        <v>2012</v>
      </c>
      <c r="C909" s="258">
        <f t="shared" si="137"/>
        <v>11.5</v>
      </c>
      <c r="D909" s="212">
        <v>1283.3900000000001</v>
      </c>
      <c r="E909">
        <v>24</v>
      </c>
      <c r="F909">
        <f t="shared" ref="F909:F938" si="143">+E909-C909</f>
        <v>12.5</v>
      </c>
      <c r="G909" s="90">
        <f>'Proposed Rates'!$O$61/100</f>
        <v>0</v>
      </c>
      <c r="H909" s="212">
        <f t="shared" si="142"/>
        <v>614.95770833333336</v>
      </c>
      <c r="I909" s="212">
        <f t="shared" si="132"/>
        <v>16042.375000000002</v>
      </c>
    </row>
    <row r="910" spans="1:10" ht="13" outlineLevel="1" x14ac:dyDescent="0.3">
      <c r="A910" s="18" t="s">
        <v>1201</v>
      </c>
      <c r="C910" s="258" t="s">
        <v>1229</v>
      </c>
      <c r="D910" s="212">
        <f>SUBTOTAL(9,D909:D909)</f>
        <v>1283.3900000000001</v>
      </c>
      <c r="F910" t="s">
        <v>1229</v>
      </c>
      <c r="H910" s="212">
        <f>SUBTOTAL(9,H909:H909)</f>
        <v>614.95770833333336</v>
      </c>
      <c r="I910" s="212">
        <f>SUBTOTAL(9,I909:I909)</f>
        <v>16042.375000000002</v>
      </c>
      <c r="J910" s="212">
        <f>+I910/D910</f>
        <v>12.5</v>
      </c>
    </row>
    <row r="911" spans="1:10" outlineLevel="2" x14ac:dyDescent="0.25">
      <c r="A911">
        <v>39400</v>
      </c>
      <c r="B911">
        <v>2023</v>
      </c>
      <c r="C911" s="258">
        <f t="shared" si="137"/>
        <v>0.5</v>
      </c>
      <c r="D911" s="212">
        <v>1605734.51</v>
      </c>
      <c r="E911">
        <v>18</v>
      </c>
      <c r="F911">
        <f t="shared" si="143"/>
        <v>17.5</v>
      </c>
      <c r="G911" s="90">
        <f>'Proposed Rates'!$O$62/100</f>
        <v>0</v>
      </c>
      <c r="H911" s="212">
        <f t="shared" ref="H911:H920" si="144">+D911*(1-F911/E911)*(1-G911)</f>
        <v>44603.736388888909</v>
      </c>
      <c r="I911" s="212">
        <f t="shared" ref="I911:I920" si="145">+D911*F911</f>
        <v>28100353.925000001</v>
      </c>
    </row>
    <row r="912" spans="1:10" outlineLevel="2" x14ac:dyDescent="0.25">
      <c r="A912">
        <v>39400</v>
      </c>
      <c r="B912">
        <v>2022</v>
      </c>
      <c r="C912" s="258">
        <f t="shared" si="137"/>
        <v>1.5</v>
      </c>
      <c r="D912" s="212">
        <v>70095.72</v>
      </c>
      <c r="E912">
        <v>18</v>
      </c>
      <c r="F912">
        <f t="shared" si="143"/>
        <v>16.5</v>
      </c>
      <c r="G912" s="90">
        <f>'Proposed Rates'!$O$62/100</f>
        <v>0</v>
      </c>
      <c r="H912" s="212">
        <f t="shared" si="144"/>
        <v>5841.3100000000031</v>
      </c>
      <c r="I912" s="212">
        <f t="shared" si="145"/>
        <v>1156579.3800000001</v>
      </c>
    </row>
    <row r="913" spans="1:9" outlineLevel="2" x14ac:dyDescent="0.25">
      <c r="A913">
        <v>39400</v>
      </c>
      <c r="B913">
        <v>2021</v>
      </c>
      <c r="C913" s="258">
        <f t="shared" si="137"/>
        <v>2.5</v>
      </c>
      <c r="D913" s="212">
        <v>43089.54</v>
      </c>
      <c r="E913">
        <v>18</v>
      </c>
      <c r="F913">
        <f t="shared" si="143"/>
        <v>15.5</v>
      </c>
      <c r="G913" s="90">
        <f>'Proposed Rates'!$O$62/100</f>
        <v>0</v>
      </c>
      <c r="H913" s="212">
        <f t="shared" si="144"/>
        <v>5984.658333333331</v>
      </c>
      <c r="I913" s="212">
        <f t="shared" si="145"/>
        <v>667887.87</v>
      </c>
    </row>
    <row r="914" spans="1:9" outlineLevel="2" x14ac:dyDescent="0.25">
      <c r="A914">
        <v>39400</v>
      </c>
      <c r="B914">
        <v>2020</v>
      </c>
      <c r="C914" s="258">
        <f t="shared" si="137"/>
        <v>3.5</v>
      </c>
      <c r="D914" s="212">
        <v>138839.26999999999</v>
      </c>
      <c r="E914">
        <v>18</v>
      </c>
      <c r="F914">
        <f t="shared" si="143"/>
        <v>14.5</v>
      </c>
      <c r="G914" s="90">
        <f>'Proposed Rates'!$O$62/100</f>
        <v>0</v>
      </c>
      <c r="H914" s="212">
        <f t="shared" si="144"/>
        <v>26996.524722222217</v>
      </c>
      <c r="I914" s="212">
        <f t="shared" si="145"/>
        <v>2013169.4149999998</v>
      </c>
    </row>
    <row r="915" spans="1:9" outlineLevel="2" x14ac:dyDescent="0.25">
      <c r="A915">
        <v>39400</v>
      </c>
      <c r="B915">
        <v>2019</v>
      </c>
      <c r="C915" s="258">
        <f t="shared" si="137"/>
        <v>4.5</v>
      </c>
      <c r="D915" s="212">
        <v>169435.99</v>
      </c>
      <c r="E915">
        <v>18</v>
      </c>
      <c r="F915">
        <f t="shared" si="143"/>
        <v>13.5</v>
      </c>
      <c r="G915" s="90">
        <f>'Proposed Rates'!$O$62/100</f>
        <v>0</v>
      </c>
      <c r="H915" s="212">
        <f t="shared" si="144"/>
        <v>42358.997499999998</v>
      </c>
      <c r="I915" s="212">
        <f t="shared" si="145"/>
        <v>2287385.8649999998</v>
      </c>
    </row>
    <row r="916" spans="1:9" outlineLevel="2" x14ac:dyDescent="0.25">
      <c r="A916">
        <v>39400</v>
      </c>
      <c r="B916">
        <v>2018</v>
      </c>
      <c r="C916" s="258">
        <f t="shared" si="137"/>
        <v>5.5</v>
      </c>
      <c r="D916" s="212">
        <v>185617.32</v>
      </c>
      <c r="E916">
        <v>18</v>
      </c>
      <c r="F916">
        <f t="shared" si="143"/>
        <v>12.5</v>
      </c>
      <c r="G916" s="90">
        <f>'Proposed Rates'!$O$62/100</f>
        <v>0</v>
      </c>
      <c r="H916" s="212">
        <f t="shared" si="144"/>
        <v>56716.403333333343</v>
      </c>
      <c r="I916" s="212">
        <f t="shared" si="145"/>
        <v>2320216.5</v>
      </c>
    </row>
    <row r="917" spans="1:9" outlineLevel="2" x14ac:dyDescent="0.25">
      <c r="A917">
        <v>39400</v>
      </c>
      <c r="B917">
        <v>2017</v>
      </c>
      <c r="C917" s="258">
        <f t="shared" si="137"/>
        <v>6.5</v>
      </c>
      <c r="D917" s="212">
        <v>131580.29999999999</v>
      </c>
      <c r="E917">
        <v>18</v>
      </c>
      <c r="F917">
        <f t="shared" si="143"/>
        <v>11.5</v>
      </c>
      <c r="G917" s="90">
        <f>'Proposed Rates'!$O$62/100</f>
        <v>0</v>
      </c>
      <c r="H917" s="212">
        <f t="shared" si="144"/>
        <v>47515.108333333337</v>
      </c>
      <c r="I917" s="212">
        <f t="shared" si="145"/>
        <v>1513173.45</v>
      </c>
    </row>
    <row r="918" spans="1:9" outlineLevel="2" x14ac:dyDescent="0.25">
      <c r="A918">
        <v>39400</v>
      </c>
      <c r="B918">
        <v>2016</v>
      </c>
      <c r="C918" s="258">
        <f t="shared" si="137"/>
        <v>7.5</v>
      </c>
      <c r="D918" s="212">
        <v>303818.81</v>
      </c>
      <c r="E918">
        <v>18</v>
      </c>
      <c r="F918">
        <f t="shared" si="143"/>
        <v>10.5</v>
      </c>
      <c r="G918" s="90">
        <f>'Proposed Rates'!$O$62/100</f>
        <v>0</v>
      </c>
      <c r="H918" s="212">
        <f t="shared" si="144"/>
        <v>126591.17083333332</v>
      </c>
      <c r="I918" s="212">
        <f t="shared" si="145"/>
        <v>3190097.5049999999</v>
      </c>
    </row>
    <row r="919" spans="1:9" outlineLevel="2" x14ac:dyDescent="0.25">
      <c r="A919">
        <v>39400</v>
      </c>
      <c r="B919">
        <v>2015</v>
      </c>
      <c r="C919" s="258">
        <f t="shared" si="137"/>
        <v>8.5</v>
      </c>
      <c r="D919" s="212">
        <v>2693626.21</v>
      </c>
      <c r="E919">
        <v>18</v>
      </c>
      <c r="F919">
        <f t="shared" si="143"/>
        <v>9.5</v>
      </c>
      <c r="G919" s="90">
        <f>'Proposed Rates'!$O$62/100</f>
        <v>0</v>
      </c>
      <c r="H919" s="212">
        <f t="shared" si="144"/>
        <v>1271990.1547222221</v>
      </c>
      <c r="I919" s="212">
        <f t="shared" si="145"/>
        <v>25589448.995000001</v>
      </c>
    </row>
    <row r="920" spans="1:9" outlineLevel="2" x14ac:dyDescent="0.25">
      <c r="A920">
        <v>39400</v>
      </c>
      <c r="B920">
        <v>2014</v>
      </c>
      <c r="C920" s="258">
        <f t="shared" si="137"/>
        <v>9.5</v>
      </c>
      <c r="D920" s="212">
        <v>1471365.89</v>
      </c>
      <c r="E920">
        <v>18</v>
      </c>
      <c r="F920">
        <f t="shared" si="143"/>
        <v>8.5</v>
      </c>
      <c r="G920" s="90">
        <f>'Proposed Rates'!$O$62/100</f>
        <v>0</v>
      </c>
      <c r="H920" s="212">
        <f t="shared" si="144"/>
        <v>776554.21972222219</v>
      </c>
      <c r="I920" s="212">
        <f t="shared" si="145"/>
        <v>12506610.064999999</v>
      </c>
    </row>
    <row r="921" spans="1:9" outlineLevel="2" x14ac:dyDescent="0.25">
      <c r="A921">
        <v>39400</v>
      </c>
      <c r="B921">
        <v>2013</v>
      </c>
      <c r="C921" s="258">
        <f t="shared" si="137"/>
        <v>10.5</v>
      </c>
      <c r="D921" s="212">
        <v>386884.17</v>
      </c>
      <c r="E921">
        <v>18</v>
      </c>
      <c r="F921">
        <f t="shared" ref="F921:F928" si="146">+E921-C921</f>
        <v>7.5</v>
      </c>
      <c r="G921" s="90">
        <f>'Proposed Rates'!$O$62/100</f>
        <v>0</v>
      </c>
      <c r="H921" s="212">
        <f t="shared" ref="H921:H930" si="147">+D921*(1-F921/E921)*(1-G921)</f>
        <v>225682.43249999997</v>
      </c>
      <c r="I921" s="212">
        <f t="shared" ref="I921:I929" si="148">+D921*F921</f>
        <v>2901631.2749999999</v>
      </c>
    </row>
    <row r="922" spans="1:9" outlineLevel="2" x14ac:dyDescent="0.25">
      <c r="A922">
        <v>39400</v>
      </c>
      <c r="B922">
        <v>2012</v>
      </c>
      <c r="C922" s="258">
        <f t="shared" si="137"/>
        <v>11.5</v>
      </c>
      <c r="D922" s="212">
        <v>160080.34</v>
      </c>
      <c r="E922">
        <v>18</v>
      </c>
      <c r="F922">
        <f t="shared" si="146"/>
        <v>6.5</v>
      </c>
      <c r="G922" s="90">
        <f>'Proposed Rates'!$O$62/100</f>
        <v>0</v>
      </c>
      <c r="H922" s="212">
        <f t="shared" si="147"/>
        <v>102273.55055555554</v>
      </c>
      <c r="I922" s="212">
        <f t="shared" si="148"/>
        <v>1040522.21</v>
      </c>
    </row>
    <row r="923" spans="1:9" outlineLevel="2" x14ac:dyDescent="0.25">
      <c r="A923">
        <v>39400</v>
      </c>
      <c r="B923">
        <v>2011</v>
      </c>
      <c r="C923" s="258">
        <f t="shared" si="137"/>
        <v>12.5</v>
      </c>
      <c r="D923" s="212">
        <v>370307.52</v>
      </c>
      <c r="E923">
        <v>18</v>
      </c>
      <c r="F923">
        <f t="shared" si="146"/>
        <v>5.5</v>
      </c>
      <c r="G923" s="90">
        <f>'Proposed Rates'!$O$62/100</f>
        <v>0</v>
      </c>
      <c r="H923" s="212">
        <f t="shared" si="147"/>
        <v>257158</v>
      </c>
      <c r="I923" s="212">
        <f t="shared" si="148"/>
        <v>2036691.36</v>
      </c>
    </row>
    <row r="924" spans="1:9" outlineLevel="2" x14ac:dyDescent="0.25">
      <c r="A924">
        <v>39400</v>
      </c>
      <c r="B924">
        <v>2010</v>
      </c>
      <c r="C924" s="258">
        <f t="shared" si="137"/>
        <v>13.5</v>
      </c>
      <c r="D924" s="212">
        <v>165917.15</v>
      </c>
      <c r="E924">
        <v>18</v>
      </c>
      <c r="F924">
        <f t="shared" si="146"/>
        <v>4.5</v>
      </c>
      <c r="G924" s="90">
        <f>'Proposed Rates'!$O$62/100</f>
        <v>0</v>
      </c>
      <c r="H924" s="212">
        <f t="shared" si="147"/>
        <v>124437.86249999999</v>
      </c>
      <c r="I924" s="212">
        <f t="shared" si="148"/>
        <v>746627.17499999993</v>
      </c>
    </row>
    <row r="925" spans="1:9" outlineLevel="2" x14ac:dyDescent="0.25">
      <c r="A925">
        <v>39400</v>
      </c>
      <c r="B925">
        <v>2009</v>
      </c>
      <c r="C925" s="258">
        <f t="shared" si="137"/>
        <v>14.5</v>
      </c>
      <c r="D925" s="212">
        <v>211344.45</v>
      </c>
      <c r="E925">
        <v>18</v>
      </c>
      <c r="F925">
        <f t="shared" si="146"/>
        <v>3.5</v>
      </c>
      <c r="G925" s="90">
        <f>'Proposed Rates'!$O$62/100</f>
        <v>0</v>
      </c>
      <c r="H925" s="212">
        <f t="shared" si="147"/>
        <v>170249.69583333336</v>
      </c>
      <c r="I925" s="212">
        <f t="shared" si="148"/>
        <v>739705.57500000007</v>
      </c>
    </row>
    <row r="926" spans="1:9" outlineLevel="2" x14ac:dyDescent="0.25">
      <c r="A926">
        <v>39400</v>
      </c>
      <c r="B926">
        <v>2008</v>
      </c>
      <c r="C926" s="258">
        <f t="shared" si="137"/>
        <v>15.5</v>
      </c>
      <c r="D926" s="212">
        <v>77877.13</v>
      </c>
      <c r="E926">
        <v>18</v>
      </c>
      <c r="F926">
        <f t="shared" si="146"/>
        <v>2.5</v>
      </c>
      <c r="G926" s="90">
        <f>'Proposed Rates'!$O$62/100</f>
        <v>0</v>
      </c>
      <c r="H926" s="212">
        <f t="shared" si="147"/>
        <v>67060.861944444448</v>
      </c>
      <c r="I926" s="212">
        <f t="shared" si="148"/>
        <v>194692.82500000001</v>
      </c>
    </row>
    <row r="927" spans="1:9" outlineLevel="2" x14ac:dyDescent="0.25">
      <c r="A927">
        <v>39400</v>
      </c>
      <c r="B927">
        <v>2007</v>
      </c>
      <c r="C927" s="258">
        <f t="shared" si="137"/>
        <v>16.5</v>
      </c>
      <c r="D927" s="212">
        <v>120829</v>
      </c>
      <c r="E927">
        <v>18</v>
      </c>
      <c r="F927">
        <f t="shared" si="146"/>
        <v>1.5</v>
      </c>
      <c r="G927" s="90">
        <f>'Proposed Rates'!$O$62/100</f>
        <v>0</v>
      </c>
      <c r="H927" s="212">
        <f t="shared" si="147"/>
        <v>110759.91666666666</v>
      </c>
      <c r="I927" s="212">
        <f t="shared" si="148"/>
        <v>181243.5</v>
      </c>
    </row>
    <row r="928" spans="1:9" outlineLevel="2" x14ac:dyDescent="0.25">
      <c r="A928">
        <v>39400</v>
      </c>
      <c r="B928">
        <v>2006</v>
      </c>
      <c r="C928" s="258">
        <f t="shared" si="137"/>
        <v>17.5</v>
      </c>
      <c r="D928" s="212">
        <v>102556.61</v>
      </c>
      <c r="E928">
        <v>18</v>
      </c>
      <c r="F928">
        <f t="shared" si="146"/>
        <v>0.5</v>
      </c>
      <c r="G928" s="90">
        <f>'Proposed Rates'!$O$62/100</f>
        <v>0</v>
      </c>
      <c r="H928" s="212">
        <f t="shared" si="147"/>
        <v>99707.815277777772</v>
      </c>
      <c r="I928" s="212">
        <f t="shared" si="148"/>
        <v>51278.305</v>
      </c>
    </row>
    <row r="929" spans="1:10" outlineLevel="2" x14ac:dyDescent="0.25">
      <c r="A929">
        <v>39400</v>
      </c>
      <c r="B929">
        <v>2005</v>
      </c>
      <c r="C929" s="258">
        <f t="shared" si="137"/>
        <v>18.5</v>
      </c>
      <c r="D929" s="212">
        <v>102633.27</v>
      </c>
      <c r="E929">
        <v>18</v>
      </c>
      <c r="F929">
        <v>0</v>
      </c>
      <c r="G929" s="90">
        <f>'Proposed Rates'!$O$62/100</f>
        <v>0</v>
      </c>
      <c r="H929" s="212">
        <f t="shared" si="147"/>
        <v>102633.27</v>
      </c>
      <c r="I929" s="212">
        <f t="shared" si="148"/>
        <v>0</v>
      </c>
    </row>
    <row r="930" spans="1:10" outlineLevel="2" x14ac:dyDescent="0.25">
      <c r="A930">
        <v>39400</v>
      </c>
      <c r="B930">
        <v>2004</v>
      </c>
      <c r="C930" s="258">
        <f t="shared" si="137"/>
        <v>19.5</v>
      </c>
      <c r="D930" s="212">
        <v>76064.160000000003</v>
      </c>
      <c r="E930">
        <v>18</v>
      </c>
      <c r="F930">
        <v>0</v>
      </c>
      <c r="G930" s="90">
        <v>0</v>
      </c>
      <c r="H930" s="212">
        <f t="shared" si="147"/>
        <v>76064.160000000003</v>
      </c>
      <c r="I930" s="212">
        <v>0</v>
      </c>
    </row>
    <row r="931" spans="1:10" ht="13" outlineLevel="1" x14ac:dyDescent="0.3">
      <c r="A931" s="18" t="s">
        <v>1202</v>
      </c>
      <c r="C931" s="258" t="s">
        <v>1229</v>
      </c>
      <c r="D931" s="212">
        <f>SUBTOTAL(9,D911:D930)</f>
        <v>8587697.3599999994</v>
      </c>
      <c r="F931" s="77" t="s">
        <v>1229</v>
      </c>
      <c r="H931" s="212">
        <f>SUBTOTAL(9,H911:H930)</f>
        <v>3741179.8491666662</v>
      </c>
      <c r="I931" s="212">
        <f>SUBTOTAL(9,I911:I930)</f>
        <v>87237315.195000008</v>
      </c>
      <c r="J931" s="212">
        <f>+I931/D931</f>
        <v>10.158405861079391</v>
      </c>
    </row>
    <row r="932" spans="1:10" outlineLevel="2" x14ac:dyDescent="0.25">
      <c r="A932">
        <v>39401</v>
      </c>
      <c r="B932">
        <v>2023</v>
      </c>
      <c r="C932" s="258">
        <f t="shared" si="137"/>
        <v>0.5</v>
      </c>
      <c r="D932" s="212">
        <v>655754.14</v>
      </c>
      <c r="E932">
        <v>20</v>
      </c>
      <c r="F932">
        <f t="shared" si="143"/>
        <v>19.5</v>
      </c>
      <c r="G932" s="90">
        <f>'Proposed Rates'!$O$63/100</f>
        <v>0</v>
      </c>
      <c r="H932" s="212">
        <f>+D932*(1-F932/E932)*(1-G932)</f>
        <v>16393.853500000016</v>
      </c>
      <c r="I932" s="212">
        <f>+D932*F932</f>
        <v>12787205.73</v>
      </c>
    </row>
    <row r="933" spans="1:10" outlineLevel="2" x14ac:dyDescent="0.25">
      <c r="A933">
        <v>39401</v>
      </c>
      <c r="B933">
        <v>2022</v>
      </c>
      <c r="C933" s="258">
        <f t="shared" si="137"/>
        <v>1.5</v>
      </c>
      <c r="D933" s="212">
        <v>4788.5600000000004</v>
      </c>
      <c r="E933">
        <v>20</v>
      </c>
      <c r="F933">
        <f t="shared" si="143"/>
        <v>18.5</v>
      </c>
      <c r="G933" s="90">
        <f>'Proposed Rates'!$O$63/100</f>
        <v>0</v>
      </c>
      <c r="H933" s="212">
        <f>+D933*(1-F933/E933)*(1-G933)</f>
        <v>359.14199999999983</v>
      </c>
      <c r="I933" s="212">
        <f>+D933*F933</f>
        <v>88588.36</v>
      </c>
    </row>
    <row r="934" spans="1:10" outlineLevel="2" x14ac:dyDescent="0.25">
      <c r="A934">
        <v>39401</v>
      </c>
      <c r="B934">
        <v>2020</v>
      </c>
      <c r="C934" s="258">
        <f t="shared" si="137"/>
        <v>3.5</v>
      </c>
      <c r="D934" s="212">
        <v>24427.55</v>
      </c>
      <c r="E934">
        <v>20</v>
      </c>
      <c r="F934">
        <f t="shared" si="143"/>
        <v>16.5</v>
      </c>
      <c r="G934" s="90">
        <f>'Proposed Rates'!$O$63/100</f>
        <v>0</v>
      </c>
      <c r="H934" s="212">
        <f t="shared" ref="H934:H939" si="149">+D934*(1-F934/E934)*(1-G934)</f>
        <v>4274.8212500000009</v>
      </c>
      <c r="I934" s="212">
        <f t="shared" ref="I934:I939" si="150">+D934*F934</f>
        <v>403054.57500000001</v>
      </c>
    </row>
    <row r="935" spans="1:10" outlineLevel="2" x14ac:dyDescent="0.25">
      <c r="A935">
        <v>39401</v>
      </c>
      <c r="B935">
        <v>2019</v>
      </c>
      <c r="C935" s="258">
        <f t="shared" si="137"/>
        <v>4.5</v>
      </c>
      <c r="D935" s="212">
        <v>1095156.28</v>
      </c>
      <c r="E935">
        <v>20</v>
      </c>
      <c r="F935">
        <f t="shared" si="143"/>
        <v>15.5</v>
      </c>
      <c r="G935" s="90">
        <f>'Proposed Rates'!$O$63/100</f>
        <v>0</v>
      </c>
      <c r="H935" s="212">
        <f t="shared" si="149"/>
        <v>246410.16299999997</v>
      </c>
      <c r="I935" s="212">
        <f t="shared" si="150"/>
        <v>16974922.34</v>
      </c>
    </row>
    <row r="936" spans="1:10" outlineLevel="2" x14ac:dyDescent="0.25">
      <c r="A936">
        <v>39401</v>
      </c>
      <c r="B936">
        <v>2016</v>
      </c>
      <c r="C936" s="258">
        <f t="shared" si="137"/>
        <v>7.5</v>
      </c>
      <c r="D936" s="212">
        <v>1431845.14</v>
      </c>
      <c r="E936">
        <v>20</v>
      </c>
      <c r="F936">
        <f t="shared" si="143"/>
        <v>12.5</v>
      </c>
      <c r="G936" s="90">
        <f>'Proposed Rates'!$O$63/100</f>
        <v>0</v>
      </c>
      <c r="H936" s="212">
        <f t="shared" si="149"/>
        <v>536941.92749999999</v>
      </c>
      <c r="I936" s="212">
        <f t="shared" si="150"/>
        <v>17898064.25</v>
      </c>
    </row>
    <row r="937" spans="1:10" outlineLevel="2" x14ac:dyDescent="0.25">
      <c r="A937">
        <v>39401</v>
      </c>
      <c r="B937">
        <v>2013</v>
      </c>
      <c r="C937" s="258">
        <f t="shared" si="137"/>
        <v>10.5</v>
      </c>
      <c r="D937" s="212">
        <v>20727.47</v>
      </c>
      <c r="E937">
        <v>20</v>
      </c>
      <c r="F937">
        <f t="shared" ref="F937" si="151">+E937-C937</f>
        <v>9.5</v>
      </c>
      <c r="G937" s="90">
        <f>'Proposed Rates'!$O$63/100</f>
        <v>0</v>
      </c>
      <c r="H937" s="212">
        <f t="shared" ref="H937" si="152">+D937*(1-F937/E937)*(1-G937)</f>
        <v>10881.921750000001</v>
      </c>
      <c r="I937" s="212">
        <f t="shared" ref="I937" si="153">+D937*F937</f>
        <v>196910.96500000003</v>
      </c>
    </row>
    <row r="938" spans="1:10" outlineLevel="2" x14ac:dyDescent="0.25">
      <c r="A938">
        <v>39401</v>
      </c>
      <c r="B938">
        <v>2012</v>
      </c>
      <c r="C938" s="258">
        <f t="shared" si="137"/>
        <v>11.5</v>
      </c>
      <c r="D938" s="212">
        <v>2413.6799999999998</v>
      </c>
      <c r="E938">
        <v>20</v>
      </c>
      <c r="F938">
        <f t="shared" si="143"/>
        <v>8.5</v>
      </c>
      <c r="G938" s="90">
        <f>'Proposed Rates'!$O$63/100</f>
        <v>0</v>
      </c>
      <c r="H938" s="212">
        <f t="shared" si="149"/>
        <v>1387.8659999999998</v>
      </c>
      <c r="I938" s="212">
        <f t="shared" si="150"/>
        <v>20516.28</v>
      </c>
    </row>
    <row r="939" spans="1:10" outlineLevel="2" x14ac:dyDescent="0.25">
      <c r="A939">
        <v>39401</v>
      </c>
      <c r="B939">
        <v>2011</v>
      </c>
      <c r="C939" s="258">
        <f t="shared" si="137"/>
        <v>12.5</v>
      </c>
      <c r="D939" s="212">
        <v>6679.97</v>
      </c>
      <c r="E939">
        <v>20</v>
      </c>
      <c r="F939">
        <v>6.5</v>
      </c>
      <c r="G939" s="90">
        <f>'Proposed Rates'!$O$63/100</f>
        <v>0</v>
      </c>
      <c r="H939" s="212">
        <f t="shared" si="149"/>
        <v>4508.9797500000004</v>
      </c>
      <c r="I939" s="212">
        <f t="shared" si="150"/>
        <v>43419.805</v>
      </c>
    </row>
    <row r="940" spans="1:10" ht="13" outlineLevel="1" x14ac:dyDescent="0.3">
      <c r="A940" s="18" t="s">
        <v>1203</v>
      </c>
      <c r="C940" s="258"/>
      <c r="D940" s="212">
        <f>SUBTOTAL(9,D932:D939)</f>
        <v>3241792.7900000005</v>
      </c>
      <c r="H940" s="212">
        <f>SUBTOTAL(9,H932:H939)</f>
        <v>821158.67475000001</v>
      </c>
      <c r="I940" s="212">
        <f>SUBTOTAL(9,I932:I939)</f>
        <v>48412682.305</v>
      </c>
      <c r="J940" s="212">
        <f>+I940/D940</f>
        <v>14.933922505577536</v>
      </c>
    </row>
    <row r="941" spans="1:10" outlineLevel="2" x14ac:dyDescent="0.25">
      <c r="A941">
        <v>39600</v>
      </c>
      <c r="B941">
        <v>2023</v>
      </c>
      <c r="C941" s="258">
        <f t="shared" si="137"/>
        <v>0.5</v>
      </c>
      <c r="D941" s="212">
        <v>484735.73790000001</v>
      </c>
      <c r="E941">
        <v>18</v>
      </c>
      <c r="F941">
        <v>17.516138000000002</v>
      </c>
      <c r="G941" s="90">
        <f>'Proposed Rates'!$O$65/100</f>
        <v>0.1</v>
      </c>
      <c r="H941" s="212">
        <f t="shared" si="142"/>
        <v>11727.260180588442</v>
      </c>
      <c r="I941" s="212">
        <f t="shared" ref="I941:I1001" si="154">+D941*F941</f>
        <v>8490698.0785882305</v>
      </c>
    </row>
    <row r="942" spans="1:10" outlineLevel="2" x14ac:dyDescent="0.25">
      <c r="A942">
        <v>39600</v>
      </c>
      <c r="B942">
        <v>2022</v>
      </c>
      <c r="C942" s="258">
        <f t="shared" si="137"/>
        <v>1.5</v>
      </c>
      <c r="D942" s="212">
        <v>10696.08</v>
      </c>
      <c r="E942">
        <v>18</v>
      </c>
      <c r="F942">
        <v>16.568131000000001</v>
      </c>
    </row>
    <row r="943" spans="1:10" outlineLevel="2" x14ac:dyDescent="0.25">
      <c r="A943">
        <v>39600</v>
      </c>
      <c r="B943">
        <v>2021</v>
      </c>
      <c r="C943" s="258">
        <f t="shared" si="137"/>
        <v>2.5</v>
      </c>
      <c r="D943" s="212">
        <v>48793.21</v>
      </c>
      <c r="E943">
        <v>18</v>
      </c>
      <c r="F943">
        <v>15.656096</v>
      </c>
      <c r="G943" s="90">
        <f>'Proposed Rates'!$O$65/100</f>
        <v>0.1</v>
      </c>
      <c r="H943" s="212">
        <f t="shared" ref="H943:H954" si="155">+D943*(1-F943/E943)*(1-G943)</f>
        <v>5718.3300045920023</v>
      </c>
      <c r="I943" s="212">
        <f t="shared" ref="I943:I954" si="156">+D943*F943</f>
        <v>763911.17990816</v>
      </c>
    </row>
    <row r="944" spans="1:10" outlineLevel="2" x14ac:dyDescent="0.25">
      <c r="A944">
        <v>39600</v>
      </c>
      <c r="B944">
        <v>2020</v>
      </c>
      <c r="C944" s="258">
        <f t="shared" si="137"/>
        <v>3.5</v>
      </c>
      <c r="D944" s="212">
        <v>74102.89</v>
      </c>
      <c r="E944">
        <v>18</v>
      </c>
      <c r="F944">
        <v>14.788677</v>
      </c>
      <c r="G944" s="90">
        <f>'Proposed Rates'!$O$65/100</f>
        <v>0.1</v>
      </c>
      <c r="H944" s="212">
        <f t="shared" si="155"/>
        <v>11898.415751173497</v>
      </c>
      <c r="I944" s="212">
        <f t="shared" si="156"/>
        <v>1095883.70497653</v>
      </c>
    </row>
    <row r="945" spans="1:9" outlineLevel="2" x14ac:dyDescent="0.25">
      <c r="A945">
        <v>39600</v>
      </c>
      <c r="B945">
        <v>2019</v>
      </c>
      <c r="C945" s="258">
        <f t="shared" si="137"/>
        <v>4.5</v>
      </c>
      <c r="D945" s="212">
        <v>76294.87</v>
      </c>
      <c r="E945">
        <v>18</v>
      </c>
      <c r="F945">
        <v>13.969721</v>
      </c>
      <c r="G945" s="90">
        <f>'Proposed Rates'!$O$65/100</f>
        <v>0.1</v>
      </c>
      <c r="H945" s="212">
        <f t="shared" si="155"/>
        <v>15374.480618436497</v>
      </c>
      <c r="I945" s="212">
        <f t="shared" si="156"/>
        <v>1065818.04763127</v>
      </c>
    </row>
    <row r="946" spans="1:9" outlineLevel="2" x14ac:dyDescent="0.25">
      <c r="A946">
        <v>39600</v>
      </c>
      <c r="B946">
        <v>2018</v>
      </c>
      <c r="C946" s="258">
        <f t="shared" si="137"/>
        <v>5.5</v>
      </c>
      <c r="D946" s="212">
        <v>212537.04</v>
      </c>
      <c r="E946">
        <v>18</v>
      </c>
      <c r="F946">
        <v>13.201207999999999</v>
      </c>
      <c r="G946" s="90">
        <f>'Proposed Rates'!$O$65/100</f>
        <v>0.1</v>
      </c>
      <c r="H946" s="212">
        <f t="shared" si="155"/>
        <v>50996.052362784008</v>
      </c>
      <c r="I946" s="212">
        <f t="shared" si="156"/>
        <v>2805745.6727443198</v>
      </c>
    </row>
    <row r="947" spans="1:9" outlineLevel="2" x14ac:dyDescent="0.25">
      <c r="A947">
        <v>39600</v>
      </c>
      <c r="B947">
        <v>2017</v>
      </c>
      <c r="C947" s="258">
        <f t="shared" si="137"/>
        <v>6.5</v>
      </c>
      <c r="D947" s="212">
        <v>91302.21</v>
      </c>
      <c r="E947">
        <v>18</v>
      </c>
      <c r="F947">
        <v>12.481678</v>
      </c>
      <c r="G947" s="90">
        <f>'Proposed Rates'!$O$65/100</f>
        <v>0.1</v>
      </c>
      <c r="H947" s="212">
        <f t="shared" si="155"/>
        <v>25191.749704581005</v>
      </c>
      <c r="I947" s="212">
        <f t="shared" si="156"/>
        <v>1139604.7859083801</v>
      </c>
    </row>
    <row r="948" spans="1:9" outlineLevel="2" x14ac:dyDescent="0.25">
      <c r="A948">
        <v>39600</v>
      </c>
      <c r="B948">
        <v>2016</v>
      </c>
      <c r="C948" s="258">
        <f t="shared" si="137"/>
        <v>7.5</v>
      </c>
      <c r="D948" s="212">
        <v>78520.429999999993</v>
      </c>
      <c r="E948">
        <v>18</v>
      </c>
      <c r="F948">
        <v>11.817409</v>
      </c>
      <c r="G948" s="90">
        <f>'Proposed Rates'!$O$65/100</f>
        <v>0.1</v>
      </c>
      <c r="H948" s="212">
        <f t="shared" si="155"/>
        <v>24272.985191706499</v>
      </c>
      <c r="I948" s="212">
        <f t="shared" si="156"/>
        <v>927908.03616586991</v>
      </c>
    </row>
    <row r="949" spans="1:9" outlineLevel="2" x14ac:dyDescent="0.25">
      <c r="A949">
        <v>39600</v>
      </c>
      <c r="B949">
        <v>2015</v>
      </c>
      <c r="C949" s="258">
        <f t="shared" si="137"/>
        <v>8.5</v>
      </c>
      <c r="D949" s="212">
        <v>22819.81</v>
      </c>
      <c r="E949">
        <v>18</v>
      </c>
      <c r="F949">
        <v>11.216016</v>
      </c>
      <c r="G949" s="90">
        <f>'Proposed Rates'!$O$65/100</f>
        <v>0.1</v>
      </c>
      <c r="H949" s="212">
        <f t="shared" si="155"/>
        <v>7740.4612961520006</v>
      </c>
      <c r="I949" s="212">
        <f t="shared" si="156"/>
        <v>255947.35407696001</v>
      </c>
    </row>
    <row r="950" spans="1:9" outlineLevel="2" x14ac:dyDescent="0.25">
      <c r="A950">
        <v>39600</v>
      </c>
      <c r="B950">
        <v>2014</v>
      </c>
      <c r="C950" s="258">
        <f t="shared" si="137"/>
        <v>9.5</v>
      </c>
      <c r="D950" s="212">
        <v>926640.52</v>
      </c>
      <c r="E950">
        <v>18</v>
      </c>
      <c r="F950">
        <v>10.679724999999999</v>
      </c>
      <c r="G950" s="90">
        <f>'Proposed Rates'!$O$65/100</f>
        <v>0.1</v>
      </c>
      <c r="H950" s="212">
        <f t="shared" si="155"/>
        <v>339163.17162715009</v>
      </c>
      <c r="I950" s="212">
        <f t="shared" si="156"/>
        <v>9896265.9274569992</v>
      </c>
    </row>
    <row r="951" spans="1:9" outlineLevel="2" x14ac:dyDescent="0.25">
      <c r="A951">
        <v>39600</v>
      </c>
      <c r="B951">
        <v>2013</v>
      </c>
      <c r="C951" s="258">
        <f t="shared" si="137"/>
        <v>10.5</v>
      </c>
      <c r="D951" s="212">
        <v>76102.52</v>
      </c>
      <c r="E951">
        <v>18</v>
      </c>
      <c r="F951">
        <v>10.20374</v>
      </c>
      <c r="G951" s="90">
        <f>'Proposed Rates'!$O$65/100</f>
        <v>0.1</v>
      </c>
      <c r="H951" s="212">
        <f t="shared" si="155"/>
        <v>29665.751628759997</v>
      </c>
      <c r="I951" s="212">
        <f t="shared" si="156"/>
        <v>776530.32742480002</v>
      </c>
    </row>
    <row r="952" spans="1:9" outlineLevel="2" x14ac:dyDescent="0.25">
      <c r="A952">
        <v>39600</v>
      </c>
      <c r="B952">
        <v>2012</v>
      </c>
      <c r="C952" s="258">
        <f t="shared" si="137"/>
        <v>11.5</v>
      </c>
      <c r="D952" s="212">
        <v>79155.789999999994</v>
      </c>
      <c r="E952">
        <v>18</v>
      </c>
      <c r="F952">
        <v>9.7782680000000006</v>
      </c>
      <c r="G952" s="90">
        <f>'Proposed Rates'!$O$65/100</f>
        <v>0.1</v>
      </c>
      <c r="H952" s="212">
        <f t="shared" si="155"/>
        <v>32539.884581413993</v>
      </c>
      <c r="I952" s="212">
        <f t="shared" si="156"/>
        <v>774006.52837171999</v>
      </c>
    </row>
    <row r="953" spans="1:9" outlineLevel="2" x14ac:dyDescent="0.25">
      <c r="A953">
        <v>39600</v>
      </c>
      <c r="B953">
        <v>2011</v>
      </c>
      <c r="C953" s="258">
        <f t="shared" ref="C953:C974" si="157">2023.5-B953</f>
        <v>12.5</v>
      </c>
      <c r="D953" s="212">
        <v>225949.51</v>
      </c>
      <c r="E953">
        <v>18</v>
      </c>
      <c r="F953">
        <v>9.3951930000000008</v>
      </c>
      <c r="G953" s="90">
        <f>'Proposed Rates'!$O$65/100</f>
        <v>0.1</v>
      </c>
      <c r="H953" s="212">
        <f t="shared" si="155"/>
        <v>97212.59626472849</v>
      </c>
      <c r="I953" s="212">
        <f t="shared" si="156"/>
        <v>2122839.2547054305</v>
      </c>
    </row>
    <row r="954" spans="1:9" outlineLevel="2" x14ac:dyDescent="0.25">
      <c r="A954">
        <v>39600</v>
      </c>
      <c r="B954">
        <v>2010</v>
      </c>
      <c r="C954" s="258">
        <f t="shared" si="157"/>
        <v>13.5</v>
      </c>
      <c r="D954" s="212">
        <v>218585.51</v>
      </c>
      <c r="E954">
        <v>18</v>
      </c>
      <c r="F954">
        <v>9.0472529999999995</v>
      </c>
      <c r="G954" s="90">
        <f>'Proposed Rates'!$O$65/100</f>
        <v>0.1</v>
      </c>
      <c r="H954" s="212">
        <f t="shared" si="155"/>
        <v>97847.038444798513</v>
      </c>
      <c r="I954" s="212">
        <f t="shared" si="156"/>
        <v>1977598.41110403</v>
      </c>
    </row>
    <row r="955" spans="1:9" outlineLevel="2" x14ac:dyDescent="0.25">
      <c r="A955">
        <v>39600</v>
      </c>
      <c r="B955">
        <v>2009</v>
      </c>
      <c r="C955" s="258">
        <f t="shared" si="157"/>
        <v>14.5</v>
      </c>
      <c r="D955" s="212">
        <v>86902.71</v>
      </c>
      <c r="E955">
        <v>18</v>
      </c>
      <c r="F955">
        <v>8.7272429999999996</v>
      </c>
      <c r="G955" s="90">
        <f>'Proposed Rates'!$O$65/100</f>
        <v>0.1</v>
      </c>
      <c r="H955" s="212">
        <f t="shared" si="142"/>
        <v>40291.3856235735</v>
      </c>
      <c r="I955" s="212">
        <f t="shared" si="154"/>
        <v>758421.06752853002</v>
      </c>
    </row>
    <row r="956" spans="1:9" outlineLevel="2" x14ac:dyDescent="0.25">
      <c r="A956">
        <v>39600</v>
      </c>
      <c r="B956">
        <v>2008</v>
      </c>
      <c r="C956" s="258">
        <f t="shared" si="157"/>
        <v>15.5</v>
      </c>
      <c r="D956" s="212">
        <v>74752.28</v>
      </c>
      <c r="E956">
        <v>18</v>
      </c>
      <c r="F956">
        <v>8.4282389999999996</v>
      </c>
      <c r="G956" s="90">
        <f>'Proposed Rates'!$O$65/100</f>
        <v>0.1</v>
      </c>
      <c r="H956" s="212">
        <f t="shared" si="142"/>
        <v>35775.547918254</v>
      </c>
      <c r="I956" s="212">
        <f t="shared" si="154"/>
        <v>630030.08163491997</v>
      </c>
    </row>
    <row r="957" spans="1:9" outlineLevel="2" x14ac:dyDescent="0.25">
      <c r="A957">
        <v>39600</v>
      </c>
      <c r="B957">
        <v>2007</v>
      </c>
      <c r="C957" s="258">
        <f t="shared" si="157"/>
        <v>16.5</v>
      </c>
      <c r="D957" s="212">
        <v>9061.0300000000007</v>
      </c>
      <c r="E957">
        <v>18</v>
      </c>
      <c r="F957">
        <v>8.1440169999999998</v>
      </c>
      <c r="G957" s="90">
        <f>'Proposed Rates'!$O$65/100</f>
        <v>0.1</v>
      </c>
      <c r="H957" s="212">
        <f t="shared" si="142"/>
        <v>4465.2678821245008</v>
      </c>
      <c r="I957" s="212">
        <f t="shared" si="154"/>
        <v>73793.182357509999</v>
      </c>
    </row>
    <row r="958" spans="1:9" outlineLevel="2" x14ac:dyDescent="0.25">
      <c r="A958">
        <v>39600</v>
      </c>
      <c r="B958">
        <v>2006</v>
      </c>
      <c r="C958" s="258">
        <f t="shared" si="157"/>
        <v>17.5</v>
      </c>
      <c r="D958" s="212">
        <v>41545.760000000002</v>
      </c>
      <c r="E958">
        <v>18</v>
      </c>
      <c r="F958">
        <v>7.8697239999999997</v>
      </c>
      <c r="G958" s="90">
        <f>'Proposed Rates'!$O$65/100</f>
        <v>0.1</v>
      </c>
      <c r="H958" s="212">
        <f t="shared" si="142"/>
        <v>21043.500771488001</v>
      </c>
      <c r="I958" s="212">
        <f t="shared" si="154"/>
        <v>326953.66457024001</v>
      </c>
    </row>
    <row r="959" spans="1:9" outlineLevel="2" x14ac:dyDescent="0.25">
      <c r="A959">
        <v>39600</v>
      </c>
      <c r="B959">
        <v>2005</v>
      </c>
      <c r="C959" s="258">
        <f t="shared" si="157"/>
        <v>18.5</v>
      </c>
      <c r="D959" s="212">
        <v>5104.2700000000004</v>
      </c>
      <c r="E959">
        <v>18</v>
      </c>
      <c r="F959">
        <v>7.6014889999999999</v>
      </c>
      <c r="G959" s="90">
        <f>'Proposed Rates'!$O$65/100</f>
        <v>0.1</v>
      </c>
      <c r="H959" s="212">
        <f t="shared" si="142"/>
        <v>2653.8403870985003</v>
      </c>
      <c r="I959" s="212">
        <f t="shared" si="154"/>
        <v>38800.052258030002</v>
      </c>
    </row>
    <row r="960" spans="1:9" outlineLevel="2" x14ac:dyDescent="0.25">
      <c r="A960">
        <v>39600</v>
      </c>
      <c r="B960">
        <v>2004</v>
      </c>
      <c r="C960" s="258">
        <f t="shared" si="157"/>
        <v>19.5</v>
      </c>
      <c r="D960" s="212">
        <v>49850.67</v>
      </c>
      <c r="E960">
        <v>18</v>
      </c>
      <c r="F960">
        <v>7.3367430000000002</v>
      </c>
      <c r="G960" s="90">
        <f>'Proposed Rates'!$O$65/100</f>
        <v>0.1</v>
      </c>
      <c r="H960" s="212">
        <f t="shared" si="142"/>
        <v>26578.525291609501</v>
      </c>
      <c r="I960" s="212">
        <f t="shared" si="154"/>
        <v>365741.55416781001</v>
      </c>
    </row>
    <row r="961" spans="1:10" outlineLevel="2" x14ac:dyDescent="0.25">
      <c r="A961">
        <v>39600</v>
      </c>
      <c r="B961">
        <v>2002</v>
      </c>
      <c r="C961" s="258">
        <f t="shared" si="157"/>
        <v>21.5</v>
      </c>
      <c r="D961" s="212">
        <v>58640.06</v>
      </c>
      <c r="E961">
        <v>18</v>
      </c>
      <c r="F961">
        <v>6.8130959999999998</v>
      </c>
      <c r="G961" s="90">
        <f>'Proposed Rates'!$O$65/100</f>
        <v>0.1</v>
      </c>
      <c r="H961" s="212">
        <f t="shared" si="142"/>
        <v>32800.036088712004</v>
      </c>
      <c r="I961" s="212">
        <f t="shared" si="154"/>
        <v>399520.35822575999</v>
      </c>
    </row>
    <row r="962" spans="1:10" outlineLevel="2" x14ac:dyDescent="0.25">
      <c r="A962">
        <v>39600</v>
      </c>
      <c r="B962">
        <v>2001</v>
      </c>
      <c r="C962" s="258">
        <f t="shared" si="157"/>
        <v>22.5</v>
      </c>
      <c r="D962" s="212">
        <v>55638.93</v>
      </c>
      <c r="E962">
        <v>18</v>
      </c>
      <c r="F962">
        <v>6.5541010000000002</v>
      </c>
      <c r="G962" s="90">
        <f>'Proposed Rates'!$O$65/100</f>
        <v>0.1</v>
      </c>
      <c r="H962" s="212">
        <f t="shared" si="142"/>
        <v>31841.878662403498</v>
      </c>
      <c r="I962" s="212">
        <f t="shared" si="154"/>
        <v>364663.16675193002</v>
      </c>
    </row>
    <row r="963" spans="1:10" outlineLevel="2" x14ac:dyDescent="0.25">
      <c r="A963">
        <v>39600</v>
      </c>
      <c r="B963">
        <v>2000</v>
      </c>
      <c r="C963" s="258">
        <f t="shared" si="157"/>
        <v>23.5</v>
      </c>
      <c r="D963" s="212">
        <v>36993.15</v>
      </c>
      <c r="E963">
        <v>18</v>
      </c>
      <c r="F963">
        <v>6.2971529999999998</v>
      </c>
      <c r="G963" s="90">
        <f>'Proposed Rates'!$O$65/100</f>
        <v>0.1</v>
      </c>
      <c r="H963" s="212">
        <f t="shared" si="142"/>
        <v>21646.258724902505</v>
      </c>
      <c r="I963" s="212">
        <f t="shared" si="154"/>
        <v>232951.52550195</v>
      </c>
    </row>
    <row r="964" spans="1:10" outlineLevel="2" x14ac:dyDescent="0.25">
      <c r="A964">
        <v>39600</v>
      </c>
      <c r="B964">
        <v>1999</v>
      </c>
      <c r="C964" s="258">
        <f t="shared" si="157"/>
        <v>24.5</v>
      </c>
      <c r="D964" s="212">
        <v>12270.42</v>
      </c>
      <c r="E964">
        <v>18</v>
      </c>
      <c r="F964">
        <v>6.0438879999999999</v>
      </c>
      <c r="G964" s="90">
        <f>'Proposed Rates'!$O$65/100</f>
        <v>0.1</v>
      </c>
      <c r="H964" s="212">
        <f t="shared" si="142"/>
        <v>7335.3257903519998</v>
      </c>
      <c r="I964" s="212">
        <f t="shared" si="154"/>
        <v>74161.044192960006</v>
      </c>
    </row>
    <row r="965" spans="1:10" outlineLevel="2" x14ac:dyDescent="0.25">
      <c r="A965">
        <v>39600</v>
      </c>
      <c r="B965">
        <v>1998</v>
      </c>
      <c r="C965" s="258">
        <f t="shared" si="157"/>
        <v>25.5</v>
      </c>
      <c r="D965" s="212">
        <v>194264.2</v>
      </c>
      <c r="E965">
        <v>18</v>
      </c>
      <c r="F965">
        <v>5.7946249999999999</v>
      </c>
      <c r="G965" s="90">
        <f>'Proposed Rates'!$O$65/100</f>
        <v>0.1</v>
      </c>
      <c r="H965" s="212">
        <f t="shared" si="142"/>
        <v>118553.37050375</v>
      </c>
      <c r="I965" s="212">
        <f t="shared" si="154"/>
        <v>1125688.1899250001</v>
      </c>
    </row>
    <row r="966" spans="1:10" outlineLevel="2" x14ac:dyDescent="0.25">
      <c r="A966">
        <v>39600</v>
      </c>
      <c r="B966">
        <v>1997</v>
      </c>
      <c r="C966" s="258">
        <f t="shared" si="157"/>
        <v>26.5</v>
      </c>
      <c r="D966" s="212">
        <v>42989.34</v>
      </c>
      <c r="E966">
        <v>18</v>
      </c>
      <c r="F966">
        <v>5.550586</v>
      </c>
      <c r="G966" s="90">
        <f>'Proposed Rates'!$O$65/100</f>
        <v>0.1</v>
      </c>
      <c r="H966" s="212">
        <f t="shared" si="142"/>
        <v>26759.604562337998</v>
      </c>
      <c r="I966" s="212">
        <f t="shared" si="154"/>
        <v>238616.02875323998</v>
      </c>
    </row>
    <row r="967" spans="1:10" outlineLevel="2" x14ac:dyDescent="0.25">
      <c r="A967">
        <v>39600</v>
      </c>
      <c r="B967">
        <v>1996</v>
      </c>
      <c r="C967" s="258">
        <f t="shared" si="157"/>
        <v>27.5</v>
      </c>
      <c r="D967" s="212">
        <v>76843.92</v>
      </c>
      <c r="E967">
        <v>18</v>
      </c>
      <c r="F967">
        <v>5.312189</v>
      </c>
      <c r="G967" s="90">
        <f>'Proposed Rates'!$O$65/100</f>
        <v>0.1</v>
      </c>
      <c r="H967" s="212">
        <f t="shared" si="142"/>
        <v>48749.056672956001</v>
      </c>
      <c r="I967" s="212">
        <f t="shared" si="154"/>
        <v>408209.42654088</v>
      </c>
    </row>
    <row r="968" spans="1:10" outlineLevel="2" x14ac:dyDescent="0.25">
      <c r="A968">
        <v>39600</v>
      </c>
      <c r="B968">
        <v>1995</v>
      </c>
      <c r="C968" s="258">
        <f t="shared" si="157"/>
        <v>28.5</v>
      </c>
      <c r="D968" s="212">
        <v>43250.67</v>
      </c>
      <c r="E968">
        <v>18</v>
      </c>
      <c r="F968">
        <v>5.0798370000000004</v>
      </c>
      <c r="G968" s="90">
        <f>'Proposed Rates'!$O$65/100</f>
        <v>0.1</v>
      </c>
      <c r="H968" s="212">
        <f t="shared" si="142"/>
        <v>27940.285312960496</v>
      </c>
      <c r="I968" s="212">
        <f t="shared" si="154"/>
        <v>219706.35374079001</v>
      </c>
    </row>
    <row r="969" spans="1:10" outlineLevel="2" x14ac:dyDescent="0.25">
      <c r="A969">
        <v>39600</v>
      </c>
      <c r="B969">
        <v>1994</v>
      </c>
      <c r="C969" s="258">
        <f t="shared" si="157"/>
        <v>29.5</v>
      </c>
      <c r="D969" s="212">
        <v>62179.31</v>
      </c>
      <c r="E969">
        <v>18</v>
      </c>
      <c r="F969">
        <v>4.8540330000000003</v>
      </c>
      <c r="G969" s="90">
        <f>'Proposed Rates'!$O$65/100</f>
        <v>0.1</v>
      </c>
      <c r="H969" s="212">
        <f t="shared" si="142"/>
        <v>40870.357867138497</v>
      </c>
      <c r="I969" s="212">
        <f t="shared" si="154"/>
        <v>301820.42265723</v>
      </c>
    </row>
    <row r="970" spans="1:10" outlineLevel="2" x14ac:dyDescent="0.25">
      <c r="A970">
        <v>39600</v>
      </c>
      <c r="B970">
        <v>1993</v>
      </c>
      <c r="C970" s="258">
        <f t="shared" si="157"/>
        <v>30.5</v>
      </c>
      <c r="D970" s="212">
        <v>3931.53</v>
      </c>
      <c r="E970">
        <v>18</v>
      </c>
      <c r="F970">
        <v>4.6342319999999999</v>
      </c>
      <c r="G970" s="90">
        <f>'Proposed Rates'!$O$65/100</f>
        <v>0.1</v>
      </c>
      <c r="H970" s="212">
        <f t="shared" si="142"/>
        <v>2627.3958932520004</v>
      </c>
      <c r="I970" s="212">
        <f t="shared" si="154"/>
        <v>18219.622134960002</v>
      </c>
    </row>
    <row r="971" spans="1:10" outlineLevel="2" x14ac:dyDescent="0.25">
      <c r="A971">
        <v>39600</v>
      </c>
      <c r="B971">
        <v>1992</v>
      </c>
      <c r="C971" s="258">
        <f t="shared" si="157"/>
        <v>31.5</v>
      </c>
      <c r="D971" s="212">
        <v>42733.64</v>
      </c>
      <c r="E971">
        <v>18</v>
      </c>
      <c r="F971">
        <v>4.4213519999999997</v>
      </c>
      <c r="G971" s="90">
        <f>'Proposed Rates'!$O$65/100</f>
        <v>0.1</v>
      </c>
      <c r="H971" s="212">
        <f t="shared" si="142"/>
        <v>29013.252765936002</v>
      </c>
      <c r="I971" s="212">
        <f t="shared" si="154"/>
        <v>188940.46468127999</v>
      </c>
    </row>
    <row r="972" spans="1:10" outlineLevel="2" x14ac:dyDescent="0.25">
      <c r="A972">
        <v>39600</v>
      </c>
      <c r="B972">
        <v>1990</v>
      </c>
      <c r="C972" s="258">
        <f t="shared" si="157"/>
        <v>33.5</v>
      </c>
      <c r="D972" s="212">
        <v>20504.84</v>
      </c>
      <c r="E972">
        <v>18</v>
      </c>
      <c r="F972">
        <v>4.0130850000000002</v>
      </c>
      <c r="G972" s="90">
        <f>'Proposed Rates'!$O$65/100</f>
        <v>0.1</v>
      </c>
      <c r="H972" s="212">
        <f t="shared" si="142"/>
        <v>14339.972708430001</v>
      </c>
      <c r="I972" s="212">
        <f t="shared" si="154"/>
        <v>82287.665831400009</v>
      </c>
    </row>
    <row r="973" spans="1:10" outlineLevel="2" x14ac:dyDescent="0.25">
      <c r="A973">
        <v>39600</v>
      </c>
      <c r="B973">
        <v>1987</v>
      </c>
      <c r="C973" s="258">
        <f t="shared" si="157"/>
        <v>36.5</v>
      </c>
      <c r="D973" s="212">
        <v>7895.18</v>
      </c>
      <c r="E973">
        <v>18</v>
      </c>
      <c r="F973">
        <v>3.4448120000000002</v>
      </c>
      <c r="G973" s="90">
        <f>'Proposed Rates'!$O$65/100</f>
        <v>0.1</v>
      </c>
      <c r="H973" s="212">
        <f t="shared" ref="H973" si="158">+D973*(1-F973/E973)*(1-G973)</f>
        <v>5745.7914596920009</v>
      </c>
      <c r="I973" s="212">
        <f t="shared" ref="I973" si="159">+D973*F973</f>
        <v>27197.410806160002</v>
      </c>
    </row>
    <row r="974" spans="1:10" outlineLevel="2" x14ac:dyDescent="0.25">
      <c r="A974">
        <v>39600</v>
      </c>
      <c r="B974">
        <v>1986</v>
      </c>
      <c r="C974" s="258">
        <f t="shared" si="157"/>
        <v>37.5</v>
      </c>
      <c r="D974" s="212">
        <v>10424.950000000001</v>
      </c>
      <c r="E974">
        <v>18</v>
      </c>
      <c r="F974">
        <v>3.266715</v>
      </c>
      <c r="G974" s="90">
        <f>'Proposed Rates'!$O$65/100</f>
        <v>0.1</v>
      </c>
      <c r="H974" s="212">
        <f t="shared" si="142"/>
        <v>7679.6879730375013</v>
      </c>
      <c r="I974" s="212">
        <f t="shared" si="154"/>
        <v>34055.340539250006</v>
      </c>
    </row>
    <row r="975" spans="1:10" ht="13" outlineLevel="1" x14ac:dyDescent="0.3">
      <c r="A975" s="18" t="s">
        <v>1204</v>
      </c>
      <c r="C975" s="258" t="s">
        <v>1229</v>
      </c>
      <c r="D975" s="212">
        <f>SUBTOTAL(9,D941:D974)</f>
        <v>3562012.9878999991</v>
      </c>
      <c r="H975" s="212">
        <f>SUBTOTAL(9,H941:H974)</f>
        <v>1296058.5205168733</v>
      </c>
      <c r="I975" s="212">
        <f>SUBTOTAL(9,I941:I974)</f>
        <v>38002533.931862541</v>
      </c>
      <c r="J975" s="212">
        <f>+I975/D975</f>
        <v>10.668836430679919</v>
      </c>
    </row>
    <row r="976" spans="1:10" outlineLevel="2" x14ac:dyDescent="0.25">
      <c r="A976">
        <v>39700</v>
      </c>
      <c r="B976">
        <v>2023</v>
      </c>
      <c r="C976" s="258">
        <f t="shared" ref="C976:C1004" si="160">2023.5-B976</f>
        <v>0.5</v>
      </c>
      <c r="D976" s="212">
        <v>59905.99</v>
      </c>
      <c r="E976">
        <v>13</v>
      </c>
      <c r="F976">
        <f>+E976-C976</f>
        <v>12.5</v>
      </c>
      <c r="G976" s="90">
        <f>'Proposed Rates'!$O$66/100</f>
        <v>0</v>
      </c>
      <c r="H976" s="212">
        <f t="shared" ref="H976:H1001" si="161">+D976*(1-F976/E976)*(1-G976)</f>
        <v>2304.076538461537</v>
      </c>
      <c r="I976" s="212">
        <f t="shared" si="154"/>
        <v>748824.875</v>
      </c>
    </row>
    <row r="977" spans="1:10" outlineLevel="2" x14ac:dyDescent="0.25">
      <c r="A977">
        <v>39700</v>
      </c>
      <c r="B977">
        <v>2017</v>
      </c>
      <c r="C977" s="258">
        <f t="shared" si="160"/>
        <v>6.5</v>
      </c>
      <c r="D977" s="212">
        <v>386579.78</v>
      </c>
      <c r="E977">
        <v>13</v>
      </c>
      <c r="F977">
        <f t="shared" ref="F977:F982" si="162">+E977-C977</f>
        <v>6.5</v>
      </c>
      <c r="G977" s="90">
        <f>'Proposed Rates'!$O$66/100</f>
        <v>0</v>
      </c>
      <c r="H977" s="212">
        <f t="shared" si="161"/>
        <v>193289.89</v>
      </c>
      <c r="I977" s="212">
        <f t="shared" si="154"/>
        <v>2512768.5700000003</v>
      </c>
    </row>
    <row r="978" spans="1:10" outlineLevel="2" x14ac:dyDescent="0.25">
      <c r="A978">
        <v>39700</v>
      </c>
      <c r="B978">
        <v>2016</v>
      </c>
      <c r="C978" s="258">
        <f t="shared" si="160"/>
        <v>7.5</v>
      </c>
      <c r="D978" s="212">
        <v>163127.93</v>
      </c>
      <c r="E978">
        <v>13</v>
      </c>
      <c r="F978">
        <f t="shared" si="162"/>
        <v>5.5</v>
      </c>
      <c r="G978" s="90">
        <f>'Proposed Rates'!$O$66/100</f>
        <v>0</v>
      </c>
      <c r="H978" s="212">
        <f t="shared" si="161"/>
        <v>94112.267307692295</v>
      </c>
      <c r="I978" s="212">
        <f t="shared" si="154"/>
        <v>897203.61499999999</v>
      </c>
    </row>
    <row r="979" spans="1:10" outlineLevel="2" x14ac:dyDescent="0.25">
      <c r="A979">
        <v>39700</v>
      </c>
      <c r="B979">
        <v>2014</v>
      </c>
      <c r="C979" s="258">
        <f t="shared" si="160"/>
        <v>9.5</v>
      </c>
      <c r="D979" s="212">
        <v>63729.73</v>
      </c>
      <c r="E979">
        <v>13</v>
      </c>
      <c r="F979">
        <f t="shared" si="162"/>
        <v>3.5</v>
      </c>
      <c r="G979" s="90">
        <f>'Proposed Rates'!$O$66/100</f>
        <v>0</v>
      </c>
      <c r="H979" s="212">
        <f t="shared" si="161"/>
        <v>46571.725769230776</v>
      </c>
      <c r="I979" s="212">
        <f t="shared" si="154"/>
        <v>223054.05500000002</v>
      </c>
    </row>
    <row r="980" spans="1:10" outlineLevel="2" x14ac:dyDescent="0.25">
      <c r="A980">
        <v>39700</v>
      </c>
      <c r="B980">
        <v>2013</v>
      </c>
      <c r="C980" s="258">
        <f t="shared" si="160"/>
        <v>10.5</v>
      </c>
      <c r="D980" s="212">
        <v>799377.33</v>
      </c>
      <c r="E980">
        <v>13</v>
      </c>
      <c r="F980">
        <f t="shared" si="162"/>
        <v>2.5</v>
      </c>
      <c r="G980" s="90">
        <f>'Proposed Rates'!$O$66/100</f>
        <v>0</v>
      </c>
      <c r="H980" s="212">
        <f t="shared" si="161"/>
        <v>645650.92038461531</v>
      </c>
      <c r="I980" s="212">
        <f t="shared" si="154"/>
        <v>1998443.325</v>
      </c>
    </row>
    <row r="981" spans="1:10" outlineLevel="2" x14ac:dyDescent="0.25">
      <c r="A981">
        <v>39700</v>
      </c>
      <c r="B981">
        <v>2012</v>
      </c>
      <c r="C981" s="258">
        <f t="shared" si="160"/>
        <v>11.5</v>
      </c>
      <c r="D981" s="212">
        <v>178355.18</v>
      </c>
      <c r="E981">
        <v>13</v>
      </c>
      <c r="F981">
        <f t="shared" si="162"/>
        <v>1.5</v>
      </c>
      <c r="G981" s="90">
        <f>'Proposed Rates'!$O$66/100</f>
        <v>0</v>
      </c>
      <c r="H981" s="212">
        <f t="shared" si="161"/>
        <v>157775.73615384614</v>
      </c>
      <c r="I981" s="212">
        <f t="shared" si="154"/>
        <v>267532.77</v>
      </c>
    </row>
    <row r="982" spans="1:10" outlineLevel="2" x14ac:dyDescent="0.25">
      <c r="A982">
        <v>39700</v>
      </c>
      <c r="B982">
        <v>2011</v>
      </c>
      <c r="C982" s="258">
        <f t="shared" si="160"/>
        <v>12.5</v>
      </c>
      <c r="D982" s="212">
        <v>559751.32999999996</v>
      </c>
      <c r="E982">
        <v>13</v>
      </c>
      <c r="F982">
        <f t="shared" si="162"/>
        <v>0.5</v>
      </c>
      <c r="G982" s="90">
        <f>'Proposed Rates'!$O$66/100</f>
        <v>0</v>
      </c>
      <c r="H982" s="212">
        <f t="shared" si="161"/>
        <v>538222.43269230763</v>
      </c>
      <c r="I982" s="212">
        <f t="shared" si="154"/>
        <v>279875.66499999998</v>
      </c>
    </row>
    <row r="983" spans="1:10" outlineLevel="2" x14ac:dyDescent="0.25">
      <c r="A983">
        <v>39700</v>
      </c>
      <c r="B983">
        <v>2010</v>
      </c>
      <c r="C983" s="258">
        <f t="shared" si="160"/>
        <v>13.5</v>
      </c>
      <c r="D983" s="212">
        <v>274684.7</v>
      </c>
      <c r="E983">
        <v>13</v>
      </c>
      <c r="F983">
        <v>0</v>
      </c>
      <c r="G983" s="90">
        <f>'Proposed Rates'!$O$66/100</f>
        <v>0</v>
      </c>
      <c r="H983" s="212">
        <f t="shared" si="161"/>
        <v>274684.7</v>
      </c>
      <c r="I983" s="212">
        <f t="shared" si="154"/>
        <v>0</v>
      </c>
    </row>
    <row r="984" spans="1:10" outlineLevel="2" x14ac:dyDescent="0.25">
      <c r="A984">
        <v>39700</v>
      </c>
      <c r="B984">
        <v>2009</v>
      </c>
      <c r="C984" s="258">
        <f t="shared" si="160"/>
        <v>14.5</v>
      </c>
      <c r="D984" s="212">
        <v>513040.36</v>
      </c>
      <c r="E984">
        <v>13</v>
      </c>
      <c r="F984">
        <v>0</v>
      </c>
      <c r="G984" s="90">
        <f>'Proposed Rates'!$O$66/100</f>
        <v>0</v>
      </c>
      <c r="H984" s="212">
        <f t="shared" si="161"/>
        <v>513040.36</v>
      </c>
      <c r="I984" s="212">
        <f t="shared" si="154"/>
        <v>0</v>
      </c>
    </row>
    <row r="985" spans="1:10" outlineLevel="2" x14ac:dyDescent="0.25">
      <c r="A985">
        <v>39700</v>
      </c>
      <c r="B985">
        <v>2008</v>
      </c>
      <c r="C985" s="258">
        <f t="shared" si="160"/>
        <v>15.5</v>
      </c>
      <c r="D985" s="212">
        <v>16712.040799999999</v>
      </c>
      <c r="E985">
        <v>13</v>
      </c>
      <c r="F985">
        <v>0</v>
      </c>
      <c r="G985" s="90">
        <f>'Proposed Rates'!$O$66/100</f>
        <v>0</v>
      </c>
      <c r="H985" s="212">
        <f t="shared" si="161"/>
        <v>16712.040799999999</v>
      </c>
      <c r="I985" s="212">
        <f t="shared" si="154"/>
        <v>0</v>
      </c>
    </row>
    <row r="986" spans="1:10" ht="13" outlineLevel="1" x14ac:dyDescent="0.3">
      <c r="A986" s="18" t="s">
        <v>1205</v>
      </c>
      <c r="C986" s="258" t="s">
        <v>1229</v>
      </c>
      <c r="D986" s="212">
        <f>SUBTOTAL(9,D976:D985)</f>
        <v>3015264.3707999997</v>
      </c>
      <c r="H986" s="212">
        <f>SUBTOTAL(9,H976:H985)</f>
        <v>2482364.1496461537</v>
      </c>
      <c r="I986" s="212">
        <f>SUBTOTAL(9,I976:I985)</f>
        <v>6927702.8750000009</v>
      </c>
      <c r="J986" s="212">
        <f>+I986/D986</f>
        <v>2.2975441032926631</v>
      </c>
    </row>
    <row r="987" spans="1:10" outlineLevel="2" x14ac:dyDescent="0.25">
      <c r="A987">
        <v>39800</v>
      </c>
      <c r="B987">
        <v>2023</v>
      </c>
      <c r="C987" s="258">
        <f t="shared" si="160"/>
        <v>0.5</v>
      </c>
      <c r="D987" s="212">
        <v>583815.16410000005</v>
      </c>
      <c r="E987">
        <v>20</v>
      </c>
      <c r="F987">
        <f t="shared" ref="F987:F1001" si="163">+E987-C987</f>
        <v>19.5</v>
      </c>
      <c r="G987" s="90">
        <f>'Proposed Rates'!$O$67/100</f>
        <v>0</v>
      </c>
      <c r="H987" s="212">
        <f t="shared" ref="H987:H992" si="164">+D987*(1-F987/E987)*(1-G987)</f>
        <v>14595.379102500014</v>
      </c>
      <c r="I987" s="212">
        <f t="shared" ref="I987:I992" si="165">+D987*F987</f>
        <v>11384395.69995</v>
      </c>
    </row>
    <row r="988" spans="1:10" outlineLevel="2" x14ac:dyDescent="0.25">
      <c r="A988">
        <v>39800</v>
      </c>
      <c r="B988">
        <v>2022</v>
      </c>
      <c r="C988" s="258">
        <f t="shared" si="160"/>
        <v>1.5</v>
      </c>
      <c r="D988" s="212">
        <v>8108.69</v>
      </c>
      <c r="E988">
        <v>20</v>
      </c>
      <c r="F988">
        <f t="shared" si="163"/>
        <v>18.5</v>
      </c>
      <c r="G988" s="90">
        <f>'Proposed Rates'!$O$67/100</f>
        <v>0</v>
      </c>
      <c r="H988" s="212">
        <f t="shared" si="164"/>
        <v>608.15174999999965</v>
      </c>
      <c r="I988" s="212">
        <f t="shared" si="165"/>
        <v>150010.76499999998</v>
      </c>
    </row>
    <row r="989" spans="1:10" outlineLevel="2" x14ac:dyDescent="0.25">
      <c r="A989">
        <v>39800</v>
      </c>
      <c r="B989">
        <v>2020</v>
      </c>
      <c r="C989" s="258">
        <f t="shared" si="160"/>
        <v>3.5</v>
      </c>
      <c r="D989" s="212">
        <v>9100.7900000000009</v>
      </c>
      <c r="E989">
        <v>20</v>
      </c>
      <c r="F989">
        <f t="shared" si="163"/>
        <v>16.5</v>
      </c>
      <c r="G989" s="90">
        <f>'Proposed Rates'!$O$67/100</f>
        <v>0</v>
      </c>
      <c r="H989" s="212">
        <f t="shared" si="164"/>
        <v>1592.6382500000007</v>
      </c>
      <c r="I989" s="212">
        <f t="shared" si="165"/>
        <v>150163.035</v>
      </c>
    </row>
    <row r="990" spans="1:10" outlineLevel="2" x14ac:dyDescent="0.25">
      <c r="A990">
        <v>39800</v>
      </c>
      <c r="B990">
        <v>2019</v>
      </c>
      <c r="C990" s="258">
        <f t="shared" si="160"/>
        <v>4.5</v>
      </c>
      <c r="D990" s="212">
        <v>4275.45</v>
      </c>
      <c r="E990">
        <v>20</v>
      </c>
      <c r="F990">
        <f t="shared" si="163"/>
        <v>15.5</v>
      </c>
      <c r="G990" s="90">
        <f>'Proposed Rates'!$O$67/100</f>
        <v>0</v>
      </c>
      <c r="H990" s="212">
        <f t="shared" si="164"/>
        <v>961.97624999999982</v>
      </c>
      <c r="I990" s="212">
        <f t="shared" si="165"/>
        <v>66269.474999999991</v>
      </c>
    </row>
    <row r="991" spans="1:10" outlineLevel="2" x14ac:dyDescent="0.25">
      <c r="A991">
        <v>39800</v>
      </c>
      <c r="B991">
        <v>2016</v>
      </c>
      <c r="C991" s="258">
        <f t="shared" si="160"/>
        <v>7.5</v>
      </c>
      <c r="D991" s="212">
        <v>8249.33</v>
      </c>
      <c r="E991">
        <v>20</v>
      </c>
      <c r="F991">
        <f t="shared" si="163"/>
        <v>12.5</v>
      </c>
      <c r="G991" s="90">
        <f>'Proposed Rates'!$O$67/100</f>
        <v>0</v>
      </c>
      <c r="H991" s="212">
        <f t="shared" si="164"/>
        <v>3093.4987499999997</v>
      </c>
      <c r="I991" s="212">
        <f t="shared" si="165"/>
        <v>103116.625</v>
      </c>
    </row>
    <row r="992" spans="1:10" outlineLevel="2" x14ac:dyDescent="0.25">
      <c r="A992">
        <v>39800</v>
      </c>
      <c r="B992">
        <v>2015</v>
      </c>
      <c r="C992" s="258">
        <f t="shared" si="160"/>
        <v>8.5</v>
      </c>
      <c r="D992" s="212">
        <v>10833.74</v>
      </c>
      <c r="E992">
        <v>20</v>
      </c>
      <c r="F992">
        <f t="shared" si="163"/>
        <v>11.5</v>
      </c>
      <c r="G992" s="90">
        <f>'Proposed Rates'!$O$67/100</f>
        <v>0</v>
      </c>
      <c r="H992" s="212">
        <f t="shared" si="164"/>
        <v>4604.3395</v>
      </c>
      <c r="I992" s="212">
        <f t="shared" si="165"/>
        <v>124588.01</v>
      </c>
    </row>
    <row r="993" spans="1:10" outlineLevel="2" x14ac:dyDescent="0.25">
      <c r="A993">
        <v>39800</v>
      </c>
      <c r="B993">
        <v>2014</v>
      </c>
      <c r="C993" s="258">
        <f t="shared" si="160"/>
        <v>9.5</v>
      </c>
      <c r="D993" s="212">
        <v>655.68</v>
      </c>
      <c r="E993">
        <v>20</v>
      </c>
      <c r="F993">
        <f t="shared" si="163"/>
        <v>10.5</v>
      </c>
      <c r="G993" s="90">
        <f>'Proposed Rates'!$O$67/100</f>
        <v>0</v>
      </c>
      <c r="H993" s="212">
        <f t="shared" si="161"/>
        <v>311.44799999999998</v>
      </c>
      <c r="I993" s="212">
        <f t="shared" si="154"/>
        <v>6884.6399999999994</v>
      </c>
    </row>
    <row r="994" spans="1:10" outlineLevel="2" x14ac:dyDescent="0.25">
      <c r="A994">
        <v>39800</v>
      </c>
      <c r="B994">
        <v>2013</v>
      </c>
      <c r="C994" s="258">
        <f t="shared" si="160"/>
        <v>10.5</v>
      </c>
      <c r="D994" s="212">
        <v>1158.3499999999999</v>
      </c>
      <c r="E994">
        <v>20</v>
      </c>
      <c r="F994">
        <f t="shared" si="163"/>
        <v>9.5</v>
      </c>
      <c r="G994" s="90">
        <f>'Proposed Rates'!$O$67/100</f>
        <v>0</v>
      </c>
      <c r="H994" s="212">
        <f t="shared" si="161"/>
        <v>608.13374999999996</v>
      </c>
      <c r="I994" s="212">
        <f t="shared" si="154"/>
        <v>11004.324999999999</v>
      </c>
    </row>
    <row r="995" spans="1:10" outlineLevel="2" x14ac:dyDescent="0.25">
      <c r="A995">
        <v>39800</v>
      </c>
      <c r="B995">
        <v>2012</v>
      </c>
      <c r="C995" s="258">
        <f t="shared" si="160"/>
        <v>11.5</v>
      </c>
      <c r="D995" s="212">
        <v>20642.52</v>
      </c>
      <c r="E995">
        <v>20</v>
      </c>
      <c r="F995">
        <f t="shared" si="163"/>
        <v>8.5</v>
      </c>
      <c r="G995" s="90">
        <f>'Proposed Rates'!$O$67/100</f>
        <v>0</v>
      </c>
      <c r="H995" s="212">
        <f t="shared" si="161"/>
        <v>11869.448999999999</v>
      </c>
      <c r="I995" s="212">
        <f t="shared" si="154"/>
        <v>175461.42</v>
      </c>
    </row>
    <row r="996" spans="1:10" outlineLevel="2" x14ac:dyDescent="0.25">
      <c r="A996">
        <v>39800</v>
      </c>
      <c r="B996">
        <v>2011</v>
      </c>
      <c r="C996" s="258">
        <f t="shared" si="160"/>
        <v>12.5</v>
      </c>
      <c r="D996" s="212">
        <v>5655.92</v>
      </c>
      <c r="E996">
        <v>20</v>
      </c>
      <c r="F996">
        <f t="shared" si="163"/>
        <v>7.5</v>
      </c>
      <c r="G996" s="90">
        <f>'Proposed Rates'!$O$67/100</f>
        <v>0</v>
      </c>
      <c r="H996" s="212">
        <f t="shared" si="161"/>
        <v>3534.95</v>
      </c>
      <c r="I996" s="212">
        <f t="shared" si="154"/>
        <v>42419.4</v>
      </c>
    </row>
    <row r="997" spans="1:10" outlineLevel="2" x14ac:dyDescent="0.25">
      <c r="A997">
        <v>39800</v>
      </c>
      <c r="B997">
        <v>2010</v>
      </c>
      <c r="C997" s="258">
        <f t="shared" si="160"/>
        <v>13.5</v>
      </c>
      <c r="D997" s="212">
        <v>2887.48</v>
      </c>
      <c r="E997">
        <v>20</v>
      </c>
      <c r="F997">
        <f t="shared" si="163"/>
        <v>6.5</v>
      </c>
      <c r="G997" s="90">
        <f>'Proposed Rates'!$O$67/100</f>
        <v>0</v>
      </c>
      <c r="H997" s="212">
        <f t="shared" si="161"/>
        <v>1949.0490000000002</v>
      </c>
      <c r="I997" s="212">
        <f t="shared" si="154"/>
        <v>18768.62</v>
      </c>
    </row>
    <row r="998" spans="1:10" outlineLevel="2" x14ac:dyDescent="0.25">
      <c r="A998">
        <v>39800</v>
      </c>
      <c r="B998">
        <v>2008</v>
      </c>
      <c r="C998" s="258">
        <f t="shared" si="160"/>
        <v>15.5</v>
      </c>
      <c r="D998" s="212">
        <v>3361.02</v>
      </c>
      <c r="E998">
        <v>20</v>
      </c>
      <c r="F998">
        <f t="shared" si="163"/>
        <v>4.5</v>
      </c>
      <c r="G998" s="90">
        <f>'Proposed Rates'!$O$67/100</f>
        <v>0</v>
      </c>
      <c r="H998" s="212">
        <f t="shared" si="161"/>
        <v>2604.7905000000001</v>
      </c>
      <c r="I998" s="212">
        <f t="shared" si="154"/>
        <v>15124.59</v>
      </c>
    </row>
    <row r="999" spans="1:10" outlineLevel="2" x14ac:dyDescent="0.25">
      <c r="A999">
        <v>39800</v>
      </c>
      <c r="B999">
        <v>2007</v>
      </c>
      <c r="C999" s="258">
        <f t="shared" si="160"/>
        <v>16.5</v>
      </c>
      <c r="D999" s="212">
        <v>38674.550000000003</v>
      </c>
      <c r="E999">
        <v>20</v>
      </c>
      <c r="F999">
        <f t="shared" si="163"/>
        <v>3.5</v>
      </c>
      <c r="G999" s="90">
        <f>'Proposed Rates'!$O$67/100</f>
        <v>0</v>
      </c>
      <c r="H999" s="212">
        <f t="shared" si="161"/>
        <v>31906.50375</v>
      </c>
      <c r="I999" s="212">
        <f t="shared" si="154"/>
        <v>135360.92500000002</v>
      </c>
    </row>
    <row r="1000" spans="1:10" outlineLevel="2" x14ac:dyDescent="0.25">
      <c r="A1000">
        <v>39800</v>
      </c>
      <c r="B1000">
        <v>2006</v>
      </c>
      <c r="C1000" s="258">
        <f t="shared" si="160"/>
        <v>17.5</v>
      </c>
      <c r="D1000" s="212">
        <v>3032.14</v>
      </c>
      <c r="E1000">
        <v>20</v>
      </c>
      <c r="F1000">
        <f t="shared" si="163"/>
        <v>2.5</v>
      </c>
      <c r="G1000" s="90">
        <f>'Proposed Rates'!$O$67/100</f>
        <v>0</v>
      </c>
      <c r="H1000" s="212">
        <f t="shared" si="161"/>
        <v>2653.1224999999999</v>
      </c>
      <c r="I1000" s="212">
        <f t="shared" si="154"/>
        <v>7580.3499999999995</v>
      </c>
    </row>
    <row r="1001" spans="1:10" outlineLevel="2" x14ac:dyDescent="0.25">
      <c r="A1001">
        <v>39800</v>
      </c>
      <c r="B1001">
        <v>2004</v>
      </c>
      <c r="C1001" s="258">
        <f t="shared" si="160"/>
        <v>19.5</v>
      </c>
      <c r="D1001" s="212">
        <v>48826.15</v>
      </c>
      <c r="E1001">
        <v>20</v>
      </c>
      <c r="F1001">
        <f t="shared" si="163"/>
        <v>0.5</v>
      </c>
      <c r="G1001" s="90">
        <f>'Proposed Rates'!$O$67/100</f>
        <v>0</v>
      </c>
      <c r="H1001" s="212">
        <f t="shared" si="161"/>
        <v>47605.496250000004</v>
      </c>
      <c r="I1001" s="212">
        <f t="shared" si="154"/>
        <v>24413.075000000001</v>
      </c>
    </row>
    <row r="1002" spans="1:10" ht="13" outlineLevel="1" x14ac:dyDescent="0.3">
      <c r="A1002" s="18" t="s">
        <v>1206</v>
      </c>
      <c r="C1002" s="258" t="s">
        <v>1229</v>
      </c>
      <c r="D1002" s="212">
        <f>SUBTOTAL(9,D987:D1001)</f>
        <v>749276.97410000011</v>
      </c>
      <c r="H1002" s="212">
        <f>SUBTOTAL(9,H987:H1001)</f>
        <v>128498.92635250001</v>
      </c>
      <c r="I1002" s="212">
        <f>SUBTOTAL(9,I987:I1001)</f>
        <v>12415560.954949999</v>
      </c>
      <c r="J1002" s="212">
        <f>+I1002/D1002</f>
        <v>16.570055378871142</v>
      </c>
    </row>
    <row r="1003" spans="1:10" ht="13" x14ac:dyDescent="0.3">
      <c r="A1003" s="18" t="s">
        <v>174</v>
      </c>
      <c r="C1003" s="258" t="s">
        <v>1229</v>
      </c>
      <c r="D1003" s="212">
        <f>SUBTOTAL(9,D2:D1001)</f>
        <v>3133249536.0308008</v>
      </c>
      <c r="H1003" s="212">
        <f>SUBTOTAL(9,H2:H1001)</f>
        <v>727216883.29563642</v>
      </c>
      <c r="I1003" s="212">
        <f>SUBTOTAL(9,I2:I1001)</f>
        <v>158279129468.32019</v>
      </c>
      <c r="J1003" s="212">
        <f>+I1003/H1003</f>
        <v>217.6505154157357</v>
      </c>
    </row>
    <row r="1004" spans="1:10" x14ac:dyDescent="0.25">
      <c r="A1004">
        <v>33600</v>
      </c>
      <c r="B1004">
        <v>2023</v>
      </c>
      <c r="C1004" s="258">
        <f t="shared" si="160"/>
        <v>0.5</v>
      </c>
      <c r="D1004" s="257">
        <v>16109646.340000002</v>
      </c>
      <c r="E1004">
        <v>30</v>
      </c>
      <c r="F1004">
        <v>29.547744000000002</v>
      </c>
      <c r="G1004" s="90">
        <f>Parameter!I$55/100</f>
        <v>-0.05</v>
      </c>
      <c r="H1004" s="212">
        <f t="shared" ref="H1004" si="166">+D1004*(1-F1004/E1004)*(1-G1004)</f>
        <v>254998.94753000568</v>
      </c>
      <c r="I1004" s="212">
        <f t="shared" ref="I1004" si="167">+D1004*F1004</f>
        <v>476003705.98485702</v>
      </c>
    </row>
    <row r="1005" spans="1:10" x14ac:dyDescent="0.25">
      <c r="A1005" t="s">
        <v>1261</v>
      </c>
      <c r="C1005" s="258" t="s">
        <v>1229</v>
      </c>
      <c r="D1005" s="257">
        <f>SUM(D1004:D1004)</f>
        <v>16109646.340000002</v>
      </c>
      <c r="H1005" s="257">
        <f>SUM(H1004:H1004)</f>
        <v>254998.94753000568</v>
      </c>
      <c r="I1005" s="257">
        <f>SUM(I1004:I1004)</f>
        <v>476003705.98485702</v>
      </c>
      <c r="J1005" s="212">
        <f>+I1005/D1005</f>
        <v>29.547744000000002</v>
      </c>
    </row>
    <row r="1006" spans="1:10" x14ac:dyDescent="0.25">
      <c r="A1006">
        <v>36400</v>
      </c>
      <c r="B1006">
        <v>2023</v>
      </c>
      <c r="C1006" s="258">
        <f t="shared" ref="C1006:C1014" si="168">2023.5-B1006</f>
        <v>0.5</v>
      </c>
      <c r="D1006" s="257">
        <v>1485380.05</v>
      </c>
      <c r="E1006">
        <v>30</v>
      </c>
      <c r="F1006">
        <v>29.547744000000002</v>
      </c>
      <c r="G1006" s="90">
        <f>Parameter!I$57/100</f>
        <v>-0.05</v>
      </c>
      <c r="H1006" s="212">
        <f t="shared" ref="H1006" si="169">+D1006*(1-F1006/E1006)*(1-G1006)</f>
        <v>23512.021396247932</v>
      </c>
      <c r="I1006" s="212">
        <f t="shared" ref="I1006" si="170">+D1006*F1006</f>
        <v>43889629.460107207</v>
      </c>
    </row>
    <row r="1007" spans="1:10" x14ac:dyDescent="0.25">
      <c r="C1007" s="258"/>
      <c r="D1007" s="257"/>
    </row>
    <row r="1008" spans="1:10" x14ac:dyDescent="0.25">
      <c r="A1008" s="77" t="s">
        <v>1344</v>
      </c>
      <c r="C1008" s="258" t="s">
        <v>1229</v>
      </c>
      <c r="D1008" s="257">
        <f>SUM(D1006:D1007)</f>
        <v>1485380.05</v>
      </c>
      <c r="H1008" s="257">
        <f>SUM(H1006:H1007)</f>
        <v>23512.021396247932</v>
      </c>
      <c r="I1008" s="257">
        <f>SUM(I1006:I1007)</f>
        <v>43889629.460107207</v>
      </c>
      <c r="J1008" s="212">
        <f>+I1008/D1008</f>
        <v>29.547744000000005</v>
      </c>
    </row>
    <row r="1009" spans="1:10" x14ac:dyDescent="0.25">
      <c r="C1009" s="258"/>
    </row>
    <row r="1010" spans="1:10" x14ac:dyDescent="0.25">
      <c r="C1010" s="258"/>
    </row>
    <row r="1011" spans="1:10" x14ac:dyDescent="0.25">
      <c r="C1011" s="258"/>
    </row>
    <row r="1012" spans="1:10" x14ac:dyDescent="0.25">
      <c r="C1012" s="258"/>
    </row>
    <row r="1013" spans="1:10" x14ac:dyDescent="0.25">
      <c r="C1013" s="258"/>
    </row>
    <row r="1014" spans="1:10" x14ac:dyDescent="0.25">
      <c r="A1014">
        <v>33601</v>
      </c>
      <c r="B1014">
        <v>2023</v>
      </c>
      <c r="C1014" s="258">
        <f t="shared" si="168"/>
        <v>0.5</v>
      </c>
      <c r="D1014" s="212">
        <v>35668591.620000005</v>
      </c>
      <c r="E1014">
        <v>15</v>
      </c>
      <c r="F1014">
        <v>14.5</v>
      </c>
      <c r="G1014" s="90">
        <v>0</v>
      </c>
      <c r="H1014" s="212">
        <f t="shared" ref="H1014" si="171">+D1014*(1-F1014/E1014)*(1-G1014)</f>
        <v>1188953.054</v>
      </c>
      <c r="I1014" s="212">
        <f t="shared" ref="I1014" si="172">+D1014*F1014</f>
        <v>517194578.49000007</v>
      </c>
    </row>
    <row r="1015" spans="1:10" x14ac:dyDescent="0.25">
      <c r="A1015" s="77" t="s">
        <v>1343</v>
      </c>
      <c r="D1015" s="257">
        <f>SUM(D1013:D1014)</f>
        <v>35668591.620000005</v>
      </c>
      <c r="E1015" s="264"/>
      <c r="F1015" s="264"/>
      <c r="G1015" s="264"/>
      <c r="H1015" s="257">
        <f t="shared" ref="H1015:I1015" si="173">SUM(H1013:H1014)</f>
        <v>1188953.054</v>
      </c>
      <c r="I1015" s="257">
        <f t="shared" si="173"/>
        <v>517194578.49000007</v>
      </c>
      <c r="J1015" s="212">
        <f>+I1015/D1015</f>
        <v>14.5</v>
      </c>
    </row>
  </sheetData>
  <pageMargins left="0.7" right="0.7" top="0.75" bottom="0.75" header="0.3" footer="0.3"/>
  <customProperties>
    <customPr name="EpmWorksheetKeyString_GUID" r:id="rId1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85"/>
  <sheetViews>
    <sheetView tabSelected="1" topLeftCell="A25" zoomScale="80" zoomScaleNormal="80" workbookViewId="0">
      <selection activeCell="Q15" sqref="Q15:Q71"/>
    </sheetView>
  </sheetViews>
  <sheetFormatPr defaultRowHeight="12.5" x14ac:dyDescent="0.25"/>
  <cols>
    <col min="3" max="3" width="47.453125" customWidth="1"/>
    <col min="4" max="4" width="20.7265625" style="212" customWidth="1"/>
    <col min="5" max="5" width="20.54296875" customWidth="1"/>
    <col min="6" max="6" width="69.453125" hidden="1" customWidth="1"/>
    <col min="7" max="7" width="15.453125" style="90" bestFit="1" customWidth="1"/>
    <col min="8" max="8" width="3.1796875" style="212" customWidth="1"/>
    <col min="9" max="9" width="21" style="212" customWidth="1"/>
    <col min="10" max="10" width="1.453125" customWidth="1"/>
    <col min="11" max="11" width="21.1796875" customWidth="1"/>
    <col min="12" max="12" width="1.54296875" customWidth="1"/>
    <col min="13" max="13" width="12.7265625" style="354" customWidth="1"/>
    <col min="14" max="14" width="3.54296875" customWidth="1"/>
    <col min="15" max="15" width="18.7265625" customWidth="1"/>
    <col min="16" max="16" width="1.453125" customWidth="1"/>
    <col min="17" max="17" width="9.1796875" style="90"/>
  </cols>
  <sheetData>
    <row r="2" spans="1:17" x14ac:dyDescent="0.25">
      <c r="A2" s="371" t="s">
        <v>1211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1"/>
      <c r="Q2" s="371"/>
    </row>
    <row r="4" spans="1:17" x14ac:dyDescent="0.25">
      <c r="A4" s="372" t="s">
        <v>1209</v>
      </c>
      <c r="B4" s="372"/>
      <c r="C4" s="372"/>
      <c r="D4" s="372"/>
      <c r="E4" s="372"/>
      <c r="F4" s="372"/>
      <c r="G4" s="372"/>
      <c r="H4" s="372"/>
      <c r="I4" s="372"/>
      <c r="J4" s="372"/>
      <c r="K4" s="372"/>
      <c r="L4" s="372"/>
      <c r="M4" s="372"/>
      <c r="N4" s="372"/>
      <c r="O4" s="372"/>
      <c r="P4" s="372"/>
      <c r="Q4" s="372"/>
    </row>
    <row r="5" spans="1:17" x14ac:dyDescent="0.25">
      <c r="A5" s="372" t="s">
        <v>1210</v>
      </c>
      <c r="B5" s="372"/>
      <c r="C5" s="372"/>
      <c r="D5" s="372"/>
      <c r="E5" s="372"/>
      <c r="F5" s="372"/>
      <c r="G5" s="372"/>
      <c r="H5" s="372"/>
      <c r="I5" s="372"/>
      <c r="J5" s="372"/>
      <c r="K5" s="372"/>
      <c r="L5" s="372"/>
      <c r="M5" s="372"/>
      <c r="N5" s="372"/>
      <c r="O5" s="372"/>
      <c r="P5" s="372"/>
      <c r="Q5" s="372"/>
    </row>
    <row r="6" spans="1:17" x14ac:dyDescent="0.25">
      <c r="A6" s="371" t="s">
        <v>1365</v>
      </c>
      <c r="B6" s="372"/>
      <c r="C6" s="372"/>
      <c r="D6" s="372"/>
      <c r="E6" s="372"/>
      <c r="F6" s="372"/>
      <c r="G6" s="372"/>
      <c r="H6" s="372"/>
      <c r="I6" s="372"/>
      <c r="J6" s="372"/>
      <c r="K6" s="372"/>
      <c r="L6" s="372"/>
      <c r="M6" s="372"/>
      <c r="N6" s="372"/>
      <c r="O6" s="372"/>
      <c r="P6" s="372"/>
      <c r="Q6" s="372"/>
    </row>
    <row r="7" spans="1:17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352"/>
      <c r="N7" s="1"/>
      <c r="O7" s="1"/>
      <c r="P7" s="1"/>
      <c r="Q7" s="233"/>
    </row>
    <row r="8" spans="1:17" x14ac:dyDescent="0.25">
      <c r="D8" s="232"/>
      <c r="E8" s="1"/>
      <c r="F8" s="1"/>
      <c r="G8" s="233"/>
      <c r="H8" s="232"/>
      <c r="I8" s="232"/>
      <c r="J8" s="1"/>
      <c r="K8" s="1"/>
      <c r="L8" s="1"/>
      <c r="M8" s="352"/>
      <c r="N8" s="1"/>
      <c r="O8" s="1"/>
      <c r="P8" s="1"/>
      <c r="Q8" s="233" t="s">
        <v>64</v>
      </c>
    </row>
    <row r="9" spans="1:17" x14ac:dyDescent="0.25">
      <c r="D9" s="232"/>
      <c r="E9" s="1"/>
      <c r="F9" s="1"/>
      <c r="G9" s="233" t="s">
        <v>12</v>
      </c>
      <c r="H9" s="232"/>
      <c r="I9" s="232" t="s">
        <v>12</v>
      </c>
      <c r="J9" s="1"/>
      <c r="K9" s="1"/>
      <c r="L9" s="1"/>
      <c r="M9" s="352" t="s">
        <v>3</v>
      </c>
      <c r="N9" s="1"/>
      <c r="O9" s="1" t="s">
        <v>81</v>
      </c>
      <c r="P9" s="1"/>
      <c r="Q9" s="233" t="s">
        <v>81</v>
      </c>
    </row>
    <row r="10" spans="1:17" x14ac:dyDescent="0.25">
      <c r="D10" s="252" t="s">
        <v>1246</v>
      </c>
      <c r="E10" s="1" t="s">
        <v>1213</v>
      </c>
      <c r="F10" s="1"/>
      <c r="G10" s="233" t="s">
        <v>19</v>
      </c>
      <c r="H10" s="232"/>
      <c r="I10" s="232" t="s">
        <v>19</v>
      </c>
      <c r="J10" s="1"/>
      <c r="K10" s="1" t="s">
        <v>1214</v>
      </c>
      <c r="L10" s="1"/>
      <c r="M10" s="352" t="s">
        <v>1215</v>
      </c>
      <c r="N10" s="1"/>
      <c r="O10" s="1" t="s">
        <v>1216</v>
      </c>
      <c r="P10" s="1"/>
      <c r="Q10" s="233" t="s">
        <v>1216</v>
      </c>
    </row>
    <row r="11" spans="1:17" x14ac:dyDescent="0.25">
      <c r="D11" s="232" t="s">
        <v>59</v>
      </c>
      <c r="E11" s="1" t="s">
        <v>6</v>
      </c>
      <c r="F11" s="1"/>
      <c r="G11" s="233" t="s">
        <v>1217</v>
      </c>
      <c r="H11" s="232"/>
      <c r="I11" s="232" t="s">
        <v>80</v>
      </c>
      <c r="J11" s="1"/>
      <c r="K11" s="1" t="s">
        <v>59</v>
      </c>
      <c r="L11" s="1"/>
      <c r="M11" s="352" t="s">
        <v>16</v>
      </c>
      <c r="N11" s="1"/>
      <c r="O11" s="1" t="s">
        <v>80</v>
      </c>
      <c r="P11" s="1"/>
      <c r="Q11" s="233" t="s">
        <v>21</v>
      </c>
    </row>
    <row r="12" spans="1:17" x14ac:dyDescent="0.25">
      <c r="A12" s="241" t="s">
        <v>9</v>
      </c>
      <c r="B12" s="242"/>
      <c r="C12" s="241" t="s">
        <v>1212</v>
      </c>
      <c r="D12" s="243" t="s">
        <v>1218</v>
      </c>
      <c r="E12" s="244" t="s">
        <v>1219</v>
      </c>
      <c r="F12" s="244"/>
      <c r="G12" s="245" t="s">
        <v>1220</v>
      </c>
      <c r="H12" s="243"/>
      <c r="I12" s="243" t="s">
        <v>1221</v>
      </c>
      <c r="J12" s="244"/>
      <c r="K12" s="244" t="s">
        <v>1222</v>
      </c>
      <c r="L12" s="244"/>
      <c r="M12" s="353" t="s">
        <v>1223</v>
      </c>
      <c r="N12" s="244"/>
      <c r="O12" s="244" t="s">
        <v>1224</v>
      </c>
      <c r="P12" s="244"/>
      <c r="Q12" s="245" t="s">
        <v>1225</v>
      </c>
    </row>
    <row r="13" spans="1:17" x14ac:dyDescent="0.25">
      <c r="A13" s="77"/>
      <c r="C13" s="77"/>
      <c r="D13" s="232"/>
      <c r="E13" s="1"/>
      <c r="F13" s="1"/>
      <c r="G13" s="233"/>
      <c r="H13" s="232"/>
      <c r="I13" s="232"/>
      <c r="J13" s="1"/>
      <c r="K13" s="1"/>
      <c r="L13" s="1"/>
      <c r="M13" s="352"/>
      <c r="N13" s="1"/>
      <c r="O13" s="1"/>
      <c r="P13" s="1"/>
      <c r="Q13" s="233"/>
    </row>
    <row r="14" spans="1:17" x14ac:dyDescent="0.25">
      <c r="A14" s="77" t="s">
        <v>1230</v>
      </c>
      <c r="C14" s="77"/>
      <c r="D14" s="232"/>
      <c r="E14" s="1"/>
      <c r="F14" s="1"/>
      <c r="G14" s="233"/>
      <c r="H14" s="232"/>
      <c r="I14" s="232"/>
      <c r="J14" s="1"/>
      <c r="K14" s="1"/>
      <c r="L14" s="1"/>
      <c r="M14" s="352"/>
      <c r="N14" s="1"/>
      <c r="O14" s="1"/>
      <c r="P14" s="1"/>
      <c r="Q14" s="233"/>
    </row>
    <row r="15" spans="1:17" x14ac:dyDescent="0.25">
      <c r="A15" s="77">
        <f>'Plant &amp; Reserve'!A47</f>
        <v>30300</v>
      </c>
      <c r="B15">
        <v>30300</v>
      </c>
      <c r="C15" s="77" t="s">
        <v>91</v>
      </c>
      <c r="D15" s="212">
        <f>'Theoretical Reserve'!D5</f>
        <v>815325.07000000007</v>
      </c>
      <c r="E15" s="238">
        <f>+'Reserve Allocation'!N14</f>
        <v>815325.0699999989</v>
      </c>
      <c r="F15" s="1"/>
      <c r="G15" s="90">
        <f>+'Proposed Rates'!O47/100</f>
        <v>0</v>
      </c>
      <c r="H15" s="232"/>
      <c r="I15" s="212">
        <f>+D15*G15</f>
        <v>0</v>
      </c>
      <c r="K15" s="212">
        <f>+D15-E15-I15</f>
        <v>1.1641532182693481E-9</v>
      </c>
      <c r="L15" s="1"/>
      <c r="M15" s="212">
        <f>'Theoretical Reserve'!J5</f>
        <v>0</v>
      </c>
      <c r="N15" s="1"/>
      <c r="O15" s="212">
        <v>0</v>
      </c>
      <c r="Q15" s="234">
        <f>ROUND(+O15/D15,3)</f>
        <v>0</v>
      </c>
    </row>
    <row r="16" spans="1:17" x14ac:dyDescent="0.25">
      <c r="A16" s="77">
        <f>'Plant &amp; Reserve'!A48</f>
        <v>30301</v>
      </c>
      <c r="B16">
        <v>30301</v>
      </c>
      <c r="C16" s="77" t="s">
        <v>92</v>
      </c>
      <c r="D16" s="212">
        <f>'Theoretical Reserve'!D28</f>
        <v>110526643.99000001</v>
      </c>
      <c r="E16" s="238">
        <f>+'Reserve Allocation'!N15</f>
        <v>30148268.771823499</v>
      </c>
      <c r="F16" s="1"/>
      <c r="G16" s="90">
        <f>+'Proposed Rates'!O48/100</f>
        <v>0</v>
      </c>
      <c r="H16" s="232"/>
      <c r="I16" s="212">
        <f>+D16*G16</f>
        <v>0</v>
      </c>
      <c r="K16" s="212">
        <f>+D16-E16-I16</f>
        <v>80378375.218176514</v>
      </c>
      <c r="L16" s="1"/>
      <c r="M16" s="212">
        <f>'Theoretical Reserve'!J28</f>
        <v>10.978937130035263</v>
      </c>
      <c r="N16" s="1"/>
      <c r="O16" s="212">
        <f>+K16/M16</f>
        <v>7321143.5921501033</v>
      </c>
      <c r="Q16" s="234">
        <f>ROUND(+O16/D16,3)</f>
        <v>6.6000000000000003E-2</v>
      </c>
    </row>
    <row r="17" spans="1:17" x14ac:dyDescent="0.25">
      <c r="A17" s="77"/>
      <c r="C17" s="77"/>
      <c r="D17" s="232"/>
      <c r="E17" s="1"/>
      <c r="F17" s="1"/>
      <c r="G17" s="233"/>
      <c r="H17" s="232"/>
      <c r="I17" s="232"/>
      <c r="J17" s="1"/>
      <c r="K17" s="1"/>
      <c r="L17" s="1"/>
      <c r="M17" s="212"/>
      <c r="N17" s="1"/>
      <c r="O17" s="1"/>
      <c r="P17" s="1"/>
      <c r="Q17" s="365"/>
    </row>
    <row r="18" spans="1:17" x14ac:dyDescent="0.25">
      <c r="A18" s="77"/>
      <c r="C18" s="77"/>
      <c r="D18" s="232"/>
      <c r="E18" s="1"/>
      <c r="F18" s="1"/>
      <c r="G18" s="233"/>
      <c r="H18" s="232"/>
      <c r="I18" s="232"/>
      <c r="J18" s="1"/>
      <c r="K18" s="1"/>
      <c r="L18" s="1"/>
      <c r="M18" s="212"/>
      <c r="N18" s="1"/>
      <c r="O18" s="1"/>
      <c r="P18" s="1"/>
      <c r="Q18" s="365"/>
    </row>
    <row r="19" spans="1:17" x14ac:dyDescent="0.25">
      <c r="A19" s="77"/>
      <c r="C19" s="77"/>
      <c r="D19" s="232"/>
      <c r="E19" s="1"/>
      <c r="F19" s="1"/>
      <c r="G19" s="233"/>
      <c r="H19" s="232"/>
      <c r="I19" s="232"/>
      <c r="J19" s="1"/>
      <c r="K19" s="1"/>
      <c r="L19" s="1"/>
      <c r="M19" s="212"/>
      <c r="N19" s="1"/>
      <c r="O19" s="1"/>
      <c r="P19" s="1"/>
      <c r="Q19" s="365"/>
    </row>
    <row r="20" spans="1:17" x14ac:dyDescent="0.25">
      <c r="A20" s="77" t="s">
        <v>1226</v>
      </c>
      <c r="B20" t="s">
        <v>1248</v>
      </c>
      <c r="M20" s="212"/>
      <c r="Q20" s="234"/>
    </row>
    <row r="21" spans="1:17" x14ac:dyDescent="0.25">
      <c r="A21">
        <f>'Plant &amp; Reserve'!A16</f>
        <v>37402</v>
      </c>
      <c r="B21">
        <f>+'Plant &amp; Reserve'!A16</f>
        <v>37402</v>
      </c>
      <c r="C21" t="s">
        <v>646</v>
      </c>
      <c r="D21" s="212">
        <f>'Theoretical Reserve'!D66</f>
        <v>4268872.66</v>
      </c>
      <c r="E21" s="212">
        <f>'Reserve Allocation'!N20</f>
        <v>1080752.3138336299</v>
      </c>
      <c r="G21" s="90">
        <f>+'Proposed Rates'!O16/100</f>
        <v>0</v>
      </c>
      <c r="I21" s="212">
        <f t="shared" ref="I21:I35" si="0">+D21*G21</f>
        <v>0</v>
      </c>
      <c r="K21" s="212">
        <f t="shared" ref="K21:K35" si="1">+D21-E21-I21</f>
        <v>3188120.3461663704</v>
      </c>
      <c r="M21" s="212">
        <f>'Theoretical Reserve'!J66</f>
        <v>56.861004813856397</v>
      </c>
      <c r="O21" s="212">
        <f t="shared" ref="O21:O35" si="2">+K21/M21</f>
        <v>56068.659999998112</v>
      </c>
      <c r="Q21" s="234">
        <f t="shared" ref="Q21:Q35" si="3">ROUND(+O21/D21,3)</f>
        <v>1.2999999999999999E-2</v>
      </c>
    </row>
    <row r="22" spans="1:17" x14ac:dyDescent="0.25">
      <c r="A22">
        <f>'Plant &amp; Reserve'!A17</f>
        <v>37500</v>
      </c>
      <c r="B22">
        <f>+'Plant &amp; Reserve'!A17</f>
        <v>37500</v>
      </c>
      <c r="C22" t="s">
        <v>93</v>
      </c>
      <c r="D22" s="212">
        <f>'Theoretical Reserve'!D120</f>
        <v>31386680.029999983</v>
      </c>
      <c r="E22" s="212">
        <f>'Reserve Allocation'!N21</f>
        <v>8366521.0855701342</v>
      </c>
      <c r="G22" s="90">
        <f>+'Proposed Rates'!O17/100</f>
        <v>0</v>
      </c>
      <c r="I22" s="212">
        <f t="shared" si="0"/>
        <v>0</v>
      </c>
      <c r="K22" s="212">
        <f t="shared" si="1"/>
        <v>23020158.944429848</v>
      </c>
      <c r="M22" s="212">
        <f>'Theoretical Reserve'!J120</f>
        <v>26.1164740929384</v>
      </c>
      <c r="O22" s="212">
        <f t="shared" si="2"/>
        <v>881442.06842432218</v>
      </c>
      <c r="Q22" s="234">
        <f t="shared" si="3"/>
        <v>2.8000000000000001E-2</v>
      </c>
    </row>
    <row r="23" spans="1:17" x14ac:dyDescent="0.25">
      <c r="A23">
        <f>'Plant &amp; Reserve'!A18</f>
        <v>37600</v>
      </c>
      <c r="B23">
        <f>+'Plant &amp; Reserve'!A18</f>
        <v>37600</v>
      </c>
      <c r="C23" t="s">
        <v>94</v>
      </c>
      <c r="D23" s="212">
        <f>'Theoretical Reserve'!D193</f>
        <v>826292081.17000031</v>
      </c>
      <c r="E23" s="212">
        <f>'Reserve Allocation'!N22</f>
        <v>235380987.81307572</v>
      </c>
      <c r="G23" s="90">
        <f>+'Proposed Rates'!O18/100</f>
        <v>-0.6</v>
      </c>
      <c r="I23" s="212">
        <f t="shared" si="0"/>
        <v>-495775248.70200014</v>
      </c>
      <c r="K23" s="212">
        <f t="shared" si="1"/>
        <v>1086686342.0589247</v>
      </c>
      <c r="M23" s="212">
        <f>'Theoretical Reserve'!J193</f>
        <v>55.234840721733569</v>
      </c>
      <c r="O23" s="212">
        <f t="shared" si="2"/>
        <v>19673929.133488748</v>
      </c>
      <c r="Q23" s="234">
        <f t="shared" si="3"/>
        <v>2.4E-2</v>
      </c>
    </row>
    <row r="24" spans="1:17" x14ac:dyDescent="0.25">
      <c r="A24">
        <f>'Plant &amp; Reserve'!A19</f>
        <v>37602</v>
      </c>
      <c r="B24">
        <f>+'Plant &amp; Reserve'!A19</f>
        <v>37602</v>
      </c>
      <c r="C24" t="s">
        <v>95</v>
      </c>
      <c r="D24" s="212">
        <f>'Theoretical Reserve'!D232</f>
        <v>961474232.54999995</v>
      </c>
      <c r="E24" s="212">
        <f>'Reserve Allocation'!N23</f>
        <v>195926801.30512688</v>
      </c>
      <c r="G24" s="90">
        <f>+'Proposed Rates'!O19/100</f>
        <v>-0.4</v>
      </c>
      <c r="I24" s="212">
        <f t="shared" si="0"/>
        <v>-384589693.01999998</v>
      </c>
      <c r="K24" s="212">
        <f t="shared" si="1"/>
        <v>1150137124.264873</v>
      </c>
      <c r="M24" s="212">
        <f>'Theoretical Reserve'!J232</f>
        <v>67.039532878491158</v>
      </c>
      <c r="O24" s="212">
        <f t="shared" si="2"/>
        <v>17156102.89751707</v>
      </c>
      <c r="Q24" s="234">
        <f t="shared" si="3"/>
        <v>1.7999999999999999E-2</v>
      </c>
    </row>
    <row r="25" spans="1:17" x14ac:dyDescent="0.25">
      <c r="A25">
        <v>37700</v>
      </c>
      <c r="B25">
        <v>37700</v>
      </c>
      <c r="C25" t="s">
        <v>1251</v>
      </c>
      <c r="D25" s="212">
        <f>+'Theoretical Reserve'!D235</f>
        <v>19187297.899999999</v>
      </c>
      <c r="E25" s="212">
        <f>'Reserve Allocation'!N24</f>
        <v>1319479.5011633653</v>
      </c>
      <c r="G25" s="90">
        <f>+'Proposed Rates'!O20/100</f>
        <v>-0.05</v>
      </c>
      <c r="I25" s="212">
        <f t="shared" si="0"/>
        <v>-959364.89500000002</v>
      </c>
      <c r="K25" s="212">
        <f t="shared" si="1"/>
        <v>18827183.293836635</v>
      </c>
      <c r="M25" s="212">
        <f>+'Theoretical Reserve'!J235</f>
        <v>32.760092260691827</v>
      </c>
      <c r="O25" s="212">
        <f t="shared" si="2"/>
        <v>574698.72624342365</v>
      </c>
      <c r="Q25" s="234">
        <f t="shared" si="3"/>
        <v>0.03</v>
      </c>
    </row>
    <row r="26" spans="1:17" x14ac:dyDescent="0.25">
      <c r="A26">
        <f>'Plant &amp; Reserve'!A21</f>
        <v>37800</v>
      </c>
      <c r="B26">
        <f>+'Plant &amp; Reserve'!A21</f>
        <v>37800</v>
      </c>
      <c r="C26" t="s">
        <v>96</v>
      </c>
      <c r="D26" s="212">
        <f>'Theoretical Reserve'!D302</f>
        <v>22151056.50999999</v>
      </c>
      <c r="E26" s="212">
        <f>'Reserve Allocation'!N25</f>
        <v>5812102.0078713428</v>
      </c>
      <c r="G26" s="90">
        <f>+'Proposed Rates'!O21/100</f>
        <v>-0.2</v>
      </c>
      <c r="I26" s="212">
        <f t="shared" si="0"/>
        <v>-4430211.3019999983</v>
      </c>
      <c r="K26" s="212">
        <f t="shared" si="1"/>
        <v>20769165.804128647</v>
      </c>
      <c r="M26" s="212">
        <f>'Theoretical Reserve'!J302</f>
        <v>31.211242123723302</v>
      </c>
      <c r="O26" s="212">
        <f t="shared" si="2"/>
        <v>665438.61733533011</v>
      </c>
      <c r="Q26" s="234">
        <f t="shared" si="3"/>
        <v>0.03</v>
      </c>
    </row>
    <row r="27" spans="1:17" x14ac:dyDescent="0.25">
      <c r="A27">
        <f>'Plant &amp; Reserve'!A22</f>
        <v>37900</v>
      </c>
      <c r="B27">
        <f>+'Plant &amp; Reserve'!A22</f>
        <v>37900</v>
      </c>
      <c r="C27" t="s">
        <v>97</v>
      </c>
      <c r="D27" s="212">
        <f>'Theoretical Reserve'!D335</f>
        <v>116022316.77999997</v>
      </c>
      <c r="E27" s="212">
        <f>'Reserve Allocation'!N26</f>
        <v>18533863.572940804</v>
      </c>
      <c r="G27" s="90">
        <f>+'Proposed Rates'!O22/100</f>
        <v>-0.2</v>
      </c>
      <c r="I27" s="212">
        <f t="shared" si="0"/>
        <v>-23204463.355999995</v>
      </c>
      <c r="K27" s="212">
        <f t="shared" si="1"/>
        <v>120692916.56305917</v>
      </c>
      <c r="M27" s="212">
        <f>'Theoretical Reserve'!J335</f>
        <v>46.317516811955663</v>
      </c>
      <c r="O27" s="212">
        <f t="shared" si="2"/>
        <v>2605772.6076520886</v>
      </c>
      <c r="Q27" s="234">
        <f t="shared" si="3"/>
        <v>2.1999999999999999E-2</v>
      </c>
    </row>
    <row r="28" spans="1:17" x14ac:dyDescent="0.25">
      <c r="A28">
        <f>'Plant &amp; Reserve'!A23</f>
        <v>38000</v>
      </c>
      <c r="B28">
        <f>+'Plant &amp; Reserve'!A23</f>
        <v>38000</v>
      </c>
      <c r="C28" t="s">
        <v>98</v>
      </c>
      <c r="D28" s="212">
        <f>'Theoretical Reserve'!D428</f>
        <v>68085342.289999977</v>
      </c>
      <c r="E28" s="212">
        <f>'Reserve Allocation'!N27</f>
        <v>41491765.423666812</v>
      </c>
      <c r="G28" s="90">
        <f>+'Proposed Rates'!O23/100</f>
        <v>-1.3</v>
      </c>
      <c r="I28" s="212">
        <f t="shared" si="0"/>
        <v>-88510944.976999968</v>
      </c>
      <c r="K28" s="212">
        <f t="shared" si="1"/>
        <v>115104521.84333313</v>
      </c>
      <c r="M28" s="212">
        <f>'Theoretical Reserve'!J428</f>
        <v>39.320137264024254</v>
      </c>
      <c r="O28" s="212">
        <f t="shared" si="2"/>
        <v>2927368.2609609654</v>
      </c>
      <c r="Q28" s="234">
        <f t="shared" si="3"/>
        <v>4.2999999999999997E-2</v>
      </c>
    </row>
    <row r="29" spans="1:17" x14ac:dyDescent="0.25">
      <c r="A29">
        <f>'Plant &amp; Reserve'!A24</f>
        <v>38002</v>
      </c>
      <c r="B29">
        <f>+'Plant &amp; Reserve'!A24</f>
        <v>38002</v>
      </c>
      <c r="C29" t="s">
        <v>99</v>
      </c>
      <c r="D29" s="212">
        <f>'Theoretical Reserve'!D472</f>
        <v>610080538.33000004</v>
      </c>
      <c r="E29" s="212">
        <f>'Reserve Allocation'!N28</f>
        <v>203173739.25244004</v>
      </c>
      <c r="G29" s="90">
        <f>+'Proposed Rates'!O24/100</f>
        <v>-0.75</v>
      </c>
      <c r="I29" s="212">
        <f t="shared" si="0"/>
        <v>-457560403.74750006</v>
      </c>
      <c r="K29" s="212">
        <f t="shared" si="1"/>
        <v>864467202.82506013</v>
      </c>
      <c r="M29" s="212">
        <f>'Theoretical Reserve'!J472</f>
        <v>46.094449152257631</v>
      </c>
      <c r="O29" s="212">
        <f t="shared" si="2"/>
        <v>18754258.239849687</v>
      </c>
      <c r="Q29" s="234">
        <f t="shared" si="3"/>
        <v>3.1E-2</v>
      </c>
    </row>
    <row r="30" spans="1:17" x14ac:dyDescent="0.25">
      <c r="A30">
        <f>'Plant &amp; Reserve'!A25</f>
        <v>38100</v>
      </c>
      <c r="B30">
        <f>+'Plant &amp; Reserve'!A25</f>
        <v>38100</v>
      </c>
      <c r="C30" t="s">
        <v>100</v>
      </c>
      <c r="D30" s="212">
        <f>'Theoretical Reserve'!D497</f>
        <v>99270694.280000001</v>
      </c>
      <c r="E30" s="212">
        <f>'Reserve Allocation'!N29</f>
        <v>41081230.221588202</v>
      </c>
      <c r="G30" s="90">
        <f>+'Proposed Rates'!O25/100</f>
        <v>0</v>
      </c>
      <c r="I30" s="212">
        <f t="shared" si="0"/>
        <v>0</v>
      </c>
      <c r="K30" s="212">
        <f t="shared" si="1"/>
        <v>58189464.058411799</v>
      </c>
      <c r="M30" s="212">
        <f>'Theoretical Reserve'!J497</f>
        <v>12.361035694693776</v>
      </c>
      <c r="O30" s="212">
        <f t="shared" si="2"/>
        <v>4707490.9817945762</v>
      </c>
      <c r="Q30" s="234">
        <f t="shared" si="3"/>
        <v>4.7E-2</v>
      </c>
    </row>
    <row r="31" spans="1:17" x14ac:dyDescent="0.25">
      <c r="A31">
        <f>'Plant &amp; Reserve'!A26</f>
        <v>38200</v>
      </c>
      <c r="B31">
        <f>+'Plant &amp; Reserve'!A26</f>
        <v>38200</v>
      </c>
      <c r="C31" t="s">
        <v>101</v>
      </c>
      <c r="D31" s="212">
        <f>'Theoretical Reserve'!D544</f>
        <v>105820491.27000003</v>
      </c>
      <c r="E31" s="212">
        <f>'Reserve Allocation'!N30</f>
        <v>35074647.943045013</v>
      </c>
      <c r="G31" s="90">
        <f>+'Proposed Rates'!O26/100</f>
        <v>-0.3</v>
      </c>
      <c r="I31" s="212">
        <f t="shared" si="0"/>
        <v>-31746147.381000005</v>
      </c>
      <c r="K31" s="212">
        <f t="shared" si="1"/>
        <v>102491990.70795503</v>
      </c>
      <c r="M31" s="212">
        <f>'Theoretical Reserve'!J544</f>
        <v>36.949157945704926</v>
      </c>
      <c r="O31" s="212">
        <f t="shared" si="2"/>
        <v>2773865.3979222546</v>
      </c>
      <c r="Q31" s="234">
        <f t="shared" si="3"/>
        <v>2.5999999999999999E-2</v>
      </c>
    </row>
    <row r="32" spans="1:17" x14ac:dyDescent="0.25">
      <c r="A32">
        <f>'Plant &amp; Reserve'!A27</f>
        <v>38300</v>
      </c>
      <c r="B32">
        <f>+'Plant &amp; Reserve'!A27</f>
        <v>38300</v>
      </c>
      <c r="C32" t="s">
        <v>102</v>
      </c>
      <c r="D32" s="212">
        <f>'Theoretical Reserve'!D596</f>
        <v>20766817.199999996</v>
      </c>
      <c r="E32" s="212">
        <f>'Reserve Allocation'!N31</f>
        <v>8814276.0535394866</v>
      </c>
      <c r="G32" s="90">
        <f>+'Proposed Rates'!O27/100</f>
        <v>0</v>
      </c>
      <c r="I32" s="212">
        <f t="shared" si="0"/>
        <v>0</v>
      </c>
      <c r="K32" s="212">
        <f t="shared" si="1"/>
        <v>11952541.146460509</v>
      </c>
      <c r="M32" s="212">
        <f>'Theoretical Reserve'!J596</f>
        <v>28.224161583133867</v>
      </c>
      <c r="O32" s="212">
        <f t="shared" si="2"/>
        <v>423486.13655907789</v>
      </c>
      <c r="Q32" s="234">
        <f t="shared" si="3"/>
        <v>0.02</v>
      </c>
    </row>
    <row r="33" spans="1:17" x14ac:dyDescent="0.25">
      <c r="A33">
        <f>'Plant &amp; Reserve'!A28</f>
        <v>38400</v>
      </c>
      <c r="B33">
        <f>+'Plant &amp; Reserve'!A28</f>
        <v>38400</v>
      </c>
      <c r="C33" t="s">
        <v>103</v>
      </c>
      <c r="D33" s="212">
        <f>'Theoretical Reserve'!D661</f>
        <v>38677154.929999985</v>
      </c>
      <c r="E33" s="212">
        <f>'Reserve Allocation'!N32</f>
        <v>14747685.806906285</v>
      </c>
      <c r="G33" s="90">
        <f>+'Proposed Rates'!O28/100</f>
        <v>-0.3</v>
      </c>
      <c r="I33" s="212">
        <f t="shared" si="0"/>
        <v>-11603146.478999995</v>
      </c>
      <c r="K33" s="212">
        <f t="shared" si="1"/>
        <v>35532615.602093697</v>
      </c>
      <c r="M33" s="212">
        <f>'Theoretical Reserve'!J661</f>
        <v>37.904258814550687</v>
      </c>
      <c r="O33" s="212">
        <f t="shared" si="2"/>
        <v>937430.69283954543</v>
      </c>
      <c r="Q33" s="234">
        <f t="shared" si="3"/>
        <v>2.4E-2</v>
      </c>
    </row>
    <row r="34" spans="1:17" x14ac:dyDescent="0.25">
      <c r="A34">
        <f>'Plant &amp; Reserve'!A29</f>
        <v>38500</v>
      </c>
      <c r="B34">
        <f>+'Plant &amp; Reserve'!A29</f>
        <v>38500</v>
      </c>
      <c r="C34" t="s">
        <v>104</v>
      </c>
      <c r="D34" s="212">
        <f>'Theoretical Reserve'!D709</f>
        <v>15196826.639999999</v>
      </c>
      <c r="E34" s="212">
        <f>'Reserve Allocation'!N33</f>
        <v>6976670.3302102461</v>
      </c>
      <c r="G34" s="90">
        <f>+'Proposed Rates'!O29/100</f>
        <v>0</v>
      </c>
      <c r="I34" s="212">
        <f t="shared" si="0"/>
        <v>0</v>
      </c>
      <c r="K34" s="212">
        <f t="shared" si="1"/>
        <v>8220156.3097897526</v>
      </c>
      <c r="M34" s="212">
        <f>'Theoretical Reserve'!J709</f>
        <v>24.262388357540377</v>
      </c>
      <c r="O34" s="212">
        <f t="shared" si="2"/>
        <v>338802.43728087284</v>
      </c>
      <c r="Q34" s="234">
        <f t="shared" si="3"/>
        <v>2.1999999999999999E-2</v>
      </c>
    </row>
    <row r="35" spans="1:17" x14ac:dyDescent="0.25">
      <c r="A35">
        <f>'Plant &amp; Reserve'!A31</f>
        <v>38700</v>
      </c>
      <c r="B35">
        <f>+'Plant &amp; Reserve'!A31</f>
        <v>38700</v>
      </c>
      <c r="C35" t="s">
        <v>106</v>
      </c>
      <c r="D35" s="212">
        <f>'Theoretical Reserve'!D753</f>
        <v>13431843.029999996</v>
      </c>
      <c r="E35" s="212">
        <f>'Reserve Allocation'!N34</f>
        <v>5313797.6616018787</v>
      </c>
      <c r="G35" s="90">
        <f>+'Proposed Rates'!O31/100</f>
        <v>0</v>
      </c>
      <c r="I35" s="212">
        <f t="shared" si="0"/>
        <v>0</v>
      </c>
      <c r="K35" s="212">
        <f t="shared" si="1"/>
        <v>8118045.3683981169</v>
      </c>
      <c r="M35" s="212">
        <f>'Theoretical Reserve'!J753</f>
        <v>19.953017994548844</v>
      </c>
      <c r="O35" s="212">
        <f t="shared" si="2"/>
        <v>406858.01870253228</v>
      </c>
      <c r="Q35" s="234">
        <f t="shared" si="3"/>
        <v>0.03</v>
      </c>
    </row>
    <row r="36" spans="1:17" x14ac:dyDescent="0.25">
      <c r="C36" s="77" t="s">
        <v>1228</v>
      </c>
      <c r="D36" s="236">
        <f>SUM(D21:D35)</f>
        <v>2952112245.5700002</v>
      </c>
      <c r="E36" s="236">
        <f>SUM(E21:E35)</f>
        <v>823094320.29258001</v>
      </c>
      <c r="F36" s="236"/>
      <c r="G36" s="237" t="s">
        <v>1229</v>
      </c>
      <c r="H36" s="237" t="s">
        <v>1229</v>
      </c>
      <c r="I36" s="236">
        <f>SUM(I21:I35)</f>
        <v>-1498379623.8595004</v>
      </c>
      <c r="J36" s="237" t="s">
        <v>1229</v>
      </c>
      <c r="K36" s="236">
        <f>SUM(K21:K35)</f>
        <v>3627397549.1369209</v>
      </c>
      <c r="L36" s="237" t="s">
        <v>1229</v>
      </c>
      <c r="M36" s="355" t="s">
        <v>1229</v>
      </c>
      <c r="N36" s="237" t="s">
        <v>1229</v>
      </c>
      <c r="O36" s="236">
        <f>SUM(O21:O35)</f>
        <v>72883012.876570508</v>
      </c>
      <c r="P36" s="237" t="s">
        <v>1229</v>
      </c>
      <c r="Q36" s="366" t="s">
        <v>1229</v>
      </c>
    </row>
    <row r="37" spans="1:17" x14ac:dyDescent="0.25">
      <c r="K37" s="212"/>
      <c r="O37" s="212"/>
      <c r="Q37" s="234"/>
    </row>
    <row r="38" spans="1:17" x14ac:dyDescent="0.25">
      <c r="K38" s="212"/>
      <c r="O38" s="212"/>
      <c r="Q38" s="234"/>
    </row>
    <row r="39" spans="1:17" x14ac:dyDescent="0.25">
      <c r="K39" s="212"/>
      <c r="O39" s="212"/>
      <c r="Q39" s="234"/>
    </row>
    <row r="40" spans="1:17" x14ac:dyDescent="0.25">
      <c r="K40" s="212"/>
      <c r="O40" s="212"/>
      <c r="Q40" s="234"/>
    </row>
    <row r="41" spans="1:17" x14ac:dyDescent="0.25">
      <c r="K41" s="212"/>
      <c r="O41" s="212"/>
      <c r="Q41" s="234"/>
    </row>
    <row r="42" spans="1:17" x14ac:dyDescent="0.25">
      <c r="K42" s="212"/>
      <c r="O42" s="212"/>
      <c r="Q42" s="234"/>
    </row>
    <row r="43" spans="1:17" x14ac:dyDescent="0.25">
      <c r="K43" s="212"/>
      <c r="O43" s="212"/>
      <c r="Q43" s="234"/>
    </row>
    <row r="44" spans="1:17" x14ac:dyDescent="0.25">
      <c r="K44" s="212"/>
      <c r="O44" s="212"/>
      <c r="Q44" s="234"/>
    </row>
    <row r="45" spans="1:17" x14ac:dyDescent="0.25">
      <c r="A45" s="77" t="s">
        <v>1227</v>
      </c>
      <c r="B45" t="s">
        <v>62</v>
      </c>
      <c r="K45" s="212"/>
      <c r="O45" s="212"/>
      <c r="Q45" s="234"/>
    </row>
    <row r="46" spans="1:17" ht="22.5" customHeight="1" x14ac:dyDescent="0.25">
      <c r="A46">
        <f>'Plant &amp; Reserve'!A49</f>
        <v>39000</v>
      </c>
      <c r="B46">
        <f>+'Plant &amp; Reserve'!A49</f>
        <v>39000</v>
      </c>
      <c r="C46" t="s">
        <v>93</v>
      </c>
      <c r="D46" s="212">
        <f>'Theoretical Reserve'!D761</f>
        <v>663068.9</v>
      </c>
      <c r="E46" s="212">
        <f>'Reserve Allocation'!N45</f>
        <v>18381.777281599912</v>
      </c>
      <c r="G46" s="90">
        <f>+'Proposed Rates'!O54/100</f>
        <v>0</v>
      </c>
      <c r="I46" s="212">
        <f t="shared" ref="I46:I59" si="4">+D46*G46</f>
        <v>0</v>
      </c>
      <c r="K46" s="212">
        <f t="shared" ref="K46:K59" si="5">+D46-E46-I46</f>
        <v>644687.12271840009</v>
      </c>
      <c r="M46" s="212">
        <f>'Theoretical Reserve'!J761</f>
        <v>23.543618338948562</v>
      </c>
      <c r="O46" s="212">
        <f t="shared" ref="O46:O57" si="6">+K46/M46</f>
        <v>27382.669623550788</v>
      </c>
      <c r="Q46" s="234">
        <f>ROUND(+O46/D46,3)</f>
        <v>4.1000000000000002E-2</v>
      </c>
    </row>
    <row r="47" spans="1:17" x14ac:dyDescent="0.25">
      <c r="A47">
        <f>'Plant &amp; Reserve'!A50</f>
        <v>39100</v>
      </c>
      <c r="B47">
        <f>+'Plant &amp; Reserve'!A50</f>
        <v>39100</v>
      </c>
      <c r="C47" t="s">
        <v>107</v>
      </c>
      <c r="D47" s="212">
        <f>'Theoretical Reserve'!D779</f>
        <v>2151949.7299999995</v>
      </c>
      <c r="E47" s="212">
        <f>'Reserve Allocation'!N46</f>
        <v>1114167.3792016273</v>
      </c>
      <c r="G47" s="90">
        <f>+'Proposed Rates'!O55/100</f>
        <v>0</v>
      </c>
      <c r="I47" s="212">
        <f t="shared" si="4"/>
        <v>0</v>
      </c>
      <c r="K47" s="212">
        <f t="shared" si="5"/>
        <v>1037782.3507983722</v>
      </c>
      <c r="M47" s="212">
        <f>'Theoretical Reserve'!J779</f>
        <v>9.4155693195491139</v>
      </c>
      <c r="O47" s="212">
        <f t="shared" si="6"/>
        <v>110219.81949022162</v>
      </c>
      <c r="Q47" s="234">
        <f>ROUND(+O47/D47,3)</f>
        <v>5.0999999999999997E-2</v>
      </c>
    </row>
    <row r="48" spans="1:17" x14ac:dyDescent="0.25">
      <c r="A48">
        <f>'Plant &amp; Reserve'!A51</f>
        <v>39101</v>
      </c>
      <c r="B48">
        <f>+'Plant &amp; Reserve'!A51</f>
        <v>39101</v>
      </c>
      <c r="C48" t="s">
        <v>108</v>
      </c>
      <c r="D48" s="212">
        <f>'Theoretical Reserve'!D792</f>
        <v>5932305.8570000008</v>
      </c>
      <c r="E48" s="212">
        <f>'Reserve Allocation'!N47</f>
        <v>3431578.3103643819</v>
      </c>
      <c r="G48" s="90">
        <f>+'Proposed Rates'!O56/100</f>
        <v>0</v>
      </c>
      <c r="I48" s="212">
        <f t="shared" si="4"/>
        <v>0</v>
      </c>
      <c r="K48" s="212">
        <f t="shared" si="5"/>
        <v>2500727.5466356189</v>
      </c>
      <c r="M48" s="212">
        <f>'Theoretical Reserve'!J792</f>
        <v>5.4119503820957489</v>
      </c>
      <c r="O48" s="212">
        <f t="shared" si="6"/>
        <v>462075.10602993105</v>
      </c>
      <c r="Q48" s="234">
        <f>ROUND(+O48/D48,3)</f>
        <v>7.8E-2</v>
      </c>
    </row>
    <row r="49" spans="1:17" x14ac:dyDescent="0.25">
      <c r="A49">
        <f>'Plant &amp; Reserve'!A52</f>
        <v>39102</v>
      </c>
      <c r="B49">
        <f>+'Plant &amp; Reserve'!A52</f>
        <v>39102</v>
      </c>
      <c r="C49" t="s">
        <v>109</v>
      </c>
      <c r="D49" s="212">
        <f>'Theoretical Reserve'!D812</f>
        <v>1529673.7899999998</v>
      </c>
      <c r="E49" s="212">
        <f>'Reserve Allocation'!N48</f>
        <v>965279.09392999986</v>
      </c>
      <c r="G49" s="90">
        <f>+'Proposed Rates'!O57/100</f>
        <v>0</v>
      </c>
      <c r="I49" s="212">
        <f t="shared" si="4"/>
        <v>0</v>
      </c>
      <c r="K49" s="212">
        <f t="shared" si="5"/>
        <v>564394.69606999995</v>
      </c>
      <c r="M49" s="212">
        <f>'Theoretical Reserve'!J812</f>
        <v>5.8917490865813953</v>
      </c>
      <c r="O49" s="212">
        <f t="shared" si="6"/>
        <v>95794.082160664795</v>
      </c>
      <c r="Q49" s="234">
        <f>ROUND(+O49/D49,3)</f>
        <v>6.3E-2</v>
      </c>
    </row>
    <row r="50" spans="1:17" x14ac:dyDescent="0.25">
      <c r="A50">
        <f>'Plant &amp; Reserve'!A38</f>
        <v>39201</v>
      </c>
      <c r="B50">
        <f>+'Proposed Accruals'!A38</f>
        <v>39201</v>
      </c>
      <c r="C50" t="s">
        <v>110</v>
      </c>
      <c r="D50" s="212">
        <f>'Theoretical Reserve'!D835</f>
        <v>15381575.261000002</v>
      </c>
      <c r="E50" s="212">
        <f>'Reserve Allocation'!N49</f>
        <v>6058634.4224653961</v>
      </c>
      <c r="G50" s="90">
        <f>+'Proposed Rates'!O38/100</f>
        <v>0.11</v>
      </c>
      <c r="I50" s="212">
        <f t="shared" si="4"/>
        <v>1691973.2787100002</v>
      </c>
      <c r="K50" s="212">
        <f t="shared" si="5"/>
        <v>7630967.5598246045</v>
      </c>
      <c r="M50" s="212">
        <f>'Theoretical Reserve'!J835</f>
        <v>5.2056941527829395</v>
      </c>
      <c r="O50" s="212">
        <f t="shared" si="6"/>
        <v>1465888.5704503262</v>
      </c>
      <c r="Q50" s="234">
        <f>ROUND(+O50/D50-0.0002,3)</f>
        <v>9.5000000000000001E-2</v>
      </c>
    </row>
    <row r="51" spans="1:17" x14ac:dyDescent="0.25">
      <c r="A51">
        <f>'Plant &amp; Reserve'!A39</f>
        <v>39202</v>
      </c>
      <c r="B51">
        <f>+'Proposed Accruals'!A39</f>
        <v>39202</v>
      </c>
      <c r="C51" t="s">
        <v>111</v>
      </c>
      <c r="D51" s="212">
        <f>'Theoretical Reserve'!D855</f>
        <v>17803654.689999994</v>
      </c>
      <c r="E51" s="212">
        <f>'Reserve Allocation'!N50</f>
        <v>8353208.6126399981</v>
      </c>
      <c r="G51" s="90">
        <f>+'Proposed Rates'!O39/100</f>
        <v>0.11</v>
      </c>
      <c r="I51" s="212">
        <f t="shared" si="4"/>
        <v>1958402.0158999993</v>
      </c>
      <c r="K51" s="212">
        <f t="shared" si="5"/>
        <v>7492044.0614599977</v>
      </c>
      <c r="M51" s="212">
        <f>'Theoretical Reserve'!J855</f>
        <v>5.5896089345402205</v>
      </c>
      <c r="O51" s="212">
        <f t="shared" si="6"/>
        <v>1340352.0978299468</v>
      </c>
      <c r="Q51" s="234">
        <f>ROUND(+O51/D51,3)</f>
        <v>7.4999999999999997E-2</v>
      </c>
    </row>
    <row r="52" spans="1:17" x14ac:dyDescent="0.25">
      <c r="A52">
        <f>'Plant &amp; Reserve'!A40</f>
        <v>39204</v>
      </c>
      <c r="B52">
        <f>+'Proposed Accruals'!A40</f>
        <v>39204</v>
      </c>
      <c r="C52" t="s">
        <v>112</v>
      </c>
      <c r="D52" s="212">
        <f>'Theoretical Reserve'!D895</f>
        <v>4611626.0700000012</v>
      </c>
      <c r="E52" s="212">
        <f>'Reserve Allocation'!N51</f>
        <v>821141.15773737081</v>
      </c>
      <c r="G52" s="90">
        <f>+'Proposed Rates'!O40/100</f>
        <v>0.2</v>
      </c>
      <c r="I52" s="212">
        <f t="shared" si="4"/>
        <v>922325.21400000027</v>
      </c>
      <c r="K52" s="212">
        <f t="shared" si="5"/>
        <v>2868159.6982626305</v>
      </c>
      <c r="M52" s="212">
        <f>'Theoretical Reserve'!J895</f>
        <v>25.85932663673589</v>
      </c>
      <c r="O52" s="212">
        <f t="shared" si="6"/>
        <v>110913.93594866883</v>
      </c>
      <c r="Q52" s="234">
        <f>ROUND(+O52/D52,3)</f>
        <v>2.4E-2</v>
      </c>
    </row>
    <row r="53" spans="1:17" x14ac:dyDescent="0.25">
      <c r="A53">
        <f>'Plant &amp; Reserve'!A41</f>
        <v>39205</v>
      </c>
      <c r="B53">
        <f>+'Proposed Accruals'!A41</f>
        <v>39205</v>
      </c>
      <c r="C53" t="s">
        <v>113</v>
      </c>
      <c r="D53" s="212">
        <f>'Theoretical Reserve'!D908</f>
        <v>2564139.23</v>
      </c>
      <c r="E53" s="212">
        <f>'Reserve Allocation'!N52</f>
        <v>1267332.2891799998</v>
      </c>
      <c r="G53" s="90">
        <f>+'Proposed Rates'!O41/100</f>
        <v>7.0000000000000007E-2</v>
      </c>
      <c r="I53" s="212">
        <f t="shared" si="4"/>
        <v>179489.74610000002</v>
      </c>
      <c r="K53" s="212">
        <f t="shared" si="5"/>
        <v>1117317.19472</v>
      </c>
      <c r="M53" s="212">
        <f>'Theoretical Reserve'!J908</f>
        <v>7.5226482151389957</v>
      </c>
      <c r="O53" s="212">
        <f t="shared" si="6"/>
        <v>148527.10943886073</v>
      </c>
      <c r="Q53" s="234">
        <f>ROUND(+O53/D53,3)</f>
        <v>5.8000000000000003E-2</v>
      </c>
    </row>
    <row r="54" spans="1:17" x14ac:dyDescent="0.25">
      <c r="A54">
        <f>'Plant &amp; Reserve'!A53</f>
        <v>39300</v>
      </c>
      <c r="B54">
        <f>+'Plant &amp; Reserve'!A53</f>
        <v>39300</v>
      </c>
      <c r="C54" t="s">
        <v>114</v>
      </c>
      <c r="D54" s="212">
        <f>'Theoretical Reserve'!D910</f>
        <v>1283.3900000000001</v>
      </c>
      <c r="E54" s="212">
        <f>'Reserve Allocation'!N53</f>
        <v>591.86238000006779</v>
      </c>
      <c r="G54" s="90">
        <f>+'Proposed Rates'!O61/100</f>
        <v>0</v>
      </c>
      <c r="I54" s="212">
        <f t="shared" si="4"/>
        <v>0</v>
      </c>
      <c r="K54" s="212">
        <f t="shared" si="5"/>
        <v>691.52761999993231</v>
      </c>
      <c r="M54" s="212">
        <f>'Theoretical Reserve'!J910</f>
        <v>12.5</v>
      </c>
      <c r="O54" s="212">
        <f t="shared" si="6"/>
        <v>55.322209599994586</v>
      </c>
      <c r="Q54" s="234">
        <f>ROUND(+O54/D54,3)</f>
        <v>4.2999999999999997E-2</v>
      </c>
    </row>
    <row r="55" spans="1:17" x14ac:dyDescent="0.25">
      <c r="A55">
        <f>'Plant &amp; Reserve'!A54</f>
        <v>39400</v>
      </c>
      <c r="B55">
        <f>+'Plant &amp; Reserve'!A54</f>
        <v>39400</v>
      </c>
      <c r="C55" t="s">
        <v>115</v>
      </c>
      <c r="D55" s="212">
        <f>'Theoretical Reserve'!D931</f>
        <v>8587697.3599999994</v>
      </c>
      <c r="E55" s="212">
        <f>'Reserve Allocation'!N54</f>
        <v>4420844.3778393846</v>
      </c>
      <c r="G55" s="90">
        <f>+'Proposed Rates'!O62/100</f>
        <v>0</v>
      </c>
      <c r="I55" s="212">
        <f t="shared" si="4"/>
        <v>0</v>
      </c>
      <c r="K55" s="212">
        <f t="shared" si="5"/>
        <v>4166852.9821606148</v>
      </c>
      <c r="M55" s="212">
        <f>'Theoretical Reserve'!J931</f>
        <v>10.158405861079391</v>
      </c>
      <c r="O55" s="212">
        <f t="shared" si="6"/>
        <v>410187.68487340806</v>
      </c>
      <c r="Q55" s="234">
        <f>ROUND(+O55/D55,3)</f>
        <v>4.8000000000000001E-2</v>
      </c>
    </row>
    <row r="56" spans="1:17" x14ac:dyDescent="0.25">
      <c r="A56">
        <f>'Plant &amp; Reserve'!A55</f>
        <v>39401</v>
      </c>
      <c r="B56">
        <f>+'Plant &amp; Reserve'!A55</f>
        <v>39401</v>
      </c>
      <c r="C56" s="77" t="s">
        <v>680</v>
      </c>
      <c r="D56" s="212">
        <f>'Theoretical Reserve'!D940</f>
        <v>3241792.7900000005</v>
      </c>
      <c r="E56" s="212">
        <f>'Reserve Allocation'!N55</f>
        <v>795268.96250000119</v>
      </c>
      <c r="G56" s="90">
        <f>+'Proposed Rates'!O63/100</f>
        <v>0</v>
      </c>
      <c r="I56" s="212">
        <f t="shared" si="4"/>
        <v>0</v>
      </c>
      <c r="K56" s="212">
        <f t="shared" si="5"/>
        <v>2446523.8274999992</v>
      </c>
      <c r="M56" s="212">
        <f>'Theoretical Reserve'!J940</f>
        <v>14.933922505577536</v>
      </c>
      <c r="O56" s="212">
        <f t="shared" si="6"/>
        <v>163823.25719088665</v>
      </c>
      <c r="Q56" s="234">
        <f>ROUND(+O56/D56+0.0001,3)</f>
        <v>5.0999999999999997E-2</v>
      </c>
    </row>
    <row r="57" spans="1:17" x14ac:dyDescent="0.25">
      <c r="A57">
        <f>'Plant &amp; Reserve'!A57</f>
        <v>39600</v>
      </c>
      <c r="B57">
        <f>+'Plant &amp; Reserve'!A57</f>
        <v>39600</v>
      </c>
      <c r="C57" t="s">
        <v>30</v>
      </c>
      <c r="D57" s="212">
        <f>'Theoretical Reserve'!D975</f>
        <v>3562012.9878999991</v>
      </c>
      <c r="E57" s="212">
        <f>'Reserve Allocation'!N56</f>
        <v>2121059.1343065528</v>
      </c>
      <c r="G57" s="90">
        <f>+'Proposed Rates'!O65/100</f>
        <v>0.1</v>
      </c>
      <c r="I57" s="212">
        <f t="shared" si="4"/>
        <v>356201.29878999991</v>
      </c>
      <c r="K57" s="212">
        <f t="shared" si="5"/>
        <v>1084752.5548034464</v>
      </c>
      <c r="M57" s="212">
        <f>'Theoretical Reserve'!J975</f>
        <v>10.668836430679919</v>
      </c>
      <c r="O57" s="212">
        <f t="shared" si="6"/>
        <v>101674.86978093222</v>
      </c>
      <c r="Q57" s="234">
        <f>ROUND(+O57/D57,3)</f>
        <v>2.9000000000000001E-2</v>
      </c>
    </row>
    <row r="58" spans="1:17" x14ac:dyDescent="0.25">
      <c r="A58">
        <f>'Plant &amp; Reserve'!A58</f>
        <v>39700</v>
      </c>
      <c r="B58">
        <f>+'Plant &amp; Reserve'!A58</f>
        <v>39700</v>
      </c>
      <c r="C58" t="s">
        <v>32</v>
      </c>
      <c r="D58" s="212">
        <f>'Theoretical Reserve'!D986</f>
        <v>3015264.3707999997</v>
      </c>
      <c r="E58" s="212">
        <f>'Reserve Allocation'!N57</f>
        <v>2936319.9008156708</v>
      </c>
      <c r="G58" s="90">
        <f>+'Proposed Rates'!O66/100</f>
        <v>0</v>
      </c>
      <c r="I58" s="212">
        <f t="shared" si="4"/>
        <v>0</v>
      </c>
      <c r="K58" s="212">
        <f t="shared" si="5"/>
        <v>78944.46998432884</v>
      </c>
      <c r="M58" s="212">
        <f>'Theoretical Reserve'!J986</f>
        <v>2.2975441032926631</v>
      </c>
      <c r="O58" s="212">
        <v>0</v>
      </c>
      <c r="Q58" s="234">
        <f>ROUND(+O58/D58,3)</f>
        <v>0</v>
      </c>
    </row>
    <row r="59" spans="1:17" x14ac:dyDescent="0.25">
      <c r="A59">
        <f>'Plant &amp; Reserve'!A59</f>
        <v>39800</v>
      </c>
      <c r="B59">
        <f>+'Plant &amp; Reserve'!A59</f>
        <v>39800</v>
      </c>
      <c r="C59" t="s">
        <v>33</v>
      </c>
      <c r="D59" s="212">
        <f>'Theoretical Reserve'!D1002</f>
        <v>749276.97410000011</v>
      </c>
      <c r="E59" s="212">
        <f>'Reserve Allocation'!N58</f>
        <v>211978.84817832068</v>
      </c>
      <c r="G59" s="90">
        <f>+'Proposed Rates'!O67/100</f>
        <v>0</v>
      </c>
      <c r="I59" s="212">
        <f t="shared" si="4"/>
        <v>0</v>
      </c>
      <c r="K59" s="212">
        <f t="shared" si="5"/>
        <v>537298.12592167943</v>
      </c>
      <c r="M59" s="212">
        <f>'Theoretical Reserve'!J1002</f>
        <v>16.570055378871142</v>
      </c>
      <c r="O59" s="212">
        <f>+K59/M59</f>
        <v>32425.849741383518</v>
      </c>
      <c r="Q59" s="234">
        <f>ROUND(+O59/D59,3)</f>
        <v>4.2999999999999997E-2</v>
      </c>
    </row>
    <row r="60" spans="1:17" x14ac:dyDescent="0.25">
      <c r="B60" t="s">
        <v>1229</v>
      </c>
      <c r="C60" t="s">
        <v>1249</v>
      </c>
      <c r="D60" s="236">
        <f>SUM(D46:D59)</f>
        <v>69795321.40079999</v>
      </c>
      <c r="E60" s="236">
        <f>SUM(E46:E59)</f>
        <v>32515786.128820304</v>
      </c>
      <c r="F60" s="253"/>
      <c r="G60" s="254"/>
      <c r="H60" s="236"/>
      <c r="I60" s="236">
        <f>SUM(I46:I59)</f>
        <v>5108391.5535000004</v>
      </c>
      <c r="J60" s="253"/>
      <c r="K60" s="236">
        <f>SUM(K46:K59)</f>
        <v>32171143.718479697</v>
      </c>
      <c r="L60" s="236">
        <f>SUM(L46:L59)</f>
        <v>0</v>
      </c>
      <c r="M60" s="254"/>
      <c r="N60" s="236" t="s">
        <v>1229</v>
      </c>
      <c r="O60" s="236">
        <f>SUM(O46:O59)</f>
        <v>4469320.3747683819</v>
      </c>
      <c r="P60" s="236">
        <f>SUM(P46:P59)</f>
        <v>0</v>
      </c>
      <c r="Q60" s="367" t="s">
        <v>1229</v>
      </c>
    </row>
    <row r="61" spans="1:17" x14ac:dyDescent="0.25">
      <c r="M61" s="212"/>
      <c r="Q61" s="234"/>
    </row>
    <row r="62" spans="1:17" x14ac:dyDescent="0.25">
      <c r="M62" s="212"/>
      <c r="Q62" s="234"/>
    </row>
    <row r="63" spans="1:17" x14ac:dyDescent="0.25">
      <c r="M63" s="212"/>
      <c r="Q63" s="234"/>
    </row>
    <row r="64" spans="1:17" x14ac:dyDescent="0.25">
      <c r="M64" s="212"/>
      <c r="Q64" s="234"/>
    </row>
    <row r="65" spans="1:17" x14ac:dyDescent="0.25">
      <c r="M65" s="212"/>
      <c r="Q65" s="234"/>
    </row>
    <row r="66" spans="1:17" x14ac:dyDescent="0.25">
      <c r="A66">
        <v>33600</v>
      </c>
      <c r="C66" s="77" t="s">
        <v>1270</v>
      </c>
      <c r="D66" s="257">
        <f>+'Theoretical Reserve'!D1005</f>
        <v>16109646.340000002</v>
      </c>
      <c r="E66" s="212">
        <f>+'Reserve Allocation'!N65</f>
        <v>515471.1447375</v>
      </c>
      <c r="F66" s="212">
        <f>+'Theoretical Reserve'!G1005</f>
        <v>0</v>
      </c>
      <c r="G66" s="90">
        <f>+Parameter!I55/100</f>
        <v>-0.05</v>
      </c>
      <c r="I66" s="212">
        <f>+D66*G66</f>
        <v>-805482.31700000016</v>
      </c>
      <c r="K66" s="212">
        <f>+D66-E66-I66</f>
        <v>16399657.512262501</v>
      </c>
      <c r="L66" s="212" t="e">
        <f>+'Theoretical Reserve'!#REF!</f>
        <v>#REF!</v>
      </c>
      <c r="M66" s="212">
        <f>'Theoretical Reserve'!J1005</f>
        <v>29.547744000000002</v>
      </c>
      <c r="N66" s="212"/>
      <c r="O66" s="212">
        <f t="shared" ref="O66:O68" si="7">+K66/M66</f>
        <v>555022.32293140551</v>
      </c>
      <c r="Q66" s="234">
        <f>ROUND(+O66/D66,3)</f>
        <v>3.4000000000000002E-2</v>
      </c>
    </row>
    <row r="67" spans="1:17" x14ac:dyDescent="0.25">
      <c r="A67">
        <v>33601</v>
      </c>
      <c r="C67" s="77" t="s">
        <v>1357</v>
      </c>
      <c r="D67" s="257">
        <f>'Theoretical Reserve'!$D$1015</f>
        <v>35668591.620000005</v>
      </c>
      <c r="E67" s="212">
        <v>1961772.5391000002</v>
      </c>
      <c r="F67" s="212"/>
      <c r="K67" s="212"/>
      <c r="L67" s="212"/>
      <c r="M67" s="212"/>
      <c r="N67" s="212"/>
      <c r="O67" s="212"/>
      <c r="Q67" s="234"/>
    </row>
    <row r="68" spans="1:17" x14ac:dyDescent="0.25">
      <c r="A68">
        <v>36400</v>
      </c>
      <c r="C68" s="77" t="s">
        <v>1271</v>
      </c>
      <c r="D68" s="257">
        <f>'Theoretical Reserve'!$D$1008</f>
        <v>1485380.05</v>
      </c>
      <c r="E68" s="212">
        <f>+'Reserve Allocation'!N67</f>
        <v>25561.084675000002</v>
      </c>
      <c r="F68" s="212">
        <f>+'Theoretical Reserve'!G1015</f>
        <v>0</v>
      </c>
      <c r="G68" s="90">
        <f>+Parameter!I57/100</f>
        <v>-0.05</v>
      </c>
      <c r="I68" s="212">
        <f>+D68*G68</f>
        <v>-74269.002500000002</v>
      </c>
      <c r="K68" s="212">
        <f>+D68-E68-I68</f>
        <v>1534087.9678249999</v>
      </c>
      <c r="L68" s="212" t="e">
        <f>+'Theoretical Reserve'!#REF!</f>
        <v>#REF!</v>
      </c>
      <c r="M68" s="212">
        <f>+'Theoretical Reserve'!J1008</f>
        <v>29.547744000000005</v>
      </c>
      <c r="N68" s="212"/>
      <c r="O68" s="212">
        <f t="shared" si="7"/>
        <v>51918.954212714161</v>
      </c>
      <c r="Q68" s="234">
        <f>ROUND(+O68/D68,3)</f>
        <v>3.5000000000000003E-2</v>
      </c>
    </row>
    <row r="69" spans="1:17" x14ac:dyDescent="0.25">
      <c r="D69" s="257"/>
      <c r="Q69" s="234"/>
    </row>
    <row r="70" spans="1:17" x14ac:dyDescent="0.25">
      <c r="D70" s="257"/>
      <c r="Q70" s="234"/>
    </row>
    <row r="71" spans="1:17" x14ac:dyDescent="0.25">
      <c r="C71" s="77" t="s">
        <v>1361</v>
      </c>
      <c r="D71" s="257">
        <f>+D66+D68+D60+D36+D16+D15</f>
        <v>3150844562.4208007</v>
      </c>
      <c r="E71" s="257">
        <f>+E66+E68+E60+E36+E16+E15+E67</f>
        <v>889076505.03173649</v>
      </c>
      <c r="F71" s="212">
        <f>+F66+F68+F60+F36+F16+F15</f>
        <v>0</v>
      </c>
      <c r="G71" s="212"/>
      <c r="J71" s="212"/>
      <c r="K71" s="212"/>
      <c r="L71" s="212"/>
      <c r="N71" s="212"/>
      <c r="O71" s="212"/>
      <c r="P71" s="212"/>
      <c r="Q71" s="234"/>
    </row>
    <row r="72" spans="1:17" x14ac:dyDescent="0.25">
      <c r="D72" s="257"/>
      <c r="E72" s="212"/>
    </row>
    <row r="73" spans="1:17" x14ac:dyDescent="0.25">
      <c r="D73" s="257"/>
      <c r="E73" s="212"/>
      <c r="K73" s="212">
        <f>+D53-E53-I53</f>
        <v>1117317.19472</v>
      </c>
      <c r="O73" s="212">
        <f>SUM(O60:O69)+O36+O16</f>
        <v>85280418.12063311</v>
      </c>
    </row>
    <row r="74" spans="1:17" x14ac:dyDescent="0.25">
      <c r="D74" s="257"/>
      <c r="E74" s="212"/>
    </row>
    <row r="75" spans="1:17" x14ac:dyDescent="0.25">
      <c r="A75">
        <v>30100</v>
      </c>
      <c r="C75" s="77" t="s">
        <v>1277</v>
      </c>
      <c r="D75" s="257">
        <v>12620.1</v>
      </c>
      <c r="E75" s="212"/>
    </row>
    <row r="76" spans="1:17" x14ac:dyDescent="0.25">
      <c r="A76">
        <v>37400</v>
      </c>
      <c r="C76" s="77" t="s">
        <v>1273</v>
      </c>
      <c r="D76" s="257">
        <v>16157149.27</v>
      </c>
      <c r="E76" s="212">
        <v>-60224.600000000413</v>
      </c>
    </row>
    <row r="77" spans="1:17" x14ac:dyDescent="0.25">
      <c r="A77">
        <v>11501</v>
      </c>
      <c r="B77" s="238" t="s">
        <v>1229</v>
      </c>
      <c r="C77" s="77" t="s">
        <v>1272</v>
      </c>
      <c r="D77" s="257">
        <v>5031897.24</v>
      </c>
      <c r="E77" s="212">
        <v>5028152.9800000004</v>
      </c>
      <c r="F77" s="212">
        <v>5031897.24</v>
      </c>
      <c r="G77" s="212"/>
      <c r="H77"/>
      <c r="I77"/>
      <c r="O77" s="90"/>
    </row>
    <row r="78" spans="1:17" x14ac:dyDescent="0.25">
      <c r="A78">
        <v>10500</v>
      </c>
      <c r="C78" s="77" t="s">
        <v>1276</v>
      </c>
      <c r="D78" s="258">
        <v>1939551.55</v>
      </c>
      <c r="E78" s="212"/>
    </row>
    <row r="79" spans="1:17" x14ac:dyDescent="0.25">
      <c r="A79">
        <v>33601</v>
      </c>
      <c r="C79" t="s">
        <v>1357</v>
      </c>
      <c r="D79" s="257">
        <f>'Theoretical Reserve'!D1015</f>
        <v>35668591.620000005</v>
      </c>
      <c r="E79" s="212">
        <f>+'Plant &amp; Reserve'!Q64</f>
        <v>1961772.5391000002</v>
      </c>
    </row>
    <row r="81" spans="3:7" x14ac:dyDescent="0.25">
      <c r="C81" s="77" t="s">
        <v>1275</v>
      </c>
      <c r="D81" s="257">
        <f>+D71+D75+D76+D77+D78+D79</f>
        <v>3209654372.2008004</v>
      </c>
      <c r="E81" s="257">
        <f>+E71+E75+E76+E77+E78+E79</f>
        <v>896006205.95083654</v>
      </c>
    </row>
    <row r="82" spans="3:7" x14ac:dyDescent="0.25">
      <c r="G82" s="212"/>
    </row>
    <row r="83" spans="3:7" x14ac:dyDescent="0.25">
      <c r="C83" s="77" t="s">
        <v>1274</v>
      </c>
      <c r="D83" s="212">
        <v>3209654372.1502409</v>
      </c>
      <c r="E83" s="4">
        <v>889076505.03173637</v>
      </c>
    </row>
    <row r="85" spans="3:7" x14ac:dyDescent="0.25">
      <c r="C85" s="77" t="s">
        <v>1239</v>
      </c>
      <c r="D85" s="212">
        <f>+D81-D83</f>
        <v>5.0559520721435547E-2</v>
      </c>
      <c r="E85" s="212">
        <f>+E81-E83</f>
        <v>6929700.9191001654</v>
      </c>
    </row>
  </sheetData>
  <sortState xmlns:xlrd2="http://schemas.microsoft.com/office/spreadsheetml/2017/richdata2" ref="A6:I1062">
    <sortCondition ref="B6:B1062"/>
  </sortState>
  <mergeCells count="4">
    <mergeCell ref="A2:Q2"/>
    <mergeCell ref="A4:Q4"/>
    <mergeCell ref="A5:Q5"/>
    <mergeCell ref="A6:Q6"/>
  </mergeCells>
  <pageMargins left="0.7" right="0.7" top="0.75" bottom="0.75" header="0.3" footer="0.3"/>
  <pageSetup orientation="portrait" r:id="rId1"/>
  <customProperties>
    <customPr name="EpmWorksheetKeyString_GUID" r:id="rId2"/>
  </customProperties>
  <ignoredErrors>
    <ignoredError sqref="Q50 Q56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B7CA3-A9CD-4855-AC33-89184C1E9093}">
  <dimension ref="A1:D1110"/>
  <sheetViews>
    <sheetView topLeftCell="A302" workbookViewId="0">
      <selection activeCell="G260" sqref="G260"/>
    </sheetView>
  </sheetViews>
  <sheetFormatPr defaultRowHeight="12.5" x14ac:dyDescent="0.25"/>
  <cols>
    <col min="1" max="1" width="27.1796875" customWidth="1"/>
    <col min="2" max="2" width="46.1796875" customWidth="1"/>
    <col min="3" max="3" width="16.453125" customWidth="1"/>
    <col min="4" max="4" width="15.26953125" customWidth="1"/>
  </cols>
  <sheetData>
    <row r="1" spans="1:4" x14ac:dyDescent="0.25">
      <c r="A1" s="379" t="s">
        <v>1279</v>
      </c>
      <c r="B1" s="380"/>
      <c r="C1" s="380"/>
      <c r="D1" s="381"/>
    </row>
    <row r="2" spans="1:4" x14ac:dyDescent="0.25">
      <c r="A2" s="379" t="s">
        <v>1280</v>
      </c>
      <c r="B2" s="380"/>
      <c r="C2" s="380"/>
      <c r="D2" s="381"/>
    </row>
    <row r="3" spans="1:4" x14ac:dyDescent="0.25">
      <c r="A3" s="373" t="s">
        <v>1281</v>
      </c>
      <c r="B3" s="374"/>
      <c r="C3" s="374"/>
      <c r="D3" s="375"/>
    </row>
    <row r="4" spans="1:4" x14ac:dyDescent="0.25">
      <c r="A4" s="376" t="s">
        <v>1282</v>
      </c>
      <c r="B4" s="377"/>
      <c r="C4" s="377"/>
      <c r="D4" s="378"/>
    </row>
    <row r="5" spans="1:4" x14ac:dyDescent="0.25">
      <c r="A5" s="265" t="s">
        <v>1283</v>
      </c>
      <c r="B5" s="265" t="s">
        <v>1284</v>
      </c>
      <c r="C5" s="265">
        <v>2024</v>
      </c>
      <c r="D5" s="265" t="s">
        <v>1266</v>
      </c>
    </row>
    <row r="6" spans="1:4" x14ac:dyDescent="0.25">
      <c r="A6" s="266"/>
      <c r="B6" s="266"/>
      <c r="C6" s="266"/>
      <c r="D6" s="266"/>
    </row>
    <row r="7" spans="1:4" x14ac:dyDescent="0.25">
      <c r="A7" s="266" t="s">
        <v>1285</v>
      </c>
      <c r="B7" s="267">
        <v>0</v>
      </c>
      <c r="C7" s="268">
        <f>'Plant &amp; Reserve'!$E$46</f>
        <v>0</v>
      </c>
      <c r="D7" s="268">
        <f>+C7-B7</f>
        <v>0</v>
      </c>
    </row>
    <row r="8" spans="1:4" x14ac:dyDescent="0.25">
      <c r="A8" s="266"/>
      <c r="B8" s="266"/>
      <c r="C8" s="269"/>
      <c r="D8" s="269"/>
    </row>
    <row r="9" spans="1:4" x14ac:dyDescent="0.25">
      <c r="A9" s="266" t="s">
        <v>1286</v>
      </c>
      <c r="B9" s="265" t="s">
        <v>652</v>
      </c>
      <c r="C9" s="265" t="s">
        <v>652</v>
      </c>
      <c r="D9" s="269"/>
    </row>
    <row r="10" spans="1:4" x14ac:dyDescent="0.25">
      <c r="A10" s="266" t="s">
        <v>79</v>
      </c>
      <c r="B10" s="265">
        <v>25</v>
      </c>
      <c r="C10" s="265">
        <v>25</v>
      </c>
      <c r="D10" s="270">
        <f>+C10-B10</f>
        <v>0</v>
      </c>
    </row>
    <row r="11" spans="1:4" x14ac:dyDescent="0.25">
      <c r="A11" s="266"/>
      <c r="B11" s="265"/>
      <c r="C11" s="269"/>
      <c r="D11" s="269"/>
    </row>
    <row r="12" spans="1:4" x14ac:dyDescent="0.25">
      <c r="A12" s="266" t="s">
        <v>1287</v>
      </c>
      <c r="B12" s="271">
        <v>0</v>
      </c>
      <c r="C12" s="271">
        <v>0</v>
      </c>
      <c r="D12" s="272">
        <f t="shared" ref="D12:D14" si="0">+C12-B12</f>
        <v>0</v>
      </c>
    </row>
    <row r="13" spans="1:4" x14ac:dyDescent="0.25">
      <c r="A13" s="266" t="s">
        <v>1288</v>
      </c>
      <c r="B13" s="271">
        <v>0</v>
      </c>
      <c r="C13" s="271">
        <v>0</v>
      </c>
      <c r="D13" s="272">
        <f t="shared" si="0"/>
        <v>0</v>
      </c>
    </row>
    <row r="14" spans="1:4" x14ac:dyDescent="0.25">
      <c r="A14" s="266" t="s">
        <v>1289</v>
      </c>
      <c r="B14" s="271">
        <f>+B13-B12</f>
        <v>0</v>
      </c>
      <c r="C14" s="271">
        <f>+C13-C12</f>
        <v>0</v>
      </c>
      <c r="D14" s="272">
        <f t="shared" si="0"/>
        <v>0</v>
      </c>
    </row>
    <row r="15" spans="1:4" x14ac:dyDescent="0.25">
      <c r="A15" s="266"/>
      <c r="B15" s="266"/>
      <c r="C15" s="266"/>
      <c r="D15" s="269"/>
    </row>
    <row r="16" spans="1:4" x14ac:dyDescent="0.25">
      <c r="A16" s="266" t="s">
        <v>50</v>
      </c>
      <c r="B16" s="273" t="s">
        <v>651</v>
      </c>
      <c r="C16" s="274">
        <v>0</v>
      </c>
      <c r="D16" s="269"/>
    </row>
    <row r="17" spans="1:4" x14ac:dyDescent="0.25">
      <c r="A17" s="266"/>
      <c r="B17" s="266"/>
      <c r="C17" s="266"/>
      <c r="D17" s="269"/>
    </row>
    <row r="18" spans="1:4" x14ac:dyDescent="0.25">
      <c r="A18" s="266" t="s">
        <v>1290</v>
      </c>
      <c r="B18" s="275">
        <v>0</v>
      </c>
      <c r="C18" s="275">
        <v>0</v>
      </c>
      <c r="D18" s="276">
        <f t="shared" ref="D18:D20" si="1">+C18-B18</f>
        <v>0</v>
      </c>
    </row>
    <row r="19" spans="1:4" x14ac:dyDescent="0.25">
      <c r="A19" s="266" t="s">
        <v>1291</v>
      </c>
      <c r="B19" s="275">
        <v>0</v>
      </c>
      <c r="C19" s="275">
        <v>0</v>
      </c>
      <c r="D19" s="276">
        <f t="shared" si="1"/>
        <v>0</v>
      </c>
    </row>
    <row r="20" spans="1:4" x14ac:dyDescent="0.25">
      <c r="A20" s="266" t="s">
        <v>1292</v>
      </c>
      <c r="B20" s="275">
        <f>+B18-B19</f>
        <v>0</v>
      </c>
      <c r="C20" s="275">
        <f>+C18-C19</f>
        <v>0</v>
      </c>
      <c r="D20" s="276">
        <f t="shared" si="1"/>
        <v>0</v>
      </c>
    </row>
    <row r="21" spans="1:4" x14ac:dyDescent="0.25">
      <c r="A21" s="266"/>
      <c r="B21" s="266"/>
      <c r="C21" s="266"/>
      <c r="D21" s="269"/>
    </row>
    <row r="22" spans="1:4" x14ac:dyDescent="0.25">
      <c r="A22" s="266" t="s">
        <v>1293</v>
      </c>
      <c r="B22" s="274">
        <v>0.04</v>
      </c>
      <c r="C22" s="274">
        <v>0.04</v>
      </c>
      <c r="D22" s="273">
        <f t="shared" ref="D22:D23" si="2">+C22-B22</f>
        <v>0</v>
      </c>
    </row>
    <row r="23" spans="1:4" x14ac:dyDescent="0.25">
      <c r="A23" s="266" t="s">
        <v>1294</v>
      </c>
      <c r="B23" s="267">
        <f>+B7/B22</f>
        <v>0</v>
      </c>
      <c r="C23" s="267">
        <f>+C7*C22</f>
        <v>0</v>
      </c>
      <c r="D23" s="272">
        <f t="shared" si="2"/>
        <v>0</v>
      </c>
    </row>
    <row r="24" spans="1:4" x14ac:dyDescent="0.25">
      <c r="A24" s="266"/>
      <c r="B24" s="266"/>
      <c r="C24" s="266"/>
      <c r="D24" s="269"/>
    </row>
    <row r="25" spans="1:4" x14ac:dyDescent="0.25">
      <c r="A25" s="266" t="s">
        <v>48</v>
      </c>
      <c r="B25" s="277">
        <v>25</v>
      </c>
      <c r="C25" s="278">
        <v>25</v>
      </c>
      <c r="D25" s="277">
        <f t="shared" ref="D25:D27" si="3">+C25-B25</f>
        <v>0</v>
      </c>
    </row>
    <row r="26" spans="1:4" x14ac:dyDescent="0.25">
      <c r="A26" s="266" t="s">
        <v>1295</v>
      </c>
      <c r="B26" s="274">
        <v>0.04</v>
      </c>
      <c r="C26" s="274">
        <v>0.04</v>
      </c>
      <c r="D26" s="273">
        <f t="shared" si="3"/>
        <v>0</v>
      </c>
    </row>
    <row r="27" spans="1:4" x14ac:dyDescent="0.25">
      <c r="A27" s="266" t="s">
        <v>1296</v>
      </c>
      <c r="B27" s="267">
        <v>0</v>
      </c>
      <c r="C27" s="267">
        <f>+C26*C7</f>
        <v>0</v>
      </c>
      <c r="D27" s="272">
        <f t="shared" si="3"/>
        <v>0</v>
      </c>
    </row>
    <row r="33" spans="1:4" x14ac:dyDescent="0.25">
      <c r="A33" s="379" t="s">
        <v>1279</v>
      </c>
      <c r="B33" s="380"/>
      <c r="C33" s="380"/>
      <c r="D33" s="381"/>
    </row>
    <row r="34" spans="1:4" x14ac:dyDescent="0.25">
      <c r="A34" s="379" t="s">
        <v>1280</v>
      </c>
      <c r="B34" s="380"/>
      <c r="C34" s="380"/>
      <c r="D34" s="381"/>
    </row>
    <row r="35" spans="1:4" x14ac:dyDescent="0.25">
      <c r="A35" s="373" t="s">
        <v>1297</v>
      </c>
      <c r="B35" s="374"/>
      <c r="C35" s="374"/>
      <c r="D35" s="375"/>
    </row>
    <row r="36" spans="1:4" x14ac:dyDescent="0.25">
      <c r="A36" s="376" t="s">
        <v>1298</v>
      </c>
      <c r="B36" s="377"/>
      <c r="C36" s="377"/>
      <c r="D36" s="378"/>
    </row>
    <row r="37" spans="1:4" x14ac:dyDescent="0.25">
      <c r="A37" s="265" t="s">
        <v>1283</v>
      </c>
      <c r="B37" s="265" t="s">
        <v>1284</v>
      </c>
      <c r="C37" s="265">
        <v>2024</v>
      </c>
      <c r="D37" s="265" t="s">
        <v>1266</v>
      </c>
    </row>
    <row r="38" spans="1:4" x14ac:dyDescent="0.25">
      <c r="A38" s="266"/>
      <c r="B38" s="266"/>
      <c r="C38" s="266"/>
      <c r="D38" s="266"/>
    </row>
    <row r="39" spans="1:4" x14ac:dyDescent="0.25">
      <c r="A39" s="266" t="s">
        <v>1285</v>
      </c>
      <c r="B39" s="267">
        <v>815325.07000000007</v>
      </c>
      <c r="C39" s="268">
        <f>+'Rate Computation'!D15</f>
        <v>815325.07000000007</v>
      </c>
      <c r="D39" s="268">
        <f>+C39-B39</f>
        <v>0</v>
      </c>
    </row>
    <row r="40" spans="1:4" x14ac:dyDescent="0.25">
      <c r="A40" s="266"/>
      <c r="B40" s="266"/>
      <c r="C40" s="269"/>
      <c r="D40" s="269"/>
    </row>
    <row r="41" spans="1:4" x14ac:dyDescent="0.25">
      <c r="A41" s="266" t="s">
        <v>1286</v>
      </c>
      <c r="B41" s="265" t="s">
        <v>652</v>
      </c>
      <c r="C41" s="265" t="str">
        <f>+Parameter!H40</f>
        <v>SQ</v>
      </c>
      <c r="D41" s="269"/>
    </row>
    <row r="42" spans="1:4" x14ac:dyDescent="0.25">
      <c r="A42" s="266" t="s">
        <v>79</v>
      </c>
      <c r="B42" s="265">
        <v>25</v>
      </c>
      <c r="C42" s="265">
        <f>+Parameter!G40</f>
        <v>25</v>
      </c>
      <c r="D42" s="270">
        <f>+C42-B42</f>
        <v>0</v>
      </c>
    </row>
    <row r="43" spans="1:4" x14ac:dyDescent="0.25">
      <c r="A43" s="266"/>
      <c r="B43" s="265"/>
      <c r="C43" s="269"/>
      <c r="D43" s="269"/>
    </row>
    <row r="44" spans="1:4" x14ac:dyDescent="0.25">
      <c r="A44" s="266" t="s">
        <v>1287</v>
      </c>
      <c r="B44" s="271">
        <v>798046.98460000008</v>
      </c>
      <c r="C44" s="271">
        <f>+'Theoretical Reserve'!H5</f>
        <v>815325.07000000007</v>
      </c>
      <c r="D44" s="272">
        <f t="shared" ref="D44:D46" si="4">+C44-B44</f>
        <v>17278.085399999982</v>
      </c>
    </row>
    <row r="45" spans="1:4" x14ac:dyDescent="0.25">
      <c r="A45" s="266" t="s">
        <v>1288</v>
      </c>
      <c r="B45" s="271">
        <v>831067</v>
      </c>
      <c r="C45" s="271">
        <f>+'Rate Computation'!E15</f>
        <v>815325.0699999989</v>
      </c>
      <c r="D45" s="272">
        <f t="shared" si="4"/>
        <v>-15741.930000001099</v>
      </c>
    </row>
    <row r="46" spans="1:4" x14ac:dyDescent="0.25">
      <c r="A46" s="266" t="s">
        <v>1289</v>
      </c>
      <c r="B46" s="271">
        <f>+B45-B44</f>
        <v>33020.015399999917</v>
      </c>
      <c r="C46" s="271">
        <f>+C45-C44</f>
        <v>-1.1641532182693481E-9</v>
      </c>
      <c r="D46" s="272">
        <f t="shared" si="4"/>
        <v>-33020.015400001081</v>
      </c>
    </row>
    <row r="47" spans="1:4" x14ac:dyDescent="0.25">
      <c r="A47" s="266"/>
      <c r="B47" s="266"/>
      <c r="C47" s="266"/>
      <c r="D47" s="269"/>
    </row>
    <row r="48" spans="1:4" x14ac:dyDescent="0.25">
      <c r="A48" s="266" t="s">
        <v>50</v>
      </c>
      <c r="B48" s="274">
        <f>+B45/B39</f>
        <v>1.019307550545453</v>
      </c>
      <c r="C48" s="274">
        <f>+C45/C39</f>
        <v>0.99999999999999856</v>
      </c>
      <c r="D48" s="269"/>
    </row>
    <row r="49" spans="1:4" x14ac:dyDescent="0.25">
      <c r="A49" s="266"/>
      <c r="B49" s="266"/>
      <c r="C49" s="266"/>
      <c r="D49" s="269"/>
    </row>
    <row r="50" spans="1:4" x14ac:dyDescent="0.25">
      <c r="A50" s="266" t="s">
        <v>1290</v>
      </c>
      <c r="B50" s="275">
        <v>0</v>
      </c>
      <c r="C50" s="275">
        <v>0</v>
      </c>
      <c r="D50" s="276">
        <f t="shared" ref="D50:D52" si="5">+C50-B50</f>
        <v>0</v>
      </c>
    </row>
    <row r="51" spans="1:4" x14ac:dyDescent="0.25">
      <c r="A51" s="266" t="s">
        <v>1291</v>
      </c>
      <c r="B51" s="275">
        <v>0</v>
      </c>
      <c r="C51" s="275">
        <f>+Parameter!I40/100</f>
        <v>0</v>
      </c>
      <c r="D51" s="276">
        <f t="shared" si="5"/>
        <v>0</v>
      </c>
    </row>
    <row r="52" spans="1:4" x14ac:dyDescent="0.25">
      <c r="A52" s="266" t="s">
        <v>1292</v>
      </c>
      <c r="B52" s="275">
        <f>+B50-B51</f>
        <v>0</v>
      </c>
      <c r="C52" s="275">
        <f>+C50-C51</f>
        <v>0</v>
      </c>
      <c r="D52" s="276">
        <f t="shared" si="5"/>
        <v>0</v>
      </c>
    </row>
    <row r="53" spans="1:4" x14ac:dyDescent="0.25">
      <c r="A53" s="266"/>
      <c r="B53" s="266"/>
      <c r="C53" s="266"/>
      <c r="D53" s="269"/>
    </row>
    <row r="54" spans="1:4" x14ac:dyDescent="0.25">
      <c r="A54" s="266" t="s">
        <v>1293</v>
      </c>
      <c r="B54" s="274">
        <v>0.04</v>
      </c>
      <c r="C54" s="274">
        <f>ROUND((1-C52)/C42,3)</f>
        <v>0.04</v>
      </c>
      <c r="D54" s="273">
        <f t="shared" ref="D54:D55" si="6">+C54-B54</f>
        <v>0</v>
      </c>
    </row>
    <row r="55" spans="1:4" x14ac:dyDescent="0.25">
      <c r="A55" s="266" t="s">
        <v>1294</v>
      </c>
      <c r="B55" s="267">
        <v>0</v>
      </c>
      <c r="C55" s="267">
        <v>0</v>
      </c>
      <c r="D55" s="272">
        <f t="shared" si="6"/>
        <v>0</v>
      </c>
    </row>
    <row r="56" spans="1:4" x14ac:dyDescent="0.25">
      <c r="A56" s="266"/>
      <c r="B56" s="266"/>
      <c r="C56" s="266"/>
      <c r="D56" s="269"/>
    </row>
    <row r="57" spans="1:4" x14ac:dyDescent="0.25">
      <c r="A57" s="266" t="s">
        <v>48</v>
      </c>
      <c r="B57" s="278">
        <v>0.52979130765597582</v>
      </c>
      <c r="C57" s="278">
        <v>0</v>
      </c>
      <c r="D57" s="277">
        <f t="shared" ref="D57:D59" si="7">+C57-B57</f>
        <v>-0.52979130765597582</v>
      </c>
    </row>
    <row r="58" spans="1:4" x14ac:dyDescent="0.25">
      <c r="A58" s="266" t="s">
        <v>1295</v>
      </c>
      <c r="B58" s="274">
        <v>0</v>
      </c>
      <c r="C58" s="274">
        <f>+'Rate Computation'!Q15</f>
        <v>0</v>
      </c>
      <c r="D58" s="273">
        <f t="shared" si="7"/>
        <v>0</v>
      </c>
    </row>
    <row r="59" spans="1:4" x14ac:dyDescent="0.25">
      <c r="A59" s="266" t="s">
        <v>1296</v>
      </c>
      <c r="B59" s="267">
        <v>0</v>
      </c>
      <c r="C59" s="267">
        <f>+C58*C39</f>
        <v>0</v>
      </c>
      <c r="D59" s="272">
        <f t="shared" si="7"/>
        <v>0</v>
      </c>
    </row>
    <row r="60" spans="1:4" x14ac:dyDescent="0.25">
      <c r="A60" s="280" t="s">
        <v>1352</v>
      </c>
      <c r="C60" s="90">
        <v>0.04</v>
      </c>
    </row>
    <row r="63" spans="1:4" x14ac:dyDescent="0.25">
      <c r="A63" s="379" t="s">
        <v>1279</v>
      </c>
      <c r="B63" s="380"/>
      <c r="C63" s="380"/>
      <c r="D63" s="381"/>
    </row>
    <row r="64" spans="1:4" x14ac:dyDescent="0.25">
      <c r="A64" s="379" t="s">
        <v>1280</v>
      </c>
      <c r="B64" s="380"/>
      <c r="C64" s="380"/>
      <c r="D64" s="381"/>
    </row>
    <row r="65" spans="1:4" x14ac:dyDescent="0.25">
      <c r="A65" s="373" t="s">
        <v>1299</v>
      </c>
      <c r="B65" s="374"/>
      <c r="C65" s="374"/>
      <c r="D65" s="375"/>
    </row>
    <row r="66" spans="1:4" x14ac:dyDescent="0.25">
      <c r="A66" s="376" t="s">
        <v>92</v>
      </c>
      <c r="B66" s="377"/>
      <c r="C66" s="377"/>
      <c r="D66" s="378"/>
    </row>
    <row r="67" spans="1:4" x14ac:dyDescent="0.25">
      <c r="A67" s="265" t="s">
        <v>1283</v>
      </c>
      <c r="B67" s="265" t="s">
        <v>1284</v>
      </c>
      <c r="C67" s="265">
        <v>2024</v>
      </c>
      <c r="D67" s="265" t="s">
        <v>1266</v>
      </c>
    </row>
    <row r="68" spans="1:4" x14ac:dyDescent="0.25">
      <c r="A68" s="266"/>
      <c r="B68" s="266"/>
      <c r="C68" s="266"/>
      <c r="D68" s="266"/>
    </row>
    <row r="69" spans="1:4" x14ac:dyDescent="0.25">
      <c r="A69" s="266" t="s">
        <v>1285</v>
      </c>
      <c r="B69" s="267">
        <v>48733613.219999991</v>
      </c>
      <c r="C69" s="268">
        <f>+'Rate Computation'!D16</f>
        <v>110526643.99000001</v>
      </c>
      <c r="D69" s="268">
        <f>+C69-B69</f>
        <v>61793030.770000018</v>
      </c>
    </row>
    <row r="70" spans="1:4" x14ac:dyDescent="0.25">
      <c r="A70" s="266"/>
      <c r="B70" s="266"/>
      <c r="C70" s="269"/>
      <c r="D70" s="269"/>
    </row>
    <row r="71" spans="1:4" x14ac:dyDescent="0.25">
      <c r="A71" s="266" t="s">
        <v>1286</v>
      </c>
      <c r="B71" s="265" t="s">
        <v>652</v>
      </c>
      <c r="C71" s="265" t="str">
        <f>+Parameter!H42</f>
        <v>SQ</v>
      </c>
      <c r="D71" s="269"/>
    </row>
    <row r="72" spans="1:4" x14ac:dyDescent="0.25">
      <c r="A72" s="266" t="s">
        <v>79</v>
      </c>
      <c r="B72" s="265">
        <v>15</v>
      </c>
      <c r="C72" s="265">
        <f>+Parameter!G42</f>
        <v>15</v>
      </c>
      <c r="D72" s="270">
        <f>+C72-B72</f>
        <v>0</v>
      </c>
    </row>
    <row r="73" spans="1:4" x14ac:dyDescent="0.25">
      <c r="A73" s="266"/>
      <c r="B73" s="265"/>
      <c r="C73" s="269"/>
      <c r="D73" s="269"/>
    </row>
    <row r="74" spans="1:4" x14ac:dyDescent="0.25">
      <c r="A74" s="266" t="s">
        <v>1287</v>
      </c>
      <c r="B74" s="271">
        <v>17305690.465666667</v>
      </c>
      <c r="C74" s="271">
        <f>+'Theoretical Reserve'!H28</f>
        <v>29628972.286000002</v>
      </c>
      <c r="D74" s="272">
        <f t="shared" ref="D74:D76" si="8">+C74-B74</f>
        <v>12323281.820333336</v>
      </c>
    </row>
    <row r="75" spans="1:4" x14ac:dyDescent="0.25">
      <c r="A75" s="266" t="s">
        <v>1288</v>
      </c>
      <c r="B75" s="271">
        <v>17780899.59</v>
      </c>
      <c r="C75" s="271">
        <f>+'Rate Computation'!E16</f>
        <v>30148268.771823499</v>
      </c>
      <c r="D75" s="272">
        <f t="shared" si="8"/>
        <v>12367369.1818235</v>
      </c>
    </row>
    <row r="76" spans="1:4" x14ac:dyDescent="0.25">
      <c r="A76" s="266" t="s">
        <v>1289</v>
      </c>
      <c r="B76" s="271">
        <f>+B75-B74</f>
        <v>475209.12433333322</v>
      </c>
      <c r="C76" s="271">
        <f>+C75-C74</f>
        <v>519296.48582349718</v>
      </c>
      <c r="D76" s="272">
        <f t="shared" si="8"/>
        <v>44087.361490163952</v>
      </c>
    </row>
    <row r="77" spans="1:4" x14ac:dyDescent="0.25">
      <c r="A77" s="266"/>
      <c r="B77" s="266"/>
      <c r="C77" s="266"/>
      <c r="D77" s="269"/>
    </row>
    <row r="78" spans="1:4" x14ac:dyDescent="0.25">
      <c r="A78" s="266" t="s">
        <v>50</v>
      </c>
      <c r="B78" s="274">
        <f>+B75/B69</f>
        <v>0.36485904522882417</v>
      </c>
      <c r="C78" s="274">
        <f>+C75/C69</f>
        <v>0.27276924082261278</v>
      </c>
      <c r="D78" s="269"/>
    </row>
    <row r="79" spans="1:4" x14ac:dyDescent="0.25">
      <c r="A79" s="266"/>
      <c r="B79" s="266"/>
      <c r="C79" s="266"/>
      <c r="D79" s="269"/>
    </row>
    <row r="80" spans="1:4" x14ac:dyDescent="0.25">
      <c r="A80" s="266" t="s">
        <v>1290</v>
      </c>
      <c r="B80" s="275">
        <v>0</v>
      </c>
      <c r="C80" s="275">
        <v>0</v>
      </c>
      <c r="D80" s="276">
        <f t="shared" ref="D80:D82" si="9">+C80-B80</f>
        <v>0</v>
      </c>
    </row>
    <row r="81" spans="1:4" x14ac:dyDescent="0.25">
      <c r="A81" s="266" t="s">
        <v>1291</v>
      </c>
      <c r="B81" s="275">
        <v>0</v>
      </c>
      <c r="C81" s="275">
        <f>+Parameter!I41/100</f>
        <v>0</v>
      </c>
      <c r="D81" s="276">
        <f t="shared" si="9"/>
        <v>0</v>
      </c>
    </row>
    <row r="82" spans="1:4" x14ac:dyDescent="0.25">
      <c r="A82" s="266" t="s">
        <v>1292</v>
      </c>
      <c r="B82" s="275">
        <f>+B80-B81</f>
        <v>0</v>
      </c>
      <c r="C82" s="275">
        <f>+C80-C81</f>
        <v>0</v>
      </c>
      <c r="D82" s="276">
        <f t="shared" si="9"/>
        <v>0</v>
      </c>
    </row>
    <row r="83" spans="1:4" x14ac:dyDescent="0.25">
      <c r="A83" s="266"/>
      <c r="B83" s="266"/>
      <c r="C83" s="266"/>
      <c r="D83" s="269"/>
    </row>
    <row r="84" spans="1:4" x14ac:dyDescent="0.25">
      <c r="A84" s="266" t="s">
        <v>1293</v>
      </c>
      <c r="B84" s="274">
        <v>6.7000000000000004E-2</v>
      </c>
      <c r="C84" s="274">
        <f>ROUND((1-C82)/C72,3)</f>
        <v>6.7000000000000004E-2</v>
      </c>
      <c r="D84" s="273">
        <f t="shared" ref="D84:D85" si="10">+C84-B84</f>
        <v>0</v>
      </c>
    </row>
    <row r="85" spans="1:4" x14ac:dyDescent="0.25">
      <c r="A85" s="266" t="s">
        <v>1294</v>
      </c>
      <c r="B85" s="267">
        <f>+B84*B69</f>
        <v>3265152.0857399995</v>
      </c>
      <c r="C85" s="267">
        <f>+C84*C69</f>
        <v>7405285.147330001</v>
      </c>
      <c r="D85" s="272">
        <f t="shared" si="10"/>
        <v>4140133.0615900015</v>
      </c>
    </row>
    <row r="86" spans="1:4" x14ac:dyDescent="0.25">
      <c r="A86" s="266"/>
      <c r="B86" s="266"/>
      <c r="C86" s="266"/>
      <c r="D86" s="269"/>
    </row>
    <row r="87" spans="1:4" x14ac:dyDescent="0.25">
      <c r="A87" s="266" t="s">
        <v>48</v>
      </c>
      <c r="B87" s="278">
        <v>9.6733816798450025</v>
      </c>
      <c r="C87" s="278">
        <f>+'Rate Computation'!M16</f>
        <v>10.978937130035263</v>
      </c>
      <c r="D87" s="277">
        <f t="shared" ref="D87:D89" si="11">+C87-B87</f>
        <v>1.3055554501902602</v>
      </c>
    </row>
    <row r="88" spans="1:4" x14ac:dyDescent="0.25">
      <c r="A88" s="266" t="s">
        <v>1295</v>
      </c>
      <c r="B88" s="274">
        <v>6.6000000000000003E-2</v>
      </c>
      <c r="C88" s="274">
        <f>+'Rate Computation'!Q16</f>
        <v>6.6000000000000003E-2</v>
      </c>
      <c r="D88" s="273">
        <f t="shared" si="11"/>
        <v>0</v>
      </c>
    </row>
    <row r="89" spans="1:4" x14ac:dyDescent="0.25">
      <c r="A89" s="266" t="s">
        <v>1296</v>
      </c>
      <c r="B89" s="267">
        <v>6682845</v>
      </c>
      <c r="C89" s="267">
        <v>6682845</v>
      </c>
      <c r="D89" s="272">
        <f t="shared" si="11"/>
        <v>0</v>
      </c>
    </row>
    <row r="94" spans="1:4" x14ac:dyDescent="0.25">
      <c r="A94" s="379" t="s">
        <v>1279</v>
      </c>
      <c r="B94" s="380"/>
      <c r="C94" s="380"/>
      <c r="D94" s="381"/>
    </row>
    <row r="95" spans="1:4" x14ac:dyDescent="0.25">
      <c r="A95" s="379" t="s">
        <v>1280</v>
      </c>
      <c r="B95" s="380"/>
      <c r="C95" s="380"/>
      <c r="D95" s="381"/>
    </row>
    <row r="96" spans="1:4" x14ac:dyDescent="0.25">
      <c r="A96" s="373" t="s">
        <v>1300</v>
      </c>
      <c r="B96" s="374"/>
      <c r="C96" s="374"/>
      <c r="D96" s="375"/>
    </row>
    <row r="97" spans="1:4" x14ac:dyDescent="0.25">
      <c r="A97" s="376" t="s">
        <v>646</v>
      </c>
      <c r="B97" s="377"/>
      <c r="C97" s="377"/>
      <c r="D97" s="378"/>
    </row>
    <row r="98" spans="1:4" x14ac:dyDescent="0.25">
      <c r="A98" s="265" t="s">
        <v>1283</v>
      </c>
      <c r="B98" s="265" t="s">
        <v>1284</v>
      </c>
      <c r="C98" s="265">
        <v>2024</v>
      </c>
      <c r="D98" s="265" t="s">
        <v>1266</v>
      </c>
    </row>
    <row r="99" spans="1:4" x14ac:dyDescent="0.25">
      <c r="A99" s="266"/>
      <c r="B99" s="266"/>
      <c r="C99" s="266"/>
      <c r="D99" s="266"/>
    </row>
    <row r="100" spans="1:4" x14ac:dyDescent="0.25">
      <c r="A100" s="266" t="s">
        <v>1285</v>
      </c>
      <c r="B100" s="267">
        <v>4268872.5500000007</v>
      </c>
      <c r="C100" s="268">
        <f>'Rate Computation'!$D$21</f>
        <v>4268872.66</v>
      </c>
      <c r="D100" s="268">
        <f>+C100-B100</f>
        <v>0.10999999940395355</v>
      </c>
    </row>
    <row r="101" spans="1:4" x14ac:dyDescent="0.25">
      <c r="A101" s="266"/>
      <c r="B101" s="266"/>
      <c r="C101" s="269"/>
      <c r="D101" s="269"/>
    </row>
    <row r="102" spans="1:4" x14ac:dyDescent="0.25">
      <c r="A102" s="266" t="s">
        <v>1286</v>
      </c>
      <c r="B102" s="265" t="s">
        <v>652</v>
      </c>
      <c r="C102" s="265" t="str">
        <f>+Parameter!H15</f>
        <v>SQ</v>
      </c>
      <c r="D102" s="269"/>
    </row>
    <row r="103" spans="1:4" x14ac:dyDescent="0.25">
      <c r="A103" s="266" t="s">
        <v>79</v>
      </c>
      <c r="B103" s="265">
        <v>75</v>
      </c>
      <c r="C103" s="265">
        <f>+Parameter!G15</f>
        <v>75</v>
      </c>
      <c r="D103" s="270">
        <f>+C103-B103</f>
        <v>0</v>
      </c>
    </row>
    <row r="104" spans="1:4" x14ac:dyDescent="0.25">
      <c r="A104" s="266"/>
      <c r="B104" s="265"/>
      <c r="C104" s="269"/>
      <c r="D104" s="269"/>
    </row>
    <row r="105" spans="1:4" x14ac:dyDescent="0.25">
      <c r="A105" s="266" t="s">
        <v>1287</v>
      </c>
      <c r="B105" s="271">
        <v>861685.87193333334</v>
      </c>
      <c r="C105" s="271">
        <f>+'Theoretical Reserve'!H66</f>
        <v>1032440.8083999999</v>
      </c>
      <c r="D105" s="272">
        <f t="shared" ref="D105:D107" si="12">+C105-B105</f>
        <v>170754.93646666652</v>
      </c>
    </row>
    <row r="106" spans="1:4" x14ac:dyDescent="0.25">
      <c r="A106" s="266" t="s">
        <v>1288</v>
      </c>
      <c r="B106" s="271">
        <v>928143.68</v>
      </c>
      <c r="C106" s="271">
        <f>+'Rate Computation'!E21</f>
        <v>1080752.3138336299</v>
      </c>
      <c r="D106" s="272">
        <f t="shared" si="12"/>
        <v>152608.63383362989</v>
      </c>
    </row>
    <row r="107" spans="1:4" x14ac:dyDescent="0.25">
      <c r="A107" s="266" t="s">
        <v>1289</v>
      </c>
      <c r="B107" s="271">
        <f>+B106-B105</f>
        <v>66457.808066666708</v>
      </c>
      <c r="C107" s="271">
        <f>+C106-C105</f>
        <v>48311.505433630082</v>
      </c>
      <c r="D107" s="272">
        <f t="shared" si="12"/>
        <v>-18146.302633036627</v>
      </c>
    </row>
    <row r="108" spans="1:4" x14ac:dyDescent="0.25">
      <c r="A108" s="266"/>
      <c r="B108" s="266"/>
      <c r="C108" s="266"/>
      <c r="D108" s="269"/>
    </row>
    <row r="109" spans="1:4" x14ac:dyDescent="0.25">
      <c r="A109" s="266" t="s">
        <v>50</v>
      </c>
      <c r="B109" s="274">
        <f>+B106/B100</f>
        <v>0.21742126735547537</v>
      </c>
      <c r="C109" s="274">
        <f>+C106/C100</f>
        <v>0.25317042692803815</v>
      </c>
      <c r="D109" s="269"/>
    </row>
    <row r="110" spans="1:4" x14ac:dyDescent="0.25">
      <c r="A110" s="266"/>
      <c r="B110" s="266"/>
      <c r="C110" s="266"/>
      <c r="D110" s="269"/>
    </row>
    <row r="111" spans="1:4" x14ac:dyDescent="0.25">
      <c r="A111" s="266" t="s">
        <v>1290</v>
      </c>
      <c r="B111" s="275">
        <v>0</v>
      </c>
      <c r="C111" s="275">
        <v>0</v>
      </c>
      <c r="D111" s="276">
        <f t="shared" ref="D111:D113" si="13">+C111-B111</f>
        <v>0</v>
      </c>
    </row>
    <row r="112" spans="1:4" x14ac:dyDescent="0.25">
      <c r="A112" s="266" t="s">
        <v>1291</v>
      </c>
      <c r="B112" s="275">
        <v>0</v>
      </c>
      <c r="C112" s="275">
        <f>+Parameter!I15/100</f>
        <v>0</v>
      </c>
      <c r="D112" s="276">
        <f t="shared" si="13"/>
        <v>0</v>
      </c>
    </row>
    <row r="113" spans="1:4" x14ac:dyDescent="0.25">
      <c r="A113" s="266" t="s">
        <v>1292</v>
      </c>
      <c r="B113" s="275">
        <f>+B111-B112</f>
        <v>0</v>
      </c>
      <c r="C113" s="275">
        <f>+C111-C112</f>
        <v>0</v>
      </c>
      <c r="D113" s="276">
        <f t="shared" si="13"/>
        <v>0</v>
      </c>
    </row>
    <row r="114" spans="1:4" x14ac:dyDescent="0.25">
      <c r="A114" s="266"/>
      <c r="B114" s="266"/>
      <c r="C114" s="266"/>
      <c r="D114" s="269"/>
    </row>
    <row r="115" spans="1:4" x14ac:dyDescent="0.25">
      <c r="A115" s="266" t="s">
        <v>1293</v>
      </c>
      <c r="B115" s="274">
        <v>1.2999999999999999E-2</v>
      </c>
      <c r="C115" s="274">
        <f>ROUND((1-C113)/C103,3)</f>
        <v>1.2999999999999999E-2</v>
      </c>
      <c r="D115" s="273">
        <f t="shared" ref="D115:D116" si="14">+C115-B115</f>
        <v>0</v>
      </c>
    </row>
    <row r="116" spans="1:4" x14ac:dyDescent="0.25">
      <c r="A116" s="266" t="s">
        <v>1294</v>
      </c>
      <c r="B116" s="267">
        <f>+B115*B100</f>
        <v>55495.343150000008</v>
      </c>
      <c r="C116" s="267">
        <f>+C115*C100</f>
        <v>55495.344579999997</v>
      </c>
      <c r="D116" s="272">
        <f t="shared" si="14"/>
        <v>1.4299999893410131E-3</v>
      </c>
    </row>
    <row r="117" spans="1:4" x14ac:dyDescent="0.25">
      <c r="A117" s="266"/>
      <c r="B117" s="266"/>
      <c r="C117" s="266"/>
      <c r="D117" s="269"/>
    </row>
    <row r="118" spans="1:4" x14ac:dyDescent="0.25">
      <c r="A118" s="266" t="s">
        <v>48</v>
      </c>
      <c r="B118" s="278">
        <v>59.861004951998382</v>
      </c>
      <c r="C118" s="278">
        <f>+'Rate Computation'!M21</f>
        <v>56.861004813856397</v>
      </c>
      <c r="D118" s="277">
        <f t="shared" ref="D118:D120" si="15">+C118-B118</f>
        <v>-3.000000138141985</v>
      </c>
    </row>
    <row r="119" spans="1:4" x14ac:dyDescent="0.25">
      <c r="A119" s="266" t="s">
        <v>1295</v>
      </c>
      <c r="B119" s="274">
        <v>1.2999999999999999E-2</v>
      </c>
      <c r="C119" s="274">
        <f>+'Rate Computation'!Q21</f>
        <v>1.2999999999999999E-2</v>
      </c>
      <c r="D119" s="273">
        <f t="shared" si="15"/>
        <v>0</v>
      </c>
    </row>
    <row r="120" spans="1:4" x14ac:dyDescent="0.25">
      <c r="A120" s="266" t="s">
        <v>1296</v>
      </c>
      <c r="B120" s="267">
        <f>+B100*B119</f>
        <v>55495.343150000008</v>
      </c>
      <c r="C120" s="267">
        <f>+C119*C100</f>
        <v>55495.344579999997</v>
      </c>
      <c r="D120" s="272">
        <f t="shared" si="15"/>
        <v>1.4299999893410131E-3</v>
      </c>
    </row>
    <row r="124" spans="1:4" x14ac:dyDescent="0.25">
      <c r="A124" s="379" t="s">
        <v>1279</v>
      </c>
      <c r="B124" s="380"/>
      <c r="C124" s="380"/>
      <c r="D124" s="381"/>
    </row>
    <row r="125" spans="1:4" x14ac:dyDescent="0.25">
      <c r="A125" s="379" t="s">
        <v>1280</v>
      </c>
      <c r="B125" s="380"/>
      <c r="C125" s="380"/>
      <c r="D125" s="381"/>
    </row>
    <row r="126" spans="1:4" x14ac:dyDescent="0.25">
      <c r="A126" s="373" t="s">
        <v>1301</v>
      </c>
      <c r="B126" s="374"/>
      <c r="C126" s="374"/>
      <c r="D126" s="375"/>
    </row>
    <row r="127" spans="1:4" x14ac:dyDescent="0.25">
      <c r="A127" s="376" t="s">
        <v>1302</v>
      </c>
      <c r="B127" s="377"/>
      <c r="C127" s="377"/>
      <c r="D127" s="378"/>
    </row>
    <row r="128" spans="1:4" x14ac:dyDescent="0.25">
      <c r="A128" s="265" t="s">
        <v>1283</v>
      </c>
      <c r="B128" s="265" t="s">
        <v>1284</v>
      </c>
      <c r="C128" s="265">
        <v>2024</v>
      </c>
      <c r="D128" s="265" t="s">
        <v>1266</v>
      </c>
    </row>
    <row r="129" spans="1:4" x14ac:dyDescent="0.25">
      <c r="A129" s="266"/>
      <c r="B129" s="266"/>
      <c r="C129" s="266"/>
      <c r="D129" s="266"/>
    </row>
    <row r="130" spans="1:4" x14ac:dyDescent="0.25">
      <c r="A130" s="266" t="s">
        <v>1285</v>
      </c>
      <c r="B130" s="267">
        <v>26284144.709999982</v>
      </c>
      <c r="C130" s="268">
        <f>+'Rate Computation'!D22</f>
        <v>31386680.029999983</v>
      </c>
      <c r="D130" s="268">
        <f>+C130-B130</f>
        <v>5102535.32</v>
      </c>
    </row>
    <row r="131" spans="1:4" x14ac:dyDescent="0.25">
      <c r="A131" s="266"/>
      <c r="B131" s="266"/>
      <c r="C131" s="269"/>
      <c r="D131" s="269"/>
    </row>
    <row r="132" spans="1:4" x14ac:dyDescent="0.25">
      <c r="A132" s="266" t="s">
        <v>1286</v>
      </c>
      <c r="B132" s="265" t="s">
        <v>1254</v>
      </c>
      <c r="C132" s="265" t="str">
        <f>+Parameter!H16</f>
        <v>L0</v>
      </c>
      <c r="D132" s="269"/>
    </row>
    <row r="133" spans="1:4" x14ac:dyDescent="0.25">
      <c r="A133" s="266" t="s">
        <v>79</v>
      </c>
      <c r="B133" s="265">
        <v>33</v>
      </c>
      <c r="C133" s="265">
        <f>+Parameter!G16</f>
        <v>33</v>
      </c>
      <c r="D133" s="270">
        <f>+C133-B133</f>
        <v>0</v>
      </c>
    </row>
    <row r="134" spans="1:4" x14ac:dyDescent="0.25">
      <c r="A134" s="266"/>
      <c r="B134" s="265"/>
      <c r="C134" s="269"/>
      <c r="D134" s="269"/>
    </row>
    <row r="135" spans="1:4" x14ac:dyDescent="0.25">
      <c r="A135" s="266" t="s">
        <v>1287</v>
      </c>
      <c r="B135" s="271">
        <v>5689864.235846715</v>
      </c>
      <c r="C135" s="271">
        <f>+'Reserve Allocation'!H21</f>
        <v>6547000.7613078225</v>
      </c>
      <c r="D135" s="272">
        <f t="shared" ref="D135:D137" si="16">+C135-B135</f>
        <v>857136.52546110749</v>
      </c>
    </row>
    <row r="136" spans="1:4" x14ac:dyDescent="0.25">
      <c r="A136" s="266" t="s">
        <v>1288</v>
      </c>
      <c r="B136" s="271">
        <v>7108902.79</v>
      </c>
      <c r="C136" s="271">
        <f>+'Rate Computation'!E22</f>
        <v>8366521.0855701342</v>
      </c>
      <c r="D136" s="272">
        <f t="shared" si="16"/>
        <v>1257618.2955701342</v>
      </c>
    </row>
    <row r="137" spans="1:4" x14ac:dyDescent="0.25">
      <c r="A137" s="266" t="s">
        <v>1289</v>
      </c>
      <c r="B137" s="271">
        <f>+B136-B135</f>
        <v>1419038.554153285</v>
      </c>
      <c r="C137" s="271">
        <f>+C136-C135</f>
        <v>1819520.3242623117</v>
      </c>
      <c r="D137" s="272">
        <f t="shared" si="16"/>
        <v>400481.77010902669</v>
      </c>
    </row>
    <row r="138" spans="1:4" x14ac:dyDescent="0.25">
      <c r="A138" s="266"/>
      <c r="B138" s="266"/>
      <c r="C138" s="266"/>
      <c r="D138" s="269"/>
    </row>
    <row r="139" spans="1:4" x14ac:dyDescent="0.25">
      <c r="A139" s="266" t="s">
        <v>50</v>
      </c>
      <c r="B139" s="274">
        <f>+B136/B130</f>
        <v>0.27046353870116113</v>
      </c>
      <c r="C139" s="274">
        <f>+C136/C130</f>
        <v>0.26656279280169981</v>
      </c>
      <c r="D139" s="269"/>
    </row>
    <row r="140" spans="1:4" x14ac:dyDescent="0.25">
      <c r="A140" s="266"/>
      <c r="B140" s="266"/>
      <c r="C140" s="266"/>
      <c r="D140" s="269"/>
    </row>
    <row r="141" spans="1:4" x14ac:dyDescent="0.25">
      <c r="A141" s="266" t="s">
        <v>1290</v>
      </c>
      <c r="B141" s="275">
        <v>0</v>
      </c>
      <c r="C141" s="275">
        <v>0</v>
      </c>
      <c r="D141" s="276">
        <f t="shared" ref="D141:D143" si="17">+C141-B141</f>
        <v>0</v>
      </c>
    </row>
    <row r="142" spans="1:4" x14ac:dyDescent="0.25">
      <c r="A142" s="266" t="s">
        <v>1291</v>
      </c>
      <c r="B142" s="275">
        <v>0</v>
      </c>
      <c r="C142" s="275">
        <f>+Parameter!I16/100</f>
        <v>0</v>
      </c>
      <c r="D142" s="276">
        <f t="shared" si="17"/>
        <v>0</v>
      </c>
    </row>
    <row r="143" spans="1:4" x14ac:dyDescent="0.25">
      <c r="A143" s="266" t="s">
        <v>1292</v>
      </c>
      <c r="B143" s="275">
        <f>+B141-B142</f>
        <v>0</v>
      </c>
      <c r="C143" s="275">
        <f>+C141-C142</f>
        <v>0</v>
      </c>
      <c r="D143" s="276">
        <f t="shared" si="17"/>
        <v>0</v>
      </c>
    </row>
    <row r="144" spans="1:4" x14ac:dyDescent="0.25">
      <c r="A144" s="266"/>
      <c r="B144" s="266"/>
      <c r="C144" s="266"/>
      <c r="D144" s="269"/>
    </row>
    <row r="145" spans="1:4" x14ac:dyDescent="0.25">
      <c r="A145" s="266" t="s">
        <v>1293</v>
      </c>
      <c r="B145" s="274">
        <v>0.03</v>
      </c>
      <c r="C145" s="274">
        <f>ROUND((1-C143)/C133,3)</f>
        <v>0.03</v>
      </c>
      <c r="D145" s="273">
        <f t="shared" ref="D145:D146" si="18">+C145-B145</f>
        <v>0</v>
      </c>
    </row>
    <row r="146" spans="1:4" x14ac:dyDescent="0.25">
      <c r="A146" s="266" t="s">
        <v>1294</v>
      </c>
      <c r="B146" s="267">
        <f>+B145*B130</f>
        <v>788524.34129999939</v>
      </c>
      <c r="C146" s="267">
        <f>+C145*C130</f>
        <v>941600.40089999943</v>
      </c>
      <c r="D146" s="272">
        <f t="shared" si="18"/>
        <v>153076.05960000004</v>
      </c>
    </row>
    <row r="147" spans="1:4" x14ac:dyDescent="0.25">
      <c r="A147" s="266"/>
      <c r="B147" s="266"/>
      <c r="C147" s="266"/>
      <c r="D147" s="269"/>
    </row>
    <row r="148" spans="1:4" x14ac:dyDescent="0.25">
      <c r="A148" s="266" t="s">
        <v>48</v>
      </c>
      <c r="B148" s="278">
        <v>25.856319965720456</v>
      </c>
      <c r="C148" s="278">
        <f>+'Rate Computation'!M22</f>
        <v>26.1164740929384</v>
      </c>
      <c r="D148" s="277">
        <f t="shared" ref="D148:D150" si="19">+C148-B148</f>
        <v>0.26015412721794462</v>
      </c>
    </row>
    <row r="149" spans="1:4" x14ac:dyDescent="0.25">
      <c r="A149" s="266" t="s">
        <v>1295</v>
      </c>
      <c r="B149" s="274">
        <v>2.8000000000000001E-2</v>
      </c>
      <c r="C149" s="274">
        <f>+'Rate Computation'!Q22</f>
        <v>2.8000000000000001E-2</v>
      </c>
      <c r="D149" s="273">
        <f t="shared" si="19"/>
        <v>0</v>
      </c>
    </row>
    <row r="150" spans="1:4" x14ac:dyDescent="0.25">
      <c r="A150" s="266" t="s">
        <v>1296</v>
      </c>
      <c r="B150" s="267">
        <f>+B130*B149</f>
        <v>735956.05187999946</v>
      </c>
      <c r="C150" s="267">
        <f>+C149*C130</f>
        <v>878827.04083999956</v>
      </c>
      <c r="D150" s="272">
        <f t="shared" si="19"/>
        <v>142870.9889600001</v>
      </c>
    </row>
    <row r="154" spans="1:4" x14ac:dyDescent="0.25">
      <c r="A154" s="379" t="s">
        <v>1279</v>
      </c>
      <c r="B154" s="380"/>
      <c r="C154" s="380"/>
      <c r="D154" s="381"/>
    </row>
    <row r="155" spans="1:4" x14ac:dyDescent="0.25">
      <c r="A155" s="379" t="s">
        <v>1280</v>
      </c>
      <c r="B155" s="380"/>
      <c r="C155" s="380"/>
      <c r="D155" s="381"/>
    </row>
    <row r="156" spans="1:4" x14ac:dyDescent="0.25">
      <c r="A156" s="373" t="s">
        <v>1303</v>
      </c>
      <c r="B156" s="374"/>
      <c r="C156" s="374"/>
      <c r="D156" s="375"/>
    </row>
    <row r="157" spans="1:4" x14ac:dyDescent="0.25">
      <c r="A157" s="376" t="s">
        <v>94</v>
      </c>
      <c r="B157" s="377"/>
      <c r="C157" s="377"/>
      <c r="D157" s="378"/>
    </row>
    <row r="158" spans="1:4" x14ac:dyDescent="0.25">
      <c r="A158" s="265" t="s">
        <v>1283</v>
      </c>
      <c r="B158" s="265" t="s">
        <v>1284</v>
      </c>
      <c r="C158" s="265">
        <v>2024</v>
      </c>
      <c r="D158" s="265" t="s">
        <v>1266</v>
      </c>
    </row>
    <row r="159" spans="1:4" x14ac:dyDescent="0.25">
      <c r="A159" s="266"/>
      <c r="B159" s="266"/>
      <c r="C159" s="266"/>
      <c r="D159" s="266"/>
    </row>
    <row r="160" spans="1:4" x14ac:dyDescent="0.25">
      <c r="A160" s="266" t="s">
        <v>1285</v>
      </c>
      <c r="B160" s="267">
        <v>548115480.05000019</v>
      </c>
      <c r="C160" s="268">
        <f>+'Rate Computation'!D23</f>
        <v>826292081.17000031</v>
      </c>
      <c r="D160" s="268">
        <f>+C160-B160</f>
        <v>278176601.12000012</v>
      </c>
    </row>
    <row r="161" spans="1:4" x14ac:dyDescent="0.25">
      <c r="A161" s="266"/>
      <c r="B161" s="266"/>
      <c r="C161" s="269"/>
      <c r="D161" s="269"/>
    </row>
    <row r="162" spans="1:4" x14ac:dyDescent="0.25">
      <c r="A162" s="266" t="s">
        <v>1286</v>
      </c>
      <c r="B162" s="265" t="s">
        <v>702</v>
      </c>
      <c r="C162" s="265" t="str">
        <f>+Parameter!H17</f>
        <v>R1.5</v>
      </c>
      <c r="D162" s="269"/>
    </row>
    <row r="163" spans="1:4" x14ac:dyDescent="0.25">
      <c r="A163" s="266" t="s">
        <v>79</v>
      </c>
      <c r="B163" s="265">
        <v>65</v>
      </c>
      <c r="C163" s="265">
        <f>+Parameter!G17</f>
        <v>65</v>
      </c>
      <c r="D163" s="270">
        <f>+C163-B163</f>
        <v>0</v>
      </c>
    </row>
    <row r="164" spans="1:4" x14ac:dyDescent="0.25">
      <c r="A164" s="266"/>
      <c r="B164" s="265"/>
      <c r="C164" s="269"/>
      <c r="D164" s="269"/>
    </row>
    <row r="165" spans="1:4" x14ac:dyDescent="0.25">
      <c r="A165" s="266" t="s">
        <v>1287</v>
      </c>
      <c r="B165" s="271">
        <v>148814644.72101292</v>
      </c>
      <c r="C165" s="271">
        <f>+'Theoretical Reserve'!H193</f>
        <v>198618431.58142173</v>
      </c>
      <c r="D165" s="272">
        <f t="shared" ref="D165:D167" si="20">+C165-B165</f>
        <v>49803786.860408813</v>
      </c>
    </row>
    <row r="166" spans="1:4" x14ac:dyDescent="0.25">
      <c r="A166" s="266" t="s">
        <v>1288</v>
      </c>
      <c r="B166" s="271">
        <v>205621382.69</v>
      </c>
      <c r="C166" s="271">
        <f>+'Rate Computation'!E23</f>
        <v>235380987.81307572</v>
      </c>
      <c r="D166" s="272">
        <f t="shared" si="20"/>
        <v>29759605.123075724</v>
      </c>
    </row>
    <row r="167" spans="1:4" x14ac:dyDescent="0.25">
      <c r="A167" s="266" t="s">
        <v>1289</v>
      </c>
      <c r="B167" s="271">
        <f>+B166-B165</f>
        <v>56806737.968987077</v>
      </c>
      <c r="C167" s="271">
        <f>+C166-C165</f>
        <v>36762556.231653988</v>
      </c>
      <c r="D167" s="272">
        <f t="shared" si="20"/>
        <v>-20044181.737333089</v>
      </c>
    </row>
    <row r="168" spans="1:4" x14ac:dyDescent="0.25">
      <c r="A168" s="266"/>
      <c r="B168" s="266"/>
      <c r="C168" s="266"/>
      <c r="D168" s="269"/>
    </row>
    <row r="169" spans="1:4" x14ac:dyDescent="0.25">
      <c r="A169" s="266" t="s">
        <v>50</v>
      </c>
      <c r="B169" s="274">
        <f>+B166/B160</f>
        <v>0.37514244748431991</v>
      </c>
      <c r="C169" s="274">
        <f>+C166/C160</f>
        <v>0.28486414571441199</v>
      </c>
      <c r="D169" s="269"/>
    </row>
    <row r="170" spans="1:4" x14ac:dyDescent="0.25">
      <c r="A170" s="266"/>
      <c r="B170" s="266"/>
      <c r="C170" s="266"/>
      <c r="D170" s="269"/>
    </row>
    <row r="171" spans="1:4" x14ac:dyDescent="0.25">
      <c r="A171" s="266" t="s">
        <v>1290</v>
      </c>
      <c r="B171" s="275">
        <v>0</v>
      </c>
      <c r="C171" s="275">
        <v>0</v>
      </c>
      <c r="D171" s="276">
        <f t="shared" ref="D171:D173" si="21">+C171-B171</f>
        <v>0</v>
      </c>
    </row>
    <row r="172" spans="1:4" x14ac:dyDescent="0.25">
      <c r="A172" s="266" t="s">
        <v>1291</v>
      </c>
      <c r="B172" s="275">
        <v>0.5</v>
      </c>
      <c r="C172" s="275">
        <f>-Parameter!I17/100</f>
        <v>0.6</v>
      </c>
      <c r="D172" s="276">
        <f t="shared" si="21"/>
        <v>9.9999999999999978E-2</v>
      </c>
    </row>
    <row r="173" spans="1:4" x14ac:dyDescent="0.25">
      <c r="A173" s="266" t="s">
        <v>1292</v>
      </c>
      <c r="B173" s="275">
        <f>+B171-B172</f>
        <v>-0.5</v>
      </c>
      <c r="C173" s="275">
        <f>+C171-C172</f>
        <v>-0.6</v>
      </c>
      <c r="D173" s="276">
        <f t="shared" si="21"/>
        <v>-9.9999999999999978E-2</v>
      </c>
    </row>
    <row r="174" spans="1:4" x14ac:dyDescent="0.25">
      <c r="A174" s="266"/>
      <c r="B174" s="266"/>
      <c r="C174" s="266"/>
      <c r="D174" s="269"/>
    </row>
    <row r="175" spans="1:4" x14ac:dyDescent="0.25">
      <c r="A175" s="266" t="s">
        <v>1293</v>
      </c>
      <c r="B175" s="274">
        <v>2.3E-2</v>
      </c>
      <c r="C175" s="274">
        <f>ROUND((1-C173)/C163,3)</f>
        <v>2.5000000000000001E-2</v>
      </c>
      <c r="D175" s="273">
        <f t="shared" ref="D175:D176" si="22">+C175-B175</f>
        <v>2.0000000000000018E-3</v>
      </c>
    </row>
    <row r="176" spans="1:4" x14ac:dyDescent="0.25">
      <c r="A176" s="266" t="s">
        <v>1294</v>
      </c>
      <c r="B176" s="267">
        <f>+B175*B160</f>
        <v>12606656.041150004</v>
      </c>
      <c r="C176" s="267">
        <f>+C175*C160</f>
        <v>20657302.029250011</v>
      </c>
      <c r="D176" s="272">
        <f t="shared" si="22"/>
        <v>8050645.9881000072</v>
      </c>
    </row>
    <row r="177" spans="1:4" x14ac:dyDescent="0.25">
      <c r="A177" s="266"/>
      <c r="B177" s="266"/>
      <c r="C177" s="266"/>
      <c r="D177" s="269"/>
    </row>
    <row r="178" spans="1:4" x14ac:dyDescent="0.25">
      <c r="A178" s="266" t="s">
        <v>48</v>
      </c>
      <c r="B178" s="278">
        <v>53.234897864973682</v>
      </c>
      <c r="C178" s="278">
        <f>+'Rate Computation'!M23</f>
        <v>55.234840721733569</v>
      </c>
      <c r="D178" s="277">
        <f t="shared" ref="D178:D180" si="23">+C178-B178</f>
        <v>1.9999428567598869</v>
      </c>
    </row>
    <row r="179" spans="1:4" x14ac:dyDescent="0.25">
      <c r="A179" s="266" t="s">
        <v>1295</v>
      </c>
      <c r="B179" s="274">
        <v>2.1000000000000001E-2</v>
      </c>
      <c r="C179" s="274">
        <f>+'Rate Computation'!Q23</f>
        <v>2.4E-2</v>
      </c>
      <c r="D179" s="273">
        <f t="shared" si="23"/>
        <v>2.9999999999999992E-3</v>
      </c>
    </row>
    <row r="180" spans="1:4" x14ac:dyDescent="0.25">
      <c r="A180" s="266" t="s">
        <v>1296</v>
      </c>
      <c r="B180" s="267">
        <f>+B160*B179</f>
        <v>11510425.081050005</v>
      </c>
      <c r="C180" s="267">
        <f>+C179*C160</f>
        <v>19831009.948080007</v>
      </c>
      <c r="D180" s="272">
        <f t="shared" si="23"/>
        <v>8320584.8670300022</v>
      </c>
    </row>
    <row r="185" spans="1:4" x14ac:dyDescent="0.25">
      <c r="A185" s="379" t="s">
        <v>1279</v>
      </c>
      <c r="B185" s="380"/>
      <c r="C185" s="380"/>
      <c r="D185" s="381"/>
    </row>
    <row r="186" spans="1:4" x14ac:dyDescent="0.25">
      <c r="A186" s="379" t="s">
        <v>1280</v>
      </c>
      <c r="B186" s="380"/>
      <c r="C186" s="380"/>
      <c r="D186" s="381"/>
    </row>
    <row r="187" spans="1:4" x14ac:dyDescent="0.25">
      <c r="A187" s="373" t="s">
        <v>1304</v>
      </c>
      <c r="B187" s="374"/>
      <c r="C187" s="374"/>
      <c r="D187" s="375"/>
    </row>
    <row r="188" spans="1:4" x14ac:dyDescent="0.25">
      <c r="A188" s="376" t="s">
        <v>95</v>
      </c>
      <c r="B188" s="377"/>
      <c r="C188" s="377"/>
      <c r="D188" s="378"/>
    </row>
    <row r="189" spans="1:4" x14ac:dyDescent="0.25">
      <c r="A189" s="265" t="s">
        <v>1283</v>
      </c>
      <c r="B189" s="265" t="s">
        <v>1284</v>
      </c>
      <c r="C189" s="265">
        <v>2024</v>
      </c>
      <c r="D189" s="265" t="s">
        <v>1266</v>
      </c>
    </row>
    <row r="190" spans="1:4" x14ac:dyDescent="0.25">
      <c r="A190" s="266"/>
      <c r="B190" s="266"/>
      <c r="C190" s="266"/>
      <c r="D190" s="266"/>
    </row>
    <row r="191" spans="1:4" x14ac:dyDescent="0.25">
      <c r="A191" s="266" t="s">
        <v>1285</v>
      </c>
      <c r="B191" s="267">
        <v>659435120.18999994</v>
      </c>
      <c r="C191" s="268">
        <f>+'Rate Computation'!D24</f>
        <v>961474232.54999995</v>
      </c>
      <c r="D191" s="268">
        <f>+C191-B191</f>
        <v>302039112.36000001</v>
      </c>
    </row>
    <row r="192" spans="1:4" x14ac:dyDescent="0.25">
      <c r="A192" s="266"/>
      <c r="B192" s="266"/>
      <c r="C192" s="269"/>
      <c r="D192" s="269"/>
    </row>
    <row r="193" spans="1:4" x14ac:dyDescent="0.25">
      <c r="A193" s="266" t="s">
        <v>1286</v>
      </c>
      <c r="B193" s="265" t="s">
        <v>26</v>
      </c>
      <c r="C193" s="265" t="str">
        <f>+Parameter!H18</f>
        <v>R2</v>
      </c>
      <c r="D193" s="269"/>
    </row>
    <row r="194" spans="1:4" x14ac:dyDescent="0.25">
      <c r="A194" s="266" t="s">
        <v>79</v>
      </c>
      <c r="B194" s="265">
        <v>75</v>
      </c>
      <c r="C194" s="265">
        <f>+Parameter!G18</f>
        <v>75</v>
      </c>
      <c r="D194" s="270">
        <f>+C194-B194</f>
        <v>0</v>
      </c>
    </row>
    <row r="195" spans="1:4" x14ac:dyDescent="0.25">
      <c r="A195" s="266"/>
      <c r="B195" s="265"/>
      <c r="C195" s="269"/>
      <c r="D195" s="269"/>
    </row>
    <row r="196" spans="1:4" x14ac:dyDescent="0.25">
      <c r="A196" s="266" t="s">
        <v>1287</v>
      </c>
      <c r="B196" s="271">
        <v>109045637.02376473</v>
      </c>
      <c r="C196" s="271">
        <v>114784881</v>
      </c>
      <c r="D196" s="272">
        <f t="shared" ref="D196:D198" si="24">+C196-B196</f>
        <v>5739243.9762352705</v>
      </c>
    </row>
    <row r="197" spans="1:4" x14ac:dyDescent="0.25">
      <c r="A197" s="266" t="s">
        <v>1288</v>
      </c>
      <c r="B197" s="271">
        <v>198034804.75999999</v>
      </c>
      <c r="C197" s="271">
        <f>+'Rate Computation'!E24</f>
        <v>195926801.30512688</v>
      </c>
      <c r="D197" s="272">
        <f t="shared" si="24"/>
        <v>-2108003.4548731148</v>
      </c>
    </row>
    <row r="198" spans="1:4" x14ac:dyDescent="0.25">
      <c r="A198" s="266" t="s">
        <v>1289</v>
      </c>
      <c r="B198" s="271">
        <f>+B197-B196</f>
        <v>88989167.736235261</v>
      </c>
      <c r="C198" s="271">
        <f>+C197-C196</f>
        <v>81141920.305126876</v>
      </c>
      <c r="D198" s="272">
        <f t="shared" si="24"/>
        <v>-7847247.4311083853</v>
      </c>
    </row>
    <row r="199" spans="1:4" x14ac:dyDescent="0.25">
      <c r="A199" s="266"/>
      <c r="B199" s="266"/>
      <c r="C199" s="266"/>
      <c r="D199" s="269"/>
    </row>
    <row r="200" spans="1:4" x14ac:dyDescent="0.25">
      <c r="A200" s="266" t="s">
        <v>50</v>
      </c>
      <c r="B200" s="274">
        <f>+B197/B191</f>
        <v>0.3003097631544725</v>
      </c>
      <c r="C200" s="274">
        <f>+C197/C191</f>
        <v>0.20377748531595516</v>
      </c>
      <c r="D200" s="269"/>
    </row>
    <row r="201" spans="1:4" x14ac:dyDescent="0.25">
      <c r="A201" s="266"/>
      <c r="B201" s="266"/>
      <c r="C201" s="266"/>
      <c r="D201" s="269"/>
    </row>
    <row r="202" spans="1:4" x14ac:dyDescent="0.25">
      <c r="A202" s="266" t="s">
        <v>1290</v>
      </c>
      <c r="B202" s="275">
        <v>0</v>
      </c>
      <c r="C202" s="275">
        <v>0</v>
      </c>
      <c r="D202" s="276">
        <f t="shared" ref="D202:D204" si="25">+C202-B202</f>
        <v>0</v>
      </c>
    </row>
    <row r="203" spans="1:4" x14ac:dyDescent="0.25">
      <c r="A203" s="266" t="s">
        <v>1291</v>
      </c>
      <c r="B203" s="275">
        <v>0.33</v>
      </c>
      <c r="C203" s="275">
        <f>-+Parameter!I18/100</f>
        <v>0.4</v>
      </c>
      <c r="D203" s="276">
        <f t="shared" si="25"/>
        <v>7.0000000000000007E-2</v>
      </c>
    </row>
    <row r="204" spans="1:4" x14ac:dyDescent="0.25">
      <c r="A204" s="266" t="s">
        <v>1292</v>
      </c>
      <c r="B204" s="275">
        <f>+B202-B203</f>
        <v>-0.33</v>
      </c>
      <c r="C204" s="275">
        <f>+C202-C203</f>
        <v>-0.4</v>
      </c>
      <c r="D204" s="276">
        <f t="shared" si="25"/>
        <v>-7.0000000000000007E-2</v>
      </c>
    </row>
    <row r="205" spans="1:4" x14ac:dyDescent="0.25">
      <c r="A205" s="266"/>
      <c r="B205" s="266"/>
      <c r="C205" s="266"/>
      <c r="D205" s="269"/>
    </row>
    <row r="206" spans="1:4" x14ac:dyDescent="0.25">
      <c r="A206" s="266" t="s">
        <v>1293</v>
      </c>
      <c r="B206" s="274">
        <v>1.7999999999999999E-2</v>
      </c>
      <c r="C206" s="274">
        <f>ROUND((1-C204)/C194,3)</f>
        <v>1.9E-2</v>
      </c>
      <c r="D206" s="273">
        <f t="shared" ref="D206:D207" si="26">+C206-B206</f>
        <v>1.0000000000000009E-3</v>
      </c>
    </row>
    <row r="207" spans="1:4" x14ac:dyDescent="0.25">
      <c r="A207" s="266" t="s">
        <v>1294</v>
      </c>
      <c r="B207" s="267">
        <f>+B206*B191</f>
        <v>11869832.163419997</v>
      </c>
      <c r="C207" s="267">
        <f>+C206*C191</f>
        <v>18268010.418449998</v>
      </c>
      <c r="D207" s="272">
        <f t="shared" si="26"/>
        <v>6398178.2550300006</v>
      </c>
    </row>
    <row r="208" spans="1:4" x14ac:dyDescent="0.25">
      <c r="A208" s="266"/>
      <c r="B208" s="266"/>
      <c r="C208" s="266"/>
      <c r="D208" s="269"/>
    </row>
    <row r="209" spans="1:4" x14ac:dyDescent="0.25">
      <c r="A209" s="266" t="s">
        <v>48</v>
      </c>
      <c r="B209" s="278">
        <v>65.675064355141757</v>
      </c>
      <c r="C209" s="278">
        <f>+'Rate Computation'!M24</f>
        <v>67.039532878491158</v>
      </c>
      <c r="D209" s="277">
        <f t="shared" ref="D209:D211" si="27">+C209-B209</f>
        <v>1.3644685233494016</v>
      </c>
    </row>
    <row r="210" spans="1:4" x14ac:dyDescent="0.25">
      <c r="A210" s="266" t="s">
        <v>1295</v>
      </c>
      <c r="B210" s="274">
        <v>1.6E-2</v>
      </c>
      <c r="C210" s="274">
        <f>+'Rate Computation'!Q24</f>
        <v>1.7999999999999999E-2</v>
      </c>
      <c r="D210" s="273">
        <f t="shared" si="27"/>
        <v>1.9999999999999983E-3</v>
      </c>
    </row>
    <row r="211" spans="1:4" x14ac:dyDescent="0.25">
      <c r="A211" s="266" t="s">
        <v>1296</v>
      </c>
      <c r="B211" s="267">
        <f>+B191*B210</f>
        <v>10550961.923039999</v>
      </c>
      <c r="C211" s="267">
        <f>+C210*C191</f>
        <v>17306536.185899999</v>
      </c>
      <c r="D211" s="272">
        <f t="shared" si="27"/>
        <v>6755574.2628600001</v>
      </c>
    </row>
    <row r="216" spans="1:4" x14ac:dyDescent="0.25">
      <c r="A216" s="379" t="s">
        <v>1279</v>
      </c>
      <c r="B216" s="380"/>
      <c r="C216" s="380"/>
      <c r="D216" s="381"/>
    </row>
    <row r="217" spans="1:4" x14ac:dyDescent="0.25">
      <c r="A217" s="379" t="s">
        <v>1280</v>
      </c>
      <c r="B217" s="380"/>
      <c r="C217" s="380"/>
      <c r="D217" s="381"/>
    </row>
    <row r="218" spans="1:4" x14ac:dyDescent="0.25">
      <c r="A218" s="373" t="s">
        <v>1305</v>
      </c>
      <c r="B218" s="374"/>
      <c r="C218" s="374"/>
      <c r="D218" s="375"/>
    </row>
    <row r="219" spans="1:4" x14ac:dyDescent="0.25">
      <c r="A219" s="376" t="s">
        <v>1306</v>
      </c>
      <c r="B219" s="377"/>
      <c r="C219" s="377"/>
      <c r="D219" s="378"/>
    </row>
    <row r="220" spans="1:4" x14ac:dyDescent="0.25">
      <c r="A220" s="265" t="s">
        <v>1283</v>
      </c>
      <c r="B220" s="265" t="s">
        <v>1284</v>
      </c>
      <c r="C220" s="265">
        <v>2024</v>
      </c>
      <c r="D220" s="265" t="s">
        <v>1266</v>
      </c>
    </row>
    <row r="221" spans="1:4" x14ac:dyDescent="0.25">
      <c r="A221" s="266"/>
      <c r="B221" s="266"/>
      <c r="C221" s="266"/>
      <c r="D221" s="266"/>
    </row>
    <row r="222" spans="1:4" x14ac:dyDescent="0.25">
      <c r="A222" s="266" t="s">
        <v>1285</v>
      </c>
      <c r="B222" s="267">
        <v>18885293.070000004</v>
      </c>
      <c r="C222" s="268">
        <f>+'Rate Computation'!D26</f>
        <v>22151056.50999999</v>
      </c>
      <c r="D222" s="268">
        <f>+C222-B222</f>
        <v>3265763.4399999864</v>
      </c>
    </row>
    <row r="223" spans="1:4" x14ac:dyDescent="0.25">
      <c r="A223" s="266"/>
      <c r="B223" s="266"/>
      <c r="C223" s="269"/>
      <c r="D223" s="269"/>
    </row>
    <row r="224" spans="1:4" x14ac:dyDescent="0.25">
      <c r="A224" s="266" t="s">
        <v>1286</v>
      </c>
      <c r="B224" s="265" t="s">
        <v>702</v>
      </c>
      <c r="C224" s="265" t="str">
        <f>+Parameter!H20</f>
        <v>R1.5</v>
      </c>
      <c r="D224" s="269"/>
    </row>
    <row r="225" spans="1:4" x14ac:dyDescent="0.25">
      <c r="A225" s="266" t="s">
        <v>79</v>
      </c>
      <c r="B225" s="265">
        <v>40</v>
      </c>
      <c r="C225" s="265">
        <f>+Parameter!G20</f>
        <v>40</v>
      </c>
      <c r="D225" s="270">
        <f>+C225-B225</f>
        <v>0</v>
      </c>
    </row>
    <row r="226" spans="1:4" x14ac:dyDescent="0.25">
      <c r="A226" s="266"/>
      <c r="B226" s="265"/>
      <c r="C226" s="269"/>
      <c r="D226" s="269"/>
    </row>
    <row r="227" spans="1:4" x14ac:dyDescent="0.25">
      <c r="A227" s="266" t="s">
        <v>1287</v>
      </c>
      <c r="B227" s="271">
        <v>4077587.3328790213</v>
      </c>
      <c r="C227" s="271">
        <f>+'Theoretical Reserve'!H302</f>
        <v>5840408.1711033909</v>
      </c>
      <c r="D227" s="272">
        <f t="shared" ref="D227:D229" si="28">+C227-B227</f>
        <v>1762820.8382243696</v>
      </c>
    </row>
    <row r="228" spans="1:4" x14ac:dyDescent="0.25">
      <c r="A228" s="266" t="s">
        <v>1288</v>
      </c>
      <c r="B228" s="271">
        <v>4320430.8099999996</v>
      </c>
      <c r="C228" s="271">
        <f>'Rate Computation'!$E$26</f>
        <v>5812102.0078713428</v>
      </c>
      <c r="D228" s="272">
        <f t="shared" si="28"/>
        <v>1491671.1978713432</v>
      </c>
    </row>
    <row r="229" spans="1:4" x14ac:dyDescent="0.25">
      <c r="A229" s="266" t="s">
        <v>1289</v>
      </c>
      <c r="B229" s="271">
        <f>+B228-B227</f>
        <v>242843.47712097829</v>
      </c>
      <c r="C229" s="271">
        <f>+C228-C227</f>
        <v>-28306.163232048042</v>
      </c>
      <c r="D229" s="272">
        <f t="shared" si="28"/>
        <v>-271149.64035302633</v>
      </c>
    </row>
    <row r="230" spans="1:4" x14ac:dyDescent="0.25">
      <c r="A230" s="266"/>
      <c r="B230" s="266"/>
      <c r="C230" s="266"/>
      <c r="D230" s="269"/>
    </row>
    <row r="231" spans="1:4" x14ac:dyDescent="0.25">
      <c r="A231" s="266" t="s">
        <v>50</v>
      </c>
      <c r="B231" s="274">
        <f>+B228/B222</f>
        <v>0.22877224059938819</v>
      </c>
      <c r="C231" s="274">
        <f>+C228/C222</f>
        <v>0.2623848666201315</v>
      </c>
      <c r="D231" s="269"/>
    </row>
    <row r="232" spans="1:4" x14ac:dyDescent="0.25">
      <c r="A232" s="266"/>
      <c r="B232" s="266"/>
      <c r="C232" s="266"/>
      <c r="D232" s="269"/>
    </row>
    <row r="233" spans="1:4" x14ac:dyDescent="0.25">
      <c r="A233" s="266" t="s">
        <v>1290</v>
      </c>
      <c r="B233" s="275">
        <v>0</v>
      </c>
      <c r="C233" s="275">
        <v>0</v>
      </c>
      <c r="D233" s="276">
        <f t="shared" ref="D233:D235" si="29">+C233-B233</f>
        <v>0</v>
      </c>
    </row>
    <row r="234" spans="1:4" x14ac:dyDescent="0.25">
      <c r="A234" s="266" t="s">
        <v>1291</v>
      </c>
      <c r="B234" s="275">
        <v>0.1</v>
      </c>
      <c r="C234" s="275">
        <f>-Parameter!I20/100</f>
        <v>0.2</v>
      </c>
      <c r="D234" s="276">
        <f t="shared" si="29"/>
        <v>0.1</v>
      </c>
    </row>
    <row r="235" spans="1:4" x14ac:dyDescent="0.25">
      <c r="A235" s="266" t="s">
        <v>1292</v>
      </c>
      <c r="B235" s="275">
        <f>+B233-B234</f>
        <v>-0.1</v>
      </c>
      <c r="C235" s="275">
        <f>+C233-C234</f>
        <v>-0.2</v>
      </c>
      <c r="D235" s="276">
        <f t="shared" si="29"/>
        <v>-0.1</v>
      </c>
    </row>
    <row r="236" spans="1:4" x14ac:dyDescent="0.25">
      <c r="A236" s="266"/>
      <c r="B236" s="266"/>
      <c r="C236" s="266"/>
      <c r="D236" s="269"/>
    </row>
    <row r="237" spans="1:4" x14ac:dyDescent="0.25">
      <c r="A237" s="266" t="s">
        <v>1293</v>
      </c>
      <c r="B237" s="274">
        <v>2.7999999999999997E-2</v>
      </c>
      <c r="C237" s="274">
        <f>ROUND((1-C235)/C225,3)</f>
        <v>0.03</v>
      </c>
      <c r="D237" s="273">
        <f t="shared" ref="D237:D238" si="30">+C237-B237</f>
        <v>2.0000000000000018E-3</v>
      </c>
    </row>
    <row r="238" spans="1:4" x14ac:dyDescent="0.25">
      <c r="A238" s="266" t="s">
        <v>1294</v>
      </c>
      <c r="B238" s="267">
        <f>+B237*B222</f>
        <v>528788.20596000005</v>
      </c>
      <c r="C238" s="267">
        <f>+C237*C222</f>
        <v>664531.69529999967</v>
      </c>
      <c r="D238" s="272">
        <f t="shared" si="30"/>
        <v>135743.48933999962</v>
      </c>
    </row>
    <row r="239" spans="1:4" x14ac:dyDescent="0.25">
      <c r="A239" s="266"/>
      <c r="B239" s="266"/>
      <c r="C239" s="266"/>
      <c r="D239" s="269"/>
    </row>
    <row r="240" spans="1:4" x14ac:dyDescent="0.25">
      <c r="A240" s="266" t="s">
        <v>48</v>
      </c>
      <c r="B240" s="278">
        <v>32.148604606548318</v>
      </c>
      <c r="C240" s="278">
        <f>+'Rate Computation'!M25</f>
        <v>32.760092260691827</v>
      </c>
      <c r="D240" s="277">
        <f t="shared" ref="D240:D242" si="31">+C240-B240</f>
        <v>0.61148765414350947</v>
      </c>
    </row>
    <row r="241" spans="1:4" x14ac:dyDescent="0.25">
      <c r="A241" s="266" t="s">
        <v>1295</v>
      </c>
      <c r="B241" s="274">
        <v>2.7E-2</v>
      </c>
      <c r="C241" s="274">
        <f>+'Rate Computation'!Q25</f>
        <v>0.03</v>
      </c>
      <c r="D241" s="273">
        <f t="shared" si="31"/>
        <v>2.9999999999999992E-3</v>
      </c>
    </row>
    <row r="242" spans="1:4" x14ac:dyDescent="0.25">
      <c r="A242" s="266" t="s">
        <v>1296</v>
      </c>
      <c r="B242" s="267">
        <f>+B222*B241</f>
        <v>509902.91289000009</v>
      </c>
      <c r="C242" s="267">
        <f>+C222*C241</f>
        <v>664531.69529999967</v>
      </c>
      <c r="D242" s="272">
        <f t="shared" si="31"/>
        <v>154628.78240999958</v>
      </c>
    </row>
    <row r="245" spans="1:4" x14ac:dyDescent="0.25">
      <c r="A245" s="379" t="s">
        <v>1279</v>
      </c>
      <c r="B245" s="380"/>
      <c r="C245" s="380"/>
      <c r="D245" s="381"/>
    </row>
    <row r="246" spans="1:4" x14ac:dyDescent="0.25">
      <c r="A246" s="379" t="s">
        <v>1280</v>
      </c>
      <c r="B246" s="380"/>
      <c r="C246" s="380"/>
      <c r="D246" s="381"/>
    </row>
    <row r="247" spans="1:4" x14ac:dyDescent="0.25">
      <c r="A247" s="373" t="s">
        <v>1307</v>
      </c>
      <c r="B247" s="374"/>
      <c r="C247" s="374"/>
      <c r="D247" s="375"/>
    </row>
    <row r="248" spans="1:4" x14ac:dyDescent="0.25">
      <c r="A248" s="376" t="s">
        <v>1308</v>
      </c>
      <c r="B248" s="377"/>
      <c r="C248" s="377"/>
      <c r="D248" s="378"/>
    </row>
    <row r="249" spans="1:4" x14ac:dyDescent="0.25">
      <c r="A249" s="265" t="s">
        <v>1283</v>
      </c>
      <c r="B249" s="265" t="s">
        <v>1284</v>
      </c>
      <c r="C249" s="265">
        <v>2024</v>
      </c>
      <c r="D249" s="265" t="s">
        <v>1266</v>
      </c>
    </row>
    <row r="250" spans="1:4" x14ac:dyDescent="0.25">
      <c r="A250" s="266"/>
      <c r="B250" s="266"/>
      <c r="C250" s="266"/>
      <c r="D250" s="266"/>
    </row>
    <row r="251" spans="1:4" x14ac:dyDescent="0.25">
      <c r="A251" s="266" t="s">
        <v>1285</v>
      </c>
      <c r="B251" s="267">
        <v>96523663.090000004</v>
      </c>
      <c r="C251" s="268">
        <f>'Rate Computation'!$D$27</f>
        <v>116022316.77999997</v>
      </c>
      <c r="D251" s="268">
        <f>+C251-B251</f>
        <v>19498653.689999968</v>
      </c>
    </row>
    <row r="252" spans="1:4" x14ac:dyDescent="0.25">
      <c r="A252" s="266"/>
      <c r="B252" s="266"/>
      <c r="C252" s="269"/>
      <c r="D252" s="269"/>
    </row>
    <row r="253" spans="1:4" x14ac:dyDescent="0.25">
      <c r="A253" s="266" t="s">
        <v>1286</v>
      </c>
      <c r="B253" s="265" t="s">
        <v>701</v>
      </c>
      <c r="C253" s="265" t="str">
        <f>+Parameter!H21</f>
        <v>R2</v>
      </c>
      <c r="D253" s="269"/>
    </row>
    <row r="254" spans="1:4" x14ac:dyDescent="0.25">
      <c r="A254" s="266" t="s">
        <v>79</v>
      </c>
      <c r="B254" s="265">
        <v>50</v>
      </c>
      <c r="C254" s="265">
        <f>+Parameter!G21</f>
        <v>52</v>
      </c>
      <c r="D254" s="270">
        <f>+C254-B254</f>
        <v>2</v>
      </c>
    </row>
    <row r="255" spans="1:4" x14ac:dyDescent="0.25">
      <c r="A255" s="266"/>
      <c r="B255" s="265"/>
      <c r="C255" s="269"/>
      <c r="D255" s="269"/>
    </row>
    <row r="256" spans="1:4" x14ac:dyDescent="0.25">
      <c r="A256" s="266" t="s">
        <v>1287</v>
      </c>
      <c r="B256" s="271">
        <v>9626124.5437166337</v>
      </c>
      <c r="C256" s="271">
        <f>+'Theoretical Reserve'!H335</f>
        <v>15214496.87400702</v>
      </c>
      <c r="D256" s="272">
        <f t="shared" ref="D256:D258" si="32">+C256-B256</f>
        <v>5588372.3302903865</v>
      </c>
    </row>
    <row r="257" spans="1:4" x14ac:dyDescent="0.25">
      <c r="A257" s="266" t="s">
        <v>1288</v>
      </c>
      <c r="B257" s="271">
        <v>12806988.560000001</v>
      </c>
      <c r="C257" s="271">
        <f>+'Rate Computation'!E27</f>
        <v>18533863.572940804</v>
      </c>
      <c r="D257" s="272">
        <f t="shared" si="32"/>
        <v>5726875.0129408035</v>
      </c>
    </row>
    <row r="258" spans="1:4" x14ac:dyDescent="0.25">
      <c r="A258" s="266" t="s">
        <v>1289</v>
      </c>
      <c r="B258" s="271">
        <f>+B257-B256</f>
        <v>3180864.0162833668</v>
      </c>
      <c r="C258" s="271">
        <f>+C257-C256</f>
        <v>3319366.6989337839</v>
      </c>
      <c r="D258" s="272">
        <f t="shared" si="32"/>
        <v>138502.68265041709</v>
      </c>
    </row>
    <row r="259" spans="1:4" x14ac:dyDescent="0.25">
      <c r="A259" s="266"/>
      <c r="B259" s="266"/>
      <c r="C259" s="266"/>
      <c r="D259" s="269"/>
    </row>
    <row r="260" spans="1:4" x14ac:dyDescent="0.25">
      <c r="A260" s="266" t="s">
        <v>50</v>
      </c>
      <c r="B260" s="274">
        <f>+B257/B251</f>
        <v>0.1326823718662499</v>
      </c>
      <c r="C260" s="274">
        <f>+C257/C251</f>
        <v>0.15974395346788736</v>
      </c>
      <c r="D260" s="269"/>
    </row>
    <row r="261" spans="1:4" x14ac:dyDescent="0.25">
      <c r="A261" s="266"/>
      <c r="B261" s="266"/>
      <c r="C261" s="266"/>
      <c r="D261" s="269"/>
    </row>
    <row r="262" spans="1:4" x14ac:dyDescent="0.25">
      <c r="A262" s="266" t="s">
        <v>1290</v>
      </c>
      <c r="B262" s="275">
        <v>0</v>
      </c>
      <c r="C262" s="275">
        <v>0</v>
      </c>
      <c r="D262" s="276">
        <f t="shared" ref="D262:D264" si="33">+C262-B262</f>
        <v>0</v>
      </c>
    </row>
    <row r="263" spans="1:4" x14ac:dyDescent="0.25">
      <c r="A263" s="266" t="s">
        <v>1291</v>
      </c>
      <c r="B263" s="275">
        <v>0.1</v>
      </c>
      <c r="C263" s="275">
        <f>+-Parameter!I21/100</f>
        <v>0.2</v>
      </c>
      <c r="D263" s="276">
        <f t="shared" si="33"/>
        <v>0.1</v>
      </c>
    </row>
    <row r="264" spans="1:4" x14ac:dyDescent="0.25">
      <c r="A264" s="266" t="s">
        <v>1292</v>
      </c>
      <c r="B264" s="275">
        <f>+B262-B263</f>
        <v>-0.1</v>
      </c>
      <c r="C264" s="275">
        <f>+C262-C263</f>
        <v>-0.2</v>
      </c>
      <c r="D264" s="276">
        <f t="shared" si="33"/>
        <v>-0.1</v>
      </c>
    </row>
    <row r="265" spans="1:4" x14ac:dyDescent="0.25">
      <c r="A265" s="266"/>
      <c r="B265" s="266"/>
      <c r="C265" s="266"/>
      <c r="D265" s="269"/>
    </row>
    <row r="266" spans="1:4" x14ac:dyDescent="0.25">
      <c r="A266" s="266" t="s">
        <v>1293</v>
      </c>
      <c r="B266" s="274">
        <v>2.1999999999999999E-2</v>
      </c>
      <c r="C266" s="274">
        <f>ROUND((1-C264)/C254,3)</f>
        <v>2.3E-2</v>
      </c>
      <c r="D266" s="273">
        <f t="shared" ref="D266:D267" si="34">+C266-B266</f>
        <v>1.0000000000000009E-3</v>
      </c>
    </row>
    <row r="267" spans="1:4" x14ac:dyDescent="0.25">
      <c r="A267" s="266" t="s">
        <v>1294</v>
      </c>
      <c r="B267" s="267">
        <f>+B266*B251</f>
        <v>2123520.5879799998</v>
      </c>
      <c r="C267" s="267">
        <f>+C266*C251</f>
        <v>2668513.2859399994</v>
      </c>
      <c r="D267" s="272">
        <f t="shared" si="34"/>
        <v>544992.69795999955</v>
      </c>
    </row>
    <row r="268" spans="1:4" x14ac:dyDescent="0.25">
      <c r="A268" s="266"/>
      <c r="B268" s="266"/>
      <c r="C268" s="266"/>
      <c r="D268" s="269"/>
    </row>
    <row r="269" spans="1:4" x14ac:dyDescent="0.25">
      <c r="A269" s="266" t="s">
        <v>48</v>
      </c>
      <c r="B269" s="278">
        <v>45.466903123895079</v>
      </c>
      <c r="C269" s="278">
        <f>+'Rate Computation'!M26</f>
        <v>31.211242123723302</v>
      </c>
      <c r="D269" s="277">
        <f t="shared" ref="D269:D271" si="35">+C269-B269</f>
        <v>-14.255661000171777</v>
      </c>
    </row>
    <row r="270" spans="1:4" x14ac:dyDescent="0.25">
      <c r="A270" s="266" t="s">
        <v>1295</v>
      </c>
      <c r="B270" s="274">
        <v>2.1000000000000001E-2</v>
      </c>
      <c r="C270" s="274">
        <f>+'Rate Computation'!Q26</f>
        <v>0.03</v>
      </c>
      <c r="D270" s="273">
        <f t="shared" si="35"/>
        <v>8.9999999999999976E-3</v>
      </c>
    </row>
    <row r="271" spans="1:4" x14ac:dyDescent="0.25">
      <c r="A271" s="266" t="s">
        <v>1296</v>
      </c>
      <c r="B271" s="267">
        <f>+B251*B270</f>
        <v>2026996.9248900001</v>
      </c>
      <c r="C271" s="267">
        <f>+C251*C270</f>
        <v>3480669.5033999989</v>
      </c>
      <c r="D271" s="272">
        <f t="shared" si="35"/>
        <v>1453672.5785099987</v>
      </c>
    </row>
    <row r="277" spans="1:4" x14ac:dyDescent="0.25">
      <c r="A277" s="379" t="s">
        <v>1279</v>
      </c>
      <c r="B277" s="380"/>
      <c r="C277" s="380"/>
      <c r="D277" s="381"/>
    </row>
    <row r="278" spans="1:4" x14ac:dyDescent="0.25">
      <c r="A278" s="379" t="s">
        <v>1280</v>
      </c>
      <c r="B278" s="380"/>
      <c r="C278" s="380"/>
      <c r="D278" s="381"/>
    </row>
    <row r="279" spans="1:4" x14ac:dyDescent="0.25">
      <c r="A279" s="373" t="s">
        <v>1309</v>
      </c>
      <c r="B279" s="374"/>
      <c r="C279" s="374"/>
      <c r="D279" s="375"/>
    </row>
    <row r="280" spans="1:4" x14ac:dyDescent="0.25">
      <c r="A280" s="376" t="s">
        <v>98</v>
      </c>
      <c r="B280" s="377"/>
      <c r="C280" s="377"/>
      <c r="D280" s="378"/>
    </row>
    <row r="281" spans="1:4" x14ac:dyDescent="0.25">
      <c r="A281" s="265" t="s">
        <v>1283</v>
      </c>
      <c r="B281" s="265" t="s">
        <v>1284</v>
      </c>
      <c r="C281" s="265">
        <v>2024</v>
      </c>
      <c r="D281" s="265" t="s">
        <v>1266</v>
      </c>
    </row>
    <row r="282" spans="1:4" x14ac:dyDescent="0.25">
      <c r="A282" s="266"/>
      <c r="B282" s="266"/>
      <c r="C282" s="266"/>
      <c r="D282" s="266"/>
    </row>
    <row r="283" spans="1:4" x14ac:dyDescent="0.25">
      <c r="A283" s="266" t="s">
        <v>1285</v>
      </c>
      <c r="B283" s="267">
        <v>55953816.700000025</v>
      </c>
      <c r="C283" s="268">
        <f>+'Rate Computation'!D28</f>
        <v>68085342.289999977</v>
      </c>
      <c r="D283" s="268">
        <f>+C283-B283</f>
        <v>12131525.589999951</v>
      </c>
    </row>
    <row r="284" spans="1:4" x14ac:dyDescent="0.25">
      <c r="A284" s="266"/>
      <c r="B284" s="266"/>
      <c r="C284" s="269"/>
      <c r="D284" s="269"/>
    </row>
    <row r="285" spans="1:4" x14ac:dyDescent="0.25">
      <c r="A285" s="266" t="s">
        <v>1286</v>
      </c>
      <c r="B285" s="265" t="s">
        <v>704</v>
      </c>
      <c r="C285" s="265" t="str">
        <f>+Parameter!H22</f>
        <v>R0.5</v>
      </c>
      <c r="D285" s="269"/>
    </row>
    <row r="286" spans="1:4" x14ac:dyDescent="0.25">
      <c r="A286" s="266" t="s">
        <v>79</v>
      </c>
      <c r="B286" s="265">
        <v>52</v>
      </c>
      <c r="C286" s="265">
        <f>+Parameter!G22</f>
        <v>52</v>
      </c>
      <c r="D286" s="270">
        <f>+C286-B286</f>
        <v>0</v>
      </c>
    </row>
    <row r="287" spans="1:4" x14ac:dyDescent="0.25">
      <c r="A287" s="266"/>
      <c r="B287" s="265"/>
      <c r="C287" s="269"/>
      <c r="D287" s="269"/>
    </row>
    <row r="288" spans="1:4" x14ac:dyDescent="0.25">
      <c r="A288" s="266" t="s">
        <v>1287</v>
      </c>
      <c r="B288" s="271">
        <v>33276606.296874437</v>
      </c>
      <c r="C288" s="271">
        <f>+'Theoretical Reserve'!H428</f>
        <v>38184988.990557551</v>
      </c>
      <c r="D288" s="272">
        <f t="shared" ref="D288:D290" si="36">+C288-B288</f>
        <v>4908382.6936831139</v>
      </c>
    </row>
    <row r="289" spans="1:4" x14ac:dyDescent="0.25">
      <c r="A289" s="266" t="s">
        <v>1288</v>
      </c>
      <c r="B289" s="271">
        <v>40295121.759999998</v>
      </c>
      <c r="C289" s="271">
        <f>+'Rate Computation'!E28</f>
        <v>41491765.423666812</v>
      </c>
      <c r="D289" s="272">
        <f t="shared" si="36"/>
        <v>1196643.6636668146</v>
      </c>
    </row>
    <row r="290" spans="1:4" x14ac:dyDescent="0.25">
      <c r="A290" s="266" t="s">
        <v>1289</v>
      </c>
      <c r="B290" s="271">
        <f>+B289-B288</f>
        <v>7018515.4631255604</v>
      </c>
      <c r="C290" s="271">
        <f>+C289-C288</f>
        <v>3306776.4331092611</v>
      </c>
      <c r="D290" s="272">
        <f t="shared" si="36"/>
        <v>-3711739.0300162993</v>
      </c>
    </row>
    <row r="291" spans="1:4" x14ac:dyDescent="0.25">
      <c r="A291" s="266"/>
      <c r="B291" s="266"/>
      <c r="C291" s="266"/>
      <c r="D291" s="269"/>
    </row>
    <row r="292" spans="1:4" x14ac:dyDescent="0.25">
      <c r="A292" s="266" t="s">
        <v>50</v>
      </c>
      <c r="B292" s="274">
        <f>+B289/B283</f>
        <v>0.72014965442026724</v>
      </c>
      <c r="C292" s="274">
        <f>+C289/C283</f>
        <v>0.60940819313118011</v>
      </c>
      <c r="D292" s="269"/>
    </row>
    <row r="293" spans="1:4" x14ac:dyDescent="0.25">
      <c r="A293" s="266"/>
      <c r="B293" s="266"/>
      <c r="C293" s="266"/>
      <c r="D293" s="269"/>
    </row>
    <row r="294" spans="1:4" x14ac:dyDescent="0.25">
      <c r="A294" s="266" t="s">
        <v>1290</v>
      </c>
      <c r="B294" s="275">
        <v>0</v>
      </c>
      <c r="C294" s="275">
        <v>0</v>
      </c>
      <c r="D294" s="276">
        <f t="shared" ref="D294:D296" si="37">+C294-B294</f>
        <v>0</v>
      </c>
    </row>
    <row r="295" spans="1:4" x14ac:dyDescent="0.25">
      <c r="A295" s="266" t="s">
        <v>1291</v>
      </c>
      <c r="B295" s="275">
        <v>1.25</v>
      </c>
      <c r="C295" s="275">
        <f>-Parameter!I22/100</f>
        <v>1.3</v>
      </c>
      <c r="D295" s="276">
        <f t="shared" si="37"/>
        <v>5.0000000000000044E-2</v>
      </c>
    </row>
    <row r="296" spans="1:4" x14ac:dyDescent="0.25">
      <c r="A296" s="266" t="s">
        <v>1292</v>
      </c>
      <c r="B296" s="275">
        <f>+B294-B295</f>
        <v>-1.25</v>
      </c>
      <c r="C296" s="275">
        <f>+C294-C295</f>
        <v>-1.3</v>
      </c>
      <c r="D296" s="276">
        <f t="shared" si="37"/>
        <v>-5.0000000000000044E-2</v>
      </c>
    </row>
    <row r="297" spans="1:4" x14ac:dyDescent="0.25">
      <c r="A297" s="266"/>
      <c r="B297" s="266"/>
      <c r="C297" s="266"/>
      <c r="D297" s="269"/>
    </row>
    <row r="298" spans="1:4" x14ac:dyDescent="0.25">
      <c r="A298" s="266" t="s">
        <v>1293</v>
      </c>
      <c r="B298" s="274">
        <v>4.2999999999999997E-2</v>
      </c>
      <c r="C298" s="274">
        <f>ROUND((1-C296)/C286,3)</f>
        <v>4.3999999999999997E-2</v>
      </c>
      <c r="D298" s="273">
        <f t="shared" ref="D298:D299" si="38">+C298-B298</f>
        <v>1.0000000000000009E-3</v>
      </c>
    </row>
    <row r="299" spans="1:4" x14ac:dyDescent="0.25">
      <c r="A299" s="266" t="s">
        <v>1294</v>
      </c>
      <c r="B299" s="267">
        <f>+B298*B283</f>
        <v>2406014.118100001</v>
      </c>
      <c r="C299" s="267">
        <f>+C298*C283</f>
        <v>2995755.0607599989</v>
      </c>
      <c r="D299" s="272">
        <f t="shared" si="38"/>
        <v>589740.94265999785</v>
      </c>
    </row>
    <row r="300" spans="1:4" x14ac:dyDescent="0.25">
      <c r="A300" s="266"/>
      <c r="B300" s="266"/>
      <c r="C300" s="266"/>
      <c r="D300" s="269"/>
    </row>
    <row r="301" spans="1:4" x14ac:dyDescent="0.25">
      <c r="A301" s="266" t="s">
        <v>48</v>
      </c>
      <c r="B301" s="278">
        <v>38.255462256468988</v>
      </c>
      <c r="C301" s="278">
        <f>+'Rate Computation'!M28</f>
        <v>39.320137264024254</v>
      </c>
      <c r="D301" s="277">
        <f t="shared" ref="D301:D303" si="39">+C301-B301</f>
        <v>1.064675007555266</v>
      </c>
    </row>
    <row r="302" spans="1:4" x14ac:dyDescent="0.25">
      <c r="A302" s="266" t="s">
        <v>1295</v>
      </c>
      <c r="B302" s="274">
        <v>0.04</v>
      </c>
      <c r="C302" s="274">
        <f>+'Rate Computation'!Q28</f>
        <v>4.2999999999999997E-2</v>
      </c>
      <c r="D302" s="273">
        <f t="shared" si="39"/>
        <v>2.9999999999999957E-3</v>
      </c>
    </row>
    <row r="303" spans="1:4" x14ac:dyDescent="0.25">
      <c r="A303" s="266" t="s">
        <v>1296</v>
      </c>
      <c r="B303" s="267">
        <f>+B283*B302</f>
        <v>2238152.668000001</v>
      </c>
      <c r="C303" s="267">
        <f>+C283*C302</f>
        <v>2927669.7184699988</v>
      </c>
      <c r="D303" s="272">
        <f t="shared" si="39"/>
        <v>689517.0504699978</v>
      </c>
    </row>
    <row r="307" spans="1:4" x14ac:dyDescent="0.25">
      <c r="A307" s="379" t="s">
        <v>1279</v>
      </c>
      <c r="B307" s="380"/>
      <c r="C307" s="380"/>
      <c r="D307" s="381"/>
    </row>
    <row r="308" spans="1:4" x14ac:dyDescent="0.25">
      <c r="A308" s="379" t="s">
        <v>1280</v>
      </c>
      <c r="B308" s="380"/>
      <c r="C308" s="380"/>
      <c r="D308" s="381"/>
    </row>
    <row r="309" spans="1:4" x14ac:dyDescent="0.25">
      <c r="A309" s="373" t="s">
        <v>1310</v>
      </c>
      <c r="B309" s="374"/>
      <c r="C309" s="374"/>
      <c r="D309" s="375"/>
    </row>
    <row r="310" spans="1:4" x14ac:dyDescent="0.25">
      <c r="A310" s="376" t="s">
        <v>99</v>
      </c>
      <c r="B310" s="377"/>
      <c r="C310" s="377"/>
      <c r="D310" s="378"/>
    </row>
    <row r="311" spans="1:4" x14ac:dyDescent="0.25">
      <c r="A311" s="265" t="s">
        <v>1283</v>
      </c>
      <c r="B311" s="265" t="s">
        <v>1284</v>
      </c>
      <c r="C311" s="265">
        <v>2024</v>
      </c>
      <c r="D311" s="265" t="s">
        <v>1266</v>
      </c>
    </row>
    <row r="312" spans="1:4" x14ac:dyDescent="0.25">
      <c r="A312" s="266"/>
      <c r="B312" s="266"/>
      <c r="C312" s="266"/>
      <c r="D312" s="266"/>
    </row>
    <row r="313" spans="1:4" x14ac:dyDescent="0.25">
      <c r="A313" s="266" t="s">
        <v>1285</v>
      </c>
      <c r="B313" s="267">
        <v>409505669.88000005</v>
      </c>
      <c r="C313" s="268">
        <f>+'Rate Computation'!D29</f>
        <v>610080538.33000004</v>
      </c>
      <c r="D313" s="268">
        <f>+C313-B313</f>
        <v>200574868.44999999</v>
      </c>
    </row>
    <row r="314" spans="1:4" x14ac:dyDescent="0.25">
      <c r="A314" s="266"/>
      <c r="B314" s="266"/>
      <c r="C314" s="269"/>
      <c r="D314" s="269"/>
    </row>
    <row r="315" spans="1:4" x14ac:dyDescent="0.25">
      <c r="A315" s="266" t="s">
        <v>1286</v>
      </c>
      <c r="B315" s="265" t="s">
        <v>702</v>
      </c>
      <c r="C315" s="265" t="str">
        <f>+Parameter!H23</f>
        <v>R2.5</v>
      </c>
      <c r="D315" s="269"/>
    </row>
    <row r="316" spans="1:4" x14ac:dyDescent="0.25">
      <c r="A316" s="266" t="s">
        <v>79</v>
      </c>
      <c r="B316" s="265">
        <v>55</v>
      </c>
      <c r="C316" s="265">
        <f>+Parameter!G23</f>
        <v>55</v>
      </c>
      <c r="D316" s="270">
        <f>+C316-B316</f>
        <v>0</v>
      </c>
    </row>
    <row r="317" spans="1:4" x14ac:dyDescent="0.25">
      <c r="A317" s="266"/>
      <c r="B317" s="265"/>
      <c r="C317" s="269"/>
      <c r="D317" s="269"/>
    </row>
    <row r="318" spans="1:4" x14ac:dyDescent="0.25">
      <c r="A318" s="266" t="s">
        <v>1287</v>
      </c>
      <c r="B318" s="271">
        <v>112016966.04726972</v>
      </c>
      <c r="C318" s="271">
        <f>+'Theoretical Reserve'!H472</f>
        <v>172871467.21459481</v>
      </c>
      <c r="D318" s="272">
        <f t="shared" ref="D318:D320" si="40">+C318-B318</f>
        <v>60854501.167325094</v>
      </c>
    </row>
    <row r="319" spans="1:4" x14ac:dyDescent="0.25">
      <c r="A319" s="266" t="s">
        <v>1288</v>
      </c>
      <c r="B319" s="271">
        <v>183234186.83000001</v>
      </c>
      <c r="C319" s="271">
        <f>+'Rate Computation'!E29</f>
        <v>203173739.25244004</v>
      </c>
      <c r="D319" s="272">
        <f t="shared" si="40"/>
        <v>19939552.422440022</v>
      </c>
    </row>
    <row r="320" spans="1:4" x14ac:dyDescent="0.25">
      <c r="A320" s="266" t="s">
        <v>1289</v>
      </c>
      <c r="B320" s="271">
        <f>+B319-B318</f>
        <v>71217220.782730296</v>
      </c>
      <c r="C320" s="271">
        <f>+C319-C318</f>
        <v>30302272.037845224</v>
      </c>
      <c r="D320" s="272">
        <f t="shared" si="40"/>
        <v>-40914948.744885072</v>
      </c>
    </row>
    <row r="321" spans="1:4" x14ac:dyDescent="0.25">
      <c r="A321" s="266"/>
      <c r="B321" s="266"/>
      <c r="C321" s="266"/>
      <c r="D321" s="269"/>
    </row>
    <row r="322" spans="1:4" x14ac:dyDescent="0.25">
      <c r="A322" s="266" t="s">
        <v>50</v>
      </c>
      <c r="B322" s="274">
        <f>+B319/B313</f>
        <v>0.44745213633719466</v>
      </c>
      <c r="C322" s="274">
        <f>+C319/C313</f>
        <v>0.33302773402442298</v>
      </c>
      <c r="D322" s="269"/>
    </row>
    <row r="323" spans="1:4" x14ac:dyDescent="0.25">
      <c r="A323" s="266"/>
      <c r="B323" s="266"/>
      <c r="C323" s="266"/>
      <c r="D323" s="269"/>
    </row>
    <row r="324" spans="1:4" x14ac:dyDescent="0.25">
      <c r="A324" s="266" t="s">
        <v>1290</v>
      </c>
      <c r="B324" s="275">
        <v>0</v>
      </c>
      <c r="C324" s="275">
        <v>0</v>
      </c>
      <c r="D324" s="276">
        <f t="shared" ref="D324:D326" si="41">+C324-B324</f>
        <v>0</v>
      </c>
    </row>
    <row r="325" spans="1:4" x14ac:dyDescent="0.25">
      <c r="A325" s="266" t="s">
        <v>1291</v>
      </c>
      <c r="B325" s="275">
        <v>0.68</v>
      </c>
      <c r="C325" s="275">
        <f>-Parameter!I23/100</f>
        <v>0.75</v>
      </c>
      <c r="D325" s="276">
        <f t="shared" si="41"/>
        <v>6.9999999999999951E-2</v>
      </c>
    </row>
    <row r="326" spans="1:4" x14ac:dyDescent="0.25">
      <c r="A326" s="266" t="s">
        <v>1292</v>
      </c>
      <c r="B326" s="275">
        <f>+B324-B325</f>
        <v>-0.68</v>
      </c>
      <c r="C326" s="275">
        <f>+C324-C325</f>
        <v>-0.75</v>
      </c>
      <c r="D326" s="276">
        <f t="shared" si="41"/>
        <v>-6.9999999999999951E-2</v>
      </c>
    </row>
    <row r="327" spans="1:4" x14ac:dyDescent="0.25">
      <c r="A327" s="266"/>
      <c r="B327" s="266"/>
      <c r="C327" s="266"/>
      <c r="D327" s="269"/>
    </row>
    <row r="328" spans="1:4" x14ac:dyDescent="0.25">
      <c r="A328" s="266" t="s">
        <v>1293</v>
      </c>
      <c r="B328" s="274">
        <v>3.1E-2</v>
      </c>
      <c r="C328" s="274">
        <f>ROUND((1-C326)/C316,3)</f>
        <v>3.2000000000000001E-2</v>
      </c>
      <c r="D328" s="273">
        <f t="shared" ref="D328:D329" si="42">+C328-B328</f>
        <v>1.0000000000000009E-3</v>
      </c>
    </row>
    <row r="329" spans="1:4" x14ac:dyDescent="0.25">
      <c r="A329" s="266" t="s">
        <v>1294</v>
      </c>
      <c r="B329" s="267">
        <f>+B328*B313</f>
        <v>12694675.766280001</v>
      </c>
      <c r="C329" s="267">
        <f>+C328*C313</f>
        <v>19522577.22656</v>
      </c>
      <c r="D329" s="272">
        <f t="shared" si="42"/>
        <v>6827901.4602799993</v>
      </c>
    </row>
    <row r="330" spans="1:4" x14ac:dyDescent="0.25">
      <c r="A330" s="266"/>
      <c r="B330" s="266"/>
      <c r="C330" s="266"/>
      <c r="D330" s="269"/>
    </row>
    <row r="331" spans="1:4" x14ac:dyDescent="0.25">
      <c r="A331" s="266" t="s">
        <v>48</v>
      </c>
      <c r="B331" s="278">
        <v>46.044758662773511</v>
      </c>
      <c r="C331" s="278">
        <f>+'Rate Computation'!M29</f>
        <v>46.094449152257631</v>
      </c>
      <c r="D331" s="277">
        <f t="shared" ref="D331:D333" si="43">+C331-B331</f>
        <v>4.9690489484120803E-2</v>
      </c>
    </row>
    <row r="332" spans="1:4" x14ac:dyDescent="0.25">
      <c r="A332" s="266" t="s">
        <v>1295</v>
      </c>
      <c r="B332" s="274">
        <v>2.7E-2</v>
      </c>
      <c r="C332" s="274">
        <f>+'Rate Computation'!Q29</f>
        <v>3.1E-2</v>
      </c>
      <c r="D332" s="273">
        <f t="shared" si="43"/>
        <v>4.0000000000000001E-3</v>
      </c>
    </row>
    <row r="333" spans="1:4" x14ac:dyDescent="0.25">
      <c r="A333" s="266" t="s">
        <v>1296</v>
      </c>
      <c r="B333" s="267">
        <f>+B313*B332</f>
        <v>11056653.086760001</v>
      </c>
      <c r="C333" s="267">
        <f>+C313*C332</f>
        <v>18912496.68823</v>
      </c>
      <c r="D333" s="272">
        <f t="shared" si="43"/>
        <v>7855843.6014699992</v>
      </c>
    </row>
    <row r="338" spans="1:4" x14ac:dyDescent="0.25">
      <c r="A338" s="379" t="s">
        <v>1279</v>
      </c>
      <c r="B338" s="380"/>
      <c r="C338" s="380"/>
      <c r="D338" s="381"/>
    </row>
    <row r="339" spans="1:4" x14ac:dyDescent="0.25">
      <c r="A339" s="379" t="s">
        <v>1280</v>
      </c>
      <c r="B339" s="380"/>
      <c r="C339" s="380"/>
      <c r="D339" s="381"/>
    </row>
    <row r="340" spans="1:4" x14ac:dyDescent="0.25">
      <c r="A340" s="373" t="s">
        <v>1311</v>
      </c>
      <c r="B340" s="374"/>
      <c r="C340" s="374"/>
      <c r="D340" s="375"/>
    </row>
    <row r="341" spans="1:4" x14ac:dyDescent="0.25">
      <c r="A341" s="376" t="s">
        <v>100</v>
      </c>
      <c r="B341" s="377"/>
      <c r="C341" s="377"/>
      <c r="D341" s="378"/>
    </row>
    <row r="342" spans="1:4" x14ac:dyDescent="0.25">
      <c r="A342" s="265" t="s">
        <v>1283</v>
      </c>
      <c r="B342" s="265" t="s">
        <v>1284</v>
      </c>
      <c r="C342" s="265">
        <v>2024</v>
      </c>
      <c r="D342" s="265" t="s">
        <v>1266</v>
      </c>
    </row>
    <row r="343" spans="1:4" x14ac:dyDescent="0.25">
      <c r="A343" s="266"/>
      <c r="B343" s="266"/>
      <c r="C343" s="266"/>
      <c r="D343" s="266"/>
    </row>
    <row r="344" spans="1:4" x14ac:dyDescent="0.25">
      <c r="A344" s="266" t="s">
        <v>1285</v>
      </c>
      <c r="B344" s="267">
        <v>78709923.789999992</v>
      </c>
      <c r="C344" s="268">
        <f>+'Rate Computation'!D30</f>
        <v>99270694.280000001</v>
      </c>
      <c r="D344" s="268">
        <f>+C344-B344</f>
        <v>20560770.49000001</v>
      </c>
    </row>
    <row r="345" spans="1:4" x14ac:dyDescent="0.25">
      <c r="A345" s="266"/>
      <c r="B345" s="266"/>
      <c r="C345" s="269"/>
      <c r="D345" s="269"/>
    </row>
    <row r="346" spans="1:4" x14ac:dyDescent="0.25">
      <c r="A346" s="266" t="s">
        <v>1286</v>
      </c>
      <c r="B346" s="265" t="s">
        <v>26</v>
      </c>
      <c r="C346" s="265" t="str">
        <f>+Parameter!H24</f>
        <v>R2</v>
      </c>
      <c r="D346" s="269"/>
    </row>
    <row r="347" spans="1:4" x14ac:dyDescent="0.25">
      <c r="A347" s="266" t="s">
        <v>79</v>
      </c>
      <c r="B347" s="265">
        <v>19</v>
      </c>
      <c r="C347" s="265">
        <f>+Parameter!G24</f>
        <v>20</v>
      </c>
      <c r="D347" s="270">
        <f>+C347-B347</f>
        <v>1</v>
      </c>
    </row>
    <row r="348" spans="1:4" x14ac:dyDescent="0.25">
      <c r="A348" s="266"/>
      <c r="B348" s="265"/>
      <c r="C348" s="269"/>
      <c r="D348" s="269"/>
    </row>
    <row r="349" spans="1:4" x14ac:dyDescent="0.25">
      <c r="A349" s="266" t="s">
        <v>1287</v>
      </c>
      <c r="B349" s="271">
        <v>29211248.896270443</v>
      </c>
      <c r="C349" s="271">
        <f>+'Theoretical Reserve'!H497</f>
        <v>37916264.508394338</v>
      </c>
      <c r="D349" s="272">
        <f t="shared" ref="D349:D351" si="44">+C349-B349</f>
        <v>8705015.6121238954</v>
      </c>
    </row>
    <row r="350" spans="1:4" x14ac:dyDescent="0.25">
      <c r="A350" s="266" t="s">
        <v>1288</v>
      </c>
      <c r="B350" s="271">
        <v>29722477.870000001</v>
      </c>
      <c r="C350" s="271">
        <f>+'Rate Computation'!E30</f>
        <v>41081230.221588202</v>
      </c>
      <c r="D350" s="272">
        <f t="shared" si="44"/>
        <v>11358752.351588201</v>
      </c>
    </row>
    <row r="351" spans="1:4" x14ac:dyDescent="0.25">
      <c r="A351" s="266" t="s">
        <v>1289</v>
      </c>
      <c r="B351" s="271">
        <f>+B350-B349</f>
        <v>511228.97372955829</v>
      </c>
      <c r="C351" s="271">
        <f>+C350-C349</f>
        <v>3164965.7131938636</v>
      </c>
      <c r="D351" s="272">
        <f t="shared" si="44"/>
        <v>2653736.7394643053</v>
      </c>
    </row>
    <row r="352" spans="1:4" x14ac:dyDescent="0.25">
      <c r="A352" s="266"/>
      <c r="B352" s="266"/>
      <c r="C352" s="266"/>
      <c r="D352" s="269"/>
    </row>
    <row r="353" spans="1:4" x14ac:dyDescent="0.25">
      <c r="A353" s="266" t="s">
        <v>50</v>
      </c>
      <c r="B353" s="274">
        <f>+B350/B344</f>
        <v>0.37762046307274166</v>
      </c>
      <c r="C353" s="274">
        <f>+C350/C344</f>
        <v>0.41383039092801843</v>
      </c>
      <c r="D353" s="269"/>
    </row>
    <row r="354" spans="1:4" x14ac:dyDescent="0.25">
      <c r="A354" s="266"/>
      <c r="B354" s="266"/>
      <c r="C354" s="266"/>
      <c r="D354" s="269"/>
    </row>
    <row r="355" spans="1:4" x14ac:dyDescent="0.25">
      <c r="A355" s="266" t="s">
        <v>1290</v>
      </c>
      <c r="B355" s="275">
        <v>0.03</v>
      </c>
      <c r="C355" s="275">
        <v>0</v>
      </c>
      <c r="D355" s="276">
        <f t="shared" ref="D355:D357" si="45">+C355-B355</f>
        <v>-0.03</v>
      </c>
    </row>
    <row r="356" spans="1:4" x14ac:dyDescent="0.25">
      <c r="A356" s="266" t="s">
        <v>1291</v>
      </c>
      <c r="B356" s="275">
        <v>0</v>
      </c>
      <c r="C356" s="275">
        <f>+Parameter!I24/100</f>
        <v>0</v>
      </c>
      <c r="D356" s="276">
        <f t="shared" si="45"/>
        <v>0</v>
      </c>
    </row>
    <row r="357" spans="1:4" x14ac:dyDescent="0.25">
      <c r="A357" s="266" t="s">
        <v>1292</v>
      </c>
      <c r="B357" s="275">
        <f>+B355-B356</f>
        <v>0.03</v>
      </c>
      <c r="C357" s="275">
        <f>+C355-C356</f>
        <v>0</v>
      </c>
      <c r="D357" s="276">
        <f t="shared" si="45"/>
        <v>-0.03</v>
      </c>
    </row>
    <row r="358" spans="1:4" x14ac:dyDescent="0.25">
      <c r="A358" s="266"/>
      <c r="B358" s="266"/>
      <c r="C358" s="266"/>
      <c r="D358" s="269"/>
    </row>
    <row r="359" spans="1:4" x14ac:dyDescent="0.25">
      <c r="A359" s="266" t="s">
        <v>1293</v>
      </c>
      <c r="B359" s="274">
        <v>5.0999999999999997E-2</v>
      </c>
      <c r="C359" s="274">
        <f>ROUND((1-C357)/C347,3)</f>
        <v>0.05</v>
      </c>
      <c r="D359" s="273">
        <f t="shared" ref="D359:D360" si="46">+C359-B359</f>
        <v>-9.9999999999999395E-4</v>
      </c>
    </row>
    <row r="360" spans="1:4" x14ac:dyDescent="0.25">
      <c r="A360" s="266" t="s">
        <v>1294</v>
      </c>
      <c r="B360" s="267">
        <f>+B359*B344</f>
        <v>4014206.1132899993</v>
      </c>
      <c r="C360" s="267">
        <f>+C359*C344</f>
        <v>4963534.7140000006</v>
      </c>
      <c r="D360" s="272">
        <f t="shared" si="46"/>
        <v>949328.60071000131</v>
      </c>
    </row>
    <row r="361" spans="1:4" x14ac:dyDescent="0.25">
      <c r="A361" s="266"/>
      <c r="B361" s="266"/>
      <c r="C361" s="266"/>
      <c r="D361" s="269"/>
    </row>
    <row r="362" spans="1:4" x14ac:dyDescent="0.25">
      <c r="A362" s="266" t="s">
        <v>48</v>
      </c>
      <c r="B362" s="278">
        <v>11.730534162140938</v>
      </c>
      <c r="C362" s="278">
        <f>+'Rate Computation'!M30</f>
        <v>12.361035694693776</v>
      </c>
      <c r="D362" s="277">
        <f t="shared" ref="D362:D364" si="47">+C362-B362</f>
        <v>0.63050153255283803</v>
      </c>
    </row>
    <row r="363" spans="1:4" x14ac:dyDescent="0.25">
      <c r="A363" s="266" t="s">
        <v>1295</v>
      </c>
      <c r="B363" s="274">
        <v>0.05</v>
      </c>
      <c r="C363" s="274">
        <f>+'Rate Computation'!Q30</f>
        <v>4.7E-2</v>
      </c>
      <c r="D363" s="273">
        <f t="shared" si="47"/>
        <v>-3.0000000000000027E-3</v>
      </c>
    </row>
    <row r="364" spans="1:4" x14ac:dyDescent="0.25">
      <c r="A364" s="266" t="s">
        <v>1296</v>
      </c>
      <c r="B364" s="267">
        <f>+B344*B363</f>
        <v>3935496.1894999999</v>
      </c>
      <c r="C364" s="267">
        <f>+C344*C363</f>
        <v>4665722.6311600003</v>
      </c>
      <c r="D364" s="272">
        <f t="shared" si="47"/>
        <v>730226.44166000048</v>
      </c>
    </row>
    <row r="368" spans="1:4" x14ac:dyDescent="0.25">
      <c r="A368" s="379" t="s">
        <v>1279</v>
      </c>
      <c r="B368" s="380"/>
      <c r="C368" s="380"/>
      <c r="D368" s="381"/>
    </row>
    <row r="369" spans="1:4" x14ac:dyDescent="0.25">
      <c r="A369" s="379" t="s">
        <v>1280</v>
      </c>
      <c r="B369" s="380"/>
      <c r="C369" s="380"/>
      <c r="D369" s="381"/>
    </row>
    <row r="370" spans="1:4" x14ac:dyDescent="0.25">
      <c r="A370" s="373" t="s">
        <v>1312</v>
      </c>
      <c r="B370" s="374"/>
      <c r="C370" s="374"/>
      <c r="D370" s="375"/>
    </row>
    <row r="371" spans="1:4" x14ac:dyDescent="0.25">
      <c r="A371" s="376" t="s">
        <v>101</v>
      </c>
      <c r="B371" s="377"/>
      <c r="C371" s="377"/>
      <c r="D371" s="378"/>
    </row>
    <row r="372" spans="1:4" x14ac:dyDescent="0.25">
      <c r="A372" s="265" t="s">
        <v>1283</v>
      </c>
      <c r="B372" s="265" t="s">
        <v>1284</v>
      </c>
      <c r="C372" s="265">
        <v>2024</v>
      </c>
      <c r="D372" s="265" t="s">
        <v>1266</v>
      </c>
    </row>
    <row r="373" spans="1:4" x14ac:dyDescent="0.25">
      <c r="A373" s="266"/>
      <c r="B373" s="266"/>
      <c r="C373" s="266"/>
      <c r="D373" s="266"/>
    </row>
    <row r="374" spans="1:4" x14ac:dyDescent="0.25">
      <c r="A374" s="266" t="s">
        <v>1285</v>
      </c>
      <c r="B374" s="267">
        <v>73171227.500000015</v>
      </c>
      <c r="C374" s="268">
        <f>+'Rate Computation'!D31</f>
        <v>105820491.27000003</v>
      </c>
      <c r="D374" s="268">
        <f>+C374-B374</f>
        <v>32649263.770000011</v>
      </c>
    </row>
    <row r="375" spans="1:4" x14ac:dyDescent="0.25">
      <c r="A375" s="266"/>
      <c r="B375" s="266"/>
      <c r="C375" s="269"/>
      <c r="D375" s="269"/>
    </row>
    <row r="376" spans="1:4" x14ac:dyDescent="0.25">
      <c r="A376" s="266" t="s">
        <v>1286</v>
      </c>
      <c r="B376" s="265" t="s">
        <v>52</v>
      </c>
      <c r="C376" s="265" t="str">
        <f>+Parameter!H25</f>
        <v>R1.5</v>
      </c>
      <c r="D376" s="269"/>
    </row>
    <row r="377" spans="1:4" x14ac:dyDescent="0.25">
      <c r="A377" s="266" t="s">
        <v>79</v>
      </c>
      <c r="B377" s="265">
        <v>44</v>
      </c>
      <c r="C377" s="265">
        <f>+Parameter!G25</f>
        <v>45</v>
      </c>
      <c r="D377" s="270">
        <f>+C377-B377</f>
        <v>1</v>
      </c>
    </row>
    <row r="378" spans="1:4" x14ac:dyDescent="0.25">
      <c r="A378" s="266"/>
      <c r="B378" s="265"/>
      <c r="C378" s="269"/>
      <c r="D378" s="269"/>
    </row>
    <row r="379" spans="1:4" x14ac:dyDescent="0.25">
      <c r="A379" s="266" t="s">
        <v>1287</v>
      </c>
      <c r="B379" s="271">
        <v>17402243.862230491</v>
      </c>
      <c r="C379" s="271">
        <f>+'Theoretical Reserve'!H544</f>
        <v>24611717.327099681</v>
      </c>
      <c r="D379" s="272">
        <f t="shared" ref="D379:D381" si="48">+C379-B379</f>
        <v>7209473.46486919</v>
      </c>
    </row>
    <row r="380" spans="1:4" x14ac:dyDescent="0.25">
      <c r="A380" s="266" t="s">
        <v>1288</v>
      </c>
      <c r="B380" s="271">
        <v>33832634.369999997</v>
      </c>
      <c r="C380" s="271">
        <f>+'Rate Computation'!E31</f>
        <v>35074647.943045013</v>
      </c>
      <c r="D380" s="272">
        <f t="shared" si="48"/>
        <v>1242013.5730450153</v>
      </c>
    </row>
    <row r="381" spans="1:4" x14ac:dyDescent="0.25">
      <c r="A381" s="266" t="s">
        <v>1289</v>
      </c>
      <c r="B381" s="271">
        <f>+B380-B379</f>
        <v>16430390.507769506</v>
      </c>
      <c r="C381" s="271">
        <f>+C380-C379</f>
        <v>10462930.615945332</v>
      </c>
      <c r="D381" s="272">
        <f t="shared" si="48"/>
        <v>-5967459.8918241747</v>
      </c>
    </row>
    <row r="382" spans="1:4" x14ac:dyDescent="0.25">
      <c r="A382" s="266"/>
      <c r="B382" s="266"/>
      <c r="C382" s="266"/>
      <c r="D382" s="269"/>
    </row>
    <row r="383" spans="1:4" x14ac:dyDescent="0.25">
      <c r="A383" s="266" t="s">
        <v>50</v>
      </c>
      <c r="B383" s="274">
        <f>+B380/B374</f>
        <v>0.46237620340590829</v>
      </c>
      <c r="C383" s="274">
        <f>+C380/C374</f>
        <v>0.33145421573929729</v>
      </c>
      <c r="D383" s="269"/>
    </row>
    <row r="384" spans="1:4" x14ac:dyDescent="0.25">
      <c r="A384" s="266"/>
      <c r="B384" s="266"/>
      <c r="C384" s="266"/>
      <c r="D384" s="269"/>
    </row>
    <row r="385" spans="1:4" x14ac:dyDescent="0.25">
      <c r="A385" s="266" t="s">
        <v>1290</v>
      </c>
      <c r="B385" s="275">
        <v>0</v>
      </c>
      <c r="C385" s="275">
        <v>0</v>
      </c>
      <c r="D385" s="276">
        <f t="shared" ref="D385:D387" si="49">+C385-B385</f>
        <v>0</v>
      </c>
    </row>
    <row r="386" spans="1:4" x14ac:dyDescent="0.25">
      <c r="A386" s="266" t="s">
        <v>1291</v>
      </c>
      <c r="B386" s="275">
        <v>0.25</v>
      </c>
      <c r="C386" s="275">
        <f>-Parameter!I25/100</f>
        <v>0.3</v>
      </c>
      <c r="D386" s="276">
        <f t="shared" si="49"/>
        <v>4.9999999999999989E-2</v>
      </c>
    </row>
    <row r="387" spans="1:4" x14ac:dyDescent="0.25">
      <c r="A387" s="266" t="s">
        <v>1292</v>
      </c>
      <c r="B387" s="275">
        <f>+B385-B386</f>
        <v>-0.25</v>
      </c>
      <c r="C387" s="275">
        <f>+C385-C386</f>
        <v>-0.3</v>
      </c>
      <c r="D387" s="276">
        <f t="shared" si="49"/>
        <v>-4.9999999999999989E-2</v>
      </c>
    </row>
    <row r="388" spans="1:4" x14ac:dyDescent="0.25">
      <c r="A388" s="266"/>
      <c r="B388" s="266"/>
      <c r="C388" s="266"/>
      <c r="D388" s="269"/>
    </row>
    <row r="389" spans="1:4" x14ac:dyDescent="0.25">
      <c r="A389" s="266" t="s">
        <v>1293</v>
      </c>
      <c r="B389" s="274">
        <v>2.8000000000000001E-2</v>
      </c>
      <c r="C389" s="274">
        <f>ROUND((1-C387)/C377,3)</f>
        <v>2.9000000000000001E-2</v>
      </c>
      <c r="D389" s="273">
        <f>+C389-B389</f>
        <v>1.0000000000000009E-3</v>
      </c>
    </row>
    <row r="390" spans="1:4" x14ac:dyDescent="0.25">
      <c r="A390" s="266" t="s">
        <v>1294</v>
      </c>
      <c r="B390" s="267">
        <f>+B389*B374</f>
        <v>2048794.3700000003</v>
      </c>
      <c r="C390" s="267">
        <f>+C389*C374</f>
        <v>3068794.246830001</v>
      </c>
      <c r="D390" s="272">
        <f t="shared" ref="D390" si="50">+C390-B390</f>
        <v>1019999.8768300007</v>
      </c>
    </row>
    <row r="391" spans="1:4" x14ac:dyDescent="0.25">
      <c r="A391" s="266"/>
      <c r="B391" s="266"/>
      <c r="C391" s="266"/>
      <c r="D391" s="269"/>
    </row>
    <row r="392" spans="1:4" x14ac:dyDescent="0.25">
      <c r="A392" s="266" t="s">
        <v>48</v>
      </c>
      <c r="B392" s="278">
        <v>35.628417277125578</v>
      </c>
      <c r="C392" s="278">
        <f>+'Rate Computation'!M31</f>
        <v>36.949157945704926</v>
      </c>
      <c r="D392" s="277">
        <f t="shared" ref="D392:D394" si="51">+C392-B392</f>
        <v>1.3207406685793472</v>
      </c>
    </row>
    <row r="393" spans="1:4" x14ac:dyDescent="0.25">
      <c r="A393" s="266" t="s">
        <v>1295</v>
      </c>
      <c r="B393" s="274">
        <v>2.1999999999999999E-2</v>
      </c>
      <c r="C393" s="274">
        <f>+'Rate Computation'!Q31</f>
        <v>2.5999999999999999E-2</v>
      </c>
      <c r="D393" s="273">
        <f t="shared" si="51"/>
        <v>4.0000000000000001E-3</v>
      </c>
    </row>
    <row r="394" spans="1:4" x14ac:dyDescent="0.25">
      <c r="A394" s="266" t="s">
        <v>1296</v>
      </c>
      <c r="B394" s="267">
        <f>+B374*B393</f>
        <v>1609767.0050000001</v>
      </c>
      <c r="C394" s="267">
        <f>+C374*C393</f>
        <v>2751332.7730200007</v>
      </c>
      <c r="D394" s="272">
        <f t="shared" si="51"/>
        <v>1141565.7680200005</v>
      </c>
    </row>
    <row r="398" spans="1:4" x14ac:dyDescent="0.25">
      <c r="A398" s="379" t="s">
        <v>1279</v>
      </c>
      <c r="B398" s="380"/>
      <c r="C398" s="380"/>
      <c r="D398" s="381"/>
    </row>
    <row r="399" spans="1:4" x14ac:dyDescent="0.25">
      <c r="A399" s="379" t="s">
        <v>1280</v>
      </c>
      <c r="B399" s="380"/>
      <c r="C399" s="380"/>
      <c r="D399" s="381"/>
    </row>
    <row r="400" spans="1:4" x14ac:dyDescent="0.25">
      <c r="A400" s="373" t="s">
        <v>1313</v>
      </c>
      <c r="B400" s="374"/>
      <c r="C400" s="374"/>
      <c r="D400" s="375"/>
    </row>
    <row r="401" spans="1:4" x14ac:dyDescent="0.25">
      <c r="A401" s="376" t="s">
        <v>102</v>
      </c>
      <c r="B401" s="377"/>
      <c r="C401" s="377"/>
      <c r="D401" s="378"/>
    </row>
    <row r="402" spans="1:4" x14ac:dyDescent="0.25">
      <c r="A402" s="265" t="s">
        <v>1283</v>
      </c>
      <c r="B402" s="265" t="s">
        <v>1284</v>
      </c>
      <c r="C402" s="265">
        <v>2024</v>
      </c>
      <c r="D402" s="265" t="s">
        <v>1266</v>
      </c>
    </row>
    <row r="403" spans="1:4" x14ac:dyDescent="0.25">
      <c r="A403" s="266"/>
      <c r="B403" s="266"/>
      <c r="C403" s="266"/>
      <c r="D403" s="266"/>
    </row>
    <row r="404" spans="1:4" x14ac:dyDescent="0.25">
      <c r="A404" s="266" t="s">
        <v>1285</v>
      </c>
      <c r="B404" s="267">
        <v>17697139.319999993</v>
      </c>
      <c r="C404" s="268">
        <f>+'Rate Computation'!D32</f>
        <v>20766817.199999996</v>
      </c>
      <c r="D404" s="268">
        <f>+C404-B404</f>
        <v>3069677.8800000027</v>
      </c>
    </row>
    <row r="405" spans="1:4" x14ac:dyDescent="0.25">
      <c r="A405" s="266"/>
      <c r="B405" s="266"/>
      <c r="C405" s="269"/>
      <c r="D405" s="269"/>
    </row>
    <row r="406" spans="1:4" x14ac:dyDescent="0.25">
      <c r="A406" s="266" t="s">
        <v>1286</v>
      </c>
      <c r="B406" s="265" t="s">
        <v>53</v>
      </c>
      <c r="C406" s="265" t="str">
        <f>+Parameter!H26</f>
        <v>S1.5</v>
      </c>
      <c r="D406" s="269"/>
    </row>
    <row r="407" spans="1:4" x14ac:dyDescent="0.25">
      <c r="A407" s="266" t="s">
        <v>79</v>
      </c>
      <c r="B407" s="265">
        <v>42</v>
      </c>
      <c r="C407" s="265">
        <f>+Parameter!G26</f>
        <v>42</v>
      </c>
      <c r="D407" s="270">
        <f>+C407-B407</f>
        <v>0</v>
      </c>
    </row>
    <row r="408" spans="1:4" x14ac:dyDescent="0.25">
      <c r="A408" s="266"/>
      <c r="B408" s="265"/>
      <c r="C408" s="269"/>
      <c r="D408" s="269"/>
    </row>
    <row r="409" spans="1:4" x14ac:dyDescent="0.25">
      <c r="A409" s="266" t="s">
        <v>1287</v>
      </c>
      <c r="B409" s="271">
        <v>5521527.5226635542</v>
      </c>
      <c r="C409" s="271">
        <f>+'Theoretical Reserve'!H596</f>
        <v>6811436.1471380144</v>
      </c>
      <c r="D409" s="272">
        <f t="shared" ref="D409:D411" si="52">+C409-B409</f>
        <v>1289908.6244744603</v>
      </c>
    </row>
    <row r="410" spans="1:4" x14ac:dyDescent="0.25">
      <c r="A410" s="266" t="s">
        <v>1288</v>
      </c>
      <c r="B410" s="271">
        <v>8433989.0399999991</v>
      </c>
      <c r="C410" s="271">
        <f>+'Rate Computation'!E32</f>
        <v>8814276.0535394866</v>
      </c>
      <c r="D410" s="272">
        <f t="shared" si="52"/>
        <v>380287.0135394875</v>
      </c>
    </row>
    <row r="411" spans="1:4" x14ac:dyDescent="0.25">
      <c r="A411" s="266" t="s">
        <v>1289</v>
      </c>
      <c r="B411" s="271">
        <f>+B410-B409</f>
        <v>2912461.5173364449</v>
      </c>
      <c r="C411" s="271">
        <f>+C410-C409</f>
        <v>2002839.9064014722</v>
      </c>
      <c r="D411" s="272">
        <f t="shared" si="52"/>
        <v>-909621.61093497276</v>
      </c>
    </row>
    <row r="412" spans="1:4" x14ac:dyDescent="0.25">
      <c r="A412" s="266"/>
      <c r="B412" s="266"/>
      <c r="C412" s="266"/>
      <c r="D412" s="269"/>
    </row>
    <row r="413" spans="1:4" x14ac:dyDescent="0.25">
      <c r="A413" s="266" t="s">
        <v>50</v>
      </c>
      <c r="B413" s="274">
        <f>+B410/B404</f>
        <v>0.4765735799157399</v>
      </c>
      <c r="C413" s="274">
        <f>+C410/C404</f>
        <v>0.42444039299096292</v>
      </c>
      <c r="D413" s="269"/>
    </row>
    <row r="414" spans="1:4" x14ac:dyDescent="0.25">
      <c r="A414" s="266"/>
      <c r="B414" s="266"/>
      <c r="C414" s="266"/>
      <c r="D414" s="269"/>
    </row>
    <row r="415" spans="1:4" x14ac:dyDescent="0.25">
      <c r="A415" s="266" t="s">
        <v>1290</v>
      </c>
      <c r="B415" s="275">
        <v>0</v>
      </c>
      <c r="C415" s="275">
        <v>0</v>
      </c>
      <c r="D415" s="276">
        <f t="shared" ref="D415:D417" si="53">+C415-B415</f>
        <v>0</v>
      </c>
    </row>
    <row r="416" spans="1:4" x14ac:dyDescent="0.25">
      <c r="A416" s="266" t="s">
        <v>1291</v>
      </c>
      <c r="B416" s="275">
        <v>0</v>
      </c>
      <c r="C416" s="275">
        <f>+-Parameter!I26/100</f>
        <v>0</v>
      </c>
      <c r="D416" s="276">
        <f t="shared" si="53"/>
        <v>0</v>
      </c>
    </row>
    <row r="417" spans="1:4" x14ac:dyDescent="0.25">
      <c r="A417" s="266" t="s">
        <v>1292</v>
      </c>
      <c r="B417" s="275">
        <f>+B415-B416</f>
        <v>0</v>
      </c>
      <c r="C417" s="275">
        <f>+C415-C416</f>
        <v>0</v>
      </c>
      <c r="D417" s="276">
        <f t="shared" si="53"/>
        <v>0</v>
      </c>
    </row>
    <row r="418" spans="1:4" x14ac:dyDescent="0.25">
      <c r="A418" s="266"/>
      <c r="B418" s="266"/>
      <c r="C418" s="266"/>
      <c r="D418" s="269"/>
    </row>
    <row r="419" spans="1:4" x14ac:dyDescent="0.25">
      <c r="A419" s="266" t="s">
        <v>1293</v>
      </c>
      <c r="B419" s="274">
        <v>2.4E-2</v>
      </c>
      <c r="C419" s="274">
        <f>ROUND((1-C417)/C407,3)</f>
        <v>2.4E-2</v>
      </c>
      <c r="D419" s="273">
        <f>+C419-B419</f>
        <v>0</v>
      </c>
    </row>
    <row r="420" spans="1:4" x14ac:dyDescent="0.25">
      <c r="A420" s="266" t="s">
        <v>1294</v>
      </c>
      <c r="B420" s="267">
        <f>+B419*B404</f>
        <v>424731.34367999982</v>
      </c>
      <c r="C420" s="267">
        <f>+C419*C404</f>
        <v>498403.61279999989</v>
      </c>
      <c r="D420" s="272">
        <f t="shared" ref="D420" si="54">+C420-B420</f>
        <v>73672.26912000007</v>
      </c>
    </row>
    <row r="421" spans="1:4" x14ac:dyDescent="0.25">
      <c r="A421" s="266"/>
      <c r="B421" s="266"/>
      <c r="C421" s="266"/>
      <c r="D421" s="269"/>
    </row>
    <row r="422" spans="1:4" x14ac:dyDescent="0.25">
      <c r="A422" s="266" t="s">
        <v>48</v>
      </c>
      <c r="B422" s="278">
        <v>28.895952404590716</v>
      </c>
      <c r="C422" s="278">
        <f>+'Rate Computation'!M32</f>
        <v>28.224161583133867</v>
      </c>
      <c r="D422" s="277">
        <f t="shared" ref="D422:D424" si="55">+C422-B422</f>
        <v>-0.67179082145684887</v>
      </c>
    </row>
    <row r="423" spans="1:4" x14ac:dyDescent="0.25">
      <c r="A423" s="266" t="s">
        <v>1295</v>
      </c>
      <c r="B423" s="274">
        <v>1.7999999999999999E-2</v>
      </c>
      <c r="C423" s="274">
        <f>+'Rate Computation'!Q32</f>
        <v>0.02</v>
      </c>
      <c r="D423" s="273">
        <f t="shared" si="55"/>
        <v>2.0000000000000018E-3</v>
      </c>
    </row>
    <row r="424" spans="1:4" x14ac:dyDescent="0.25">
      <c r="A424" s="266" t="s">
        <v>1296</v>
      </c>
      <c r="B424" s="267">
        <f>+B404*B423</f>
        <v>318548.50775999983</v>
      </c>
      <c r="C424" s="267">
        <f>+C404*C423</f>
        <v>415336.34399999992</v>
      </c>
      <c r="D424" s="272">
        <f t="shared" si="55"/>
        <v>96787.836240000091</v>
      </c>
    </row>
    <row r="429" spans="1:4" x14ac:dyDescent="0.25">
      <c r="A429" s="379" t="s">
        <v>1279</v>
      </c>
      <c r="B429" s="380"/>
      <c r="C429" s="380"/>
      <c r="D429" s="381"/>
    </row>
    <row r="430" spans="1:4" x14ac:dyDescent="0.25">
      <c r="A430" s="379" t="s">
        <v>1280</v>
      </c>
      <c r="B430" s="380"/>
      <c r="C430" s="380"/>
      <c r="D430" s="381"/>
    </row>
    <row r="431" spans="1:4" x14ac:dyDescent="0.25">
      <c r="A431" s="373" t="s">
        <v>1314</v>
      </c>
      <c r="B431" s="374"/>
      <c r="C431" s="374"/>
      <c r="D431" s="375"/>
    </row>
    <row r="432" spans="1:4" x14ac:dyDescent="0.25">
      <c r="A432" s="376" t="s">
        <v>1315</v>
      </c>
      <c r="B432" s="377"/>
      <c r="C432" s="377"/>
      <c r="D432" s="378"/>
    </row>
    <row r="433" spans="1:4" x14ac:dyDescent="0.25">
      <c r="A433" s="265" t="s">
        <v>1283</v>
      </c>
      <c r="B433" s="265" t="s">
        <v>1284</v>
      </c>
      <c r="C433" s="265">
        <v>2024</v>
      </c>
      <c r="D433" s="265" t="s">
        <v>1266</v>
      </c>
    </row>
    <row r="434" spans="1:4" x14ac:dyDescent="0.25">
      <c r="A434" s="266"/>
      <c r="B434" s="266"/>
      <c r="C434" s="266"/>
      <c r="D434" s="266"/>
    </row>
    <row r="435" spans="1:4" x14ac:dyDescent="0.25">
      <c r="A435" s="266" t="s">
        <v>1285</v>
      </c>
      <c r="B435" s="267">
        <v>25563041.059999999</v>
      </c>
      <c r="C435" s="268">
        <f>+'Rate Computation'!D33</f>
        <v>38677154.929999985</v>
      </c>
      <c r="D435" s="268">
        <f>+C435-B435</f>
        <v>13114113.869999986</v>
      </c>
    </row>
    <row r="436" spans="1:4" x14ac:dyDescent="0.25">
      <c r="A436" s="266"/>
      <c r="B436" s="266"/>
      <c r="C436" s="269"/>
      <c r="D436" s="269"/>
    </row>
    <row r="437" spans="1:4" x14ac:dyDescent="0.25">
      <c r="A437" s="266" t="s">
        <v>1286</v>
      </c>
      <c r="B437" s="265" t="s">
        <v>52</v>
      </c>
      <c r="C437" s="265" t="str">
        <f>Parameter!$H$27</f>
        <v>R1.5</v>
      </c>
      <c r="D437" s="269"/>
    </row>
    <row r="438" spans="1:4" x14ac:dyDescent="0.25">
      <c r="A438" s="266" t="s">
        <v>79</v>
      </c>
      <c r="B438" s="265">
        <v>47</v>
      </c>
      <c r="C438" s="265">
        <f>+Parameter!G27</f>
        <v>47</v>
      </c>
      <c r="D438" s="270">
        <f>+C438-B438</f>
        <v>0</v>
      </c>
    </row>
    <row r="439" spans="1:4" x14ac:dyDescent="0.25">
      <c r="A439" s="266"/>
      <c r="B439" s="265"/>
      <c r="C439" s="269"/>
      <c r="D439" s="269"/>
    </row>
    <row r="440" spans="1:4" x14ac:dyDescent="0.25">
      <c r="A440" s="266" t="s">
        <v>1287</v>
      </c>
      <c r="B440" s="271">
        <v>5544748.6688410472</v>
      </c>
      <c r="C440" s="271">
        <f>+'Theoretical Reserve'!H661</f>
        <v>9730566.1349499375</v>
      </c>
      <c r="D440" s="272">
        <f t="shared" ref="D440:D442" si="56">+C440-B440</f>
        <v>4185817.4661088903</v>
      </c>
    </row>
    <row r="441" spans="1:4" x14ac:dyDescent="0.25">
      <c r="A441" s="266" t="s">
        <v>1288</v>
      </c>
      <c r="B441" s="271">
        <v>14231437.43</v>
      </c>
      <c r="C441" s="271">
        <f>+'Rate Computation'!E33</f>
        <v>14747685.806906285</v>
      </c>
      <c r="D441" s="272">
        <f t="shared" si="56"/>
        <v>516248.37690628506</v>
      </c>
    </row>
    <row r="442" spans="1:4" x14ac:dyDescent="0.25">
      <c r="A442" s="266" t="s">
        <v>1289</v>
      </c>
      <c r="B442" s="271">
        <f>+B441-B440</f>
        <v>8686688.7611589525</v>
      </c>
      <c r="C442" s="271">
        <f>+C441-C440</f>
        <v>5017119.6719563473</v>
      </c>
      <c r="D442" s="272">
        <f t="shared" si="56"/>
        <v>-3669569.0892026052</v>
      </c>
    </row>
    <row r="443" spans="1:4" x14ac:dyDescent="0.25">
      <c r="A443" s="266"/>
      <c r="B443" s="266"/>
      <c r="C443" s="266"/>
      <c r="D443" s="269"/>
    </row>
    <row r="444" spans="1:4" x14ac:dyDescent="0.25">
      <c r="A444" s="266" t="s">
        <v>50</v>
      </c>
      <c r="B444" s="274">
        <f>+B441/B435</f>
        <v>0.55671926499655677</v>
      </c>
      <c r="C444" s="274">
        <f>+C441/C435</f>
        <v>0.381302239877712</v>
      </c>
      <c r="D444" s="269"/>
    </row>
    <row r="445" spans="1:4" x14ac:dyDescent="0.25">
      <c r="A445" s="266"/>
      <c r="B445" s="266"/>
      <c r="C445" s="266"/>
      <c r="D445" s="269"/>
    </row>
    <row r="446" spans="1:4" x14ac:dyDescent="0.25">
      <c r="A446" s="266" t="s">
        <v>1290</v>
      </c>
      <c r="B446" s="275">
        <v>0</v>
      </c>
      <c r="C446" s="275">
        <v>0</v>
      </c>
      <c r="D446" s="276">
        <f t="shared" ref="D446:D448" si="57">+C446-B446</f>
        <v>0</v>
      </c>
    </row>
    <row r="447" spans="1:4" x14ac:dyDescent="0.25">
      <c r="A447" s="266" t="s">
        <v>1291</v>
      </c>
      <c r="B447" s="275">
        <v>0.25</v>
      </c>
      <c r="C447" s="275">
        <f>-+Parameter!I27/100</f>
        <v>0.3</v>
      </c>
      <c r="D447" s="276">
        <f t="shared" si="57"/>
        <v>4.9999999999999989E-2</v>
      </c>
    </row>
    <row r="448" spans="1:4" x14ac:dyDescent="0.25">
      <c r="A448" s="266" t="s">
        <v>1292</v>
      </c>
      <c r="B448" s="275">
        <f>+B446-B447</f>
        <v>-0.25</v>
      </c>
      <c r="C448" s="275">
        <f>+C446-C447</f>
        <v>-0.3</v>
      </c>
      <c r="D448" s="276">
        <f t="shared" si="57"/>
        <v>-4.9999999999999989E-2</v>
      </c>
    </row>
    <row r="449" spans="1:4" x14ac:dyDescent="0.25">
      <c r="A449" s="266"/>
      <c r="B449" s="266"/>
      <c r="C449" s="266"/>
      <c r="D449" s="269"/>
    </row>
    <row r="450" spans="1:4" x14ac:dyDescent="0.25">
      <c r="A450" s="266" t="s">
        <v>1293</v>
      </c>
      <c r="B450" s="274">
        <v>2.7E-2</v>
      </c>
      <c r="C450" s="274">
        <f>ROUND((1-C448)/C438,3)</f>
        <v>2.8000000000000001E-2</v>
      </c>
      <c r="D450" s="273">
        <f>+C450-B450</f>
        <v>1.0000000000000009E-3</v>
      </c>
    </row>
    <row r="451" spans="1:4" x14ac:dyDescent="0.25">
      <c r="A451" s="266" t="s">
        <v>1294</v>
      </c>
      <c r="B451" s="267">
        <f>+B450*B435</f>
        <v>690202.10861999996</v>
      </c>
      <c r="C451" s="267">
        <f>+C450*C435</f>
        <v>1082960.3380399996</v>
      </c>
      <c r="D451" s="272">
        <f t="shared" ref="D451" si="58">+C451-B451</f>
        <v>392758.22941999964</v>
      </c>
    </row>
    <row r="452" spans="1:4" x14ac:dyDescent="0.25">
      <c r="A452" s="266"/>
      <c r="B452" s="266"/>
      <c r="C452" s="266"/>
      <c r="D452" s="269"/>
    </row>
    <row r="453" spans="1:4" x14ac:dyDescent="0.25">
      <c r="A453" s="266" t="s">
        <v>48</v>
      </c>
      <c r="B453" s="278">
        <v>37.290923866968072</v>
      </c>
      <c r="C453" s="278">
        <f>+'Rate Computation'!M33</f>
        <v>37.904258814550687</v>
      </c>
      <c r="D453" s="277">
        <f t="shared" ref="D453:D455" si="59">+C453-B453</f>
        <v>0.61333494758261509</v>
      </c>
    </row>
    <row r="454" spans="1:4" x14ac:dyDescent="0.25">
      <c r="A454" s="266" t="s">
        <v>1295</v>
      </c>
      <c r="B454" s="274">
        <v>1.9E-2</v>
      </c>
      <c r="C454" s="274">
        <f>+'Rate Computation'!Q33</f>
        <v>2.4E-2</v>
      </c>
      <c r="D454" s="273">
        <f t="shared" si="59"/>
        <v>5.000000000000001E-3</v>
      </c>
    </row>
    <row r="455" spans="1:4" x14ac:dyDescent="0.25">
      <c r="A455" s="266" t="s">
        <v>1296</v>
      </c>
      <c r="B455" s="267">
        <f>+B435*B454</f>
        <v>485697.78013999999</v>
      </c>
      <c r="C455" s="267">
        <f>+C435*C454</f>
        <v>928251.71831999964</v>
      </c>
      <c r="D455" s="272">
        <f t="shared" si="59"/>
        <v>442553.93817999965</v>
      </c>
    </row>
    <row r="460" spans="1:4" x14ac:dyDescent="0.25">
      <c r="A460" s="379" t="s">
        <v>1279</v>
      </c>
      <c r="B460" s="380"/>
      <c r="C460" s="380"/>
      <c r="D460" s="381"/>
    </row>
    <row r="461" spans="1:4" x14ac:dyDescent="0.25">
      <c r="A461" s="379" t="s">
        <v>1280</v>
      </c>
      <c r="B461" s="380"/>
      <c r="C461" s="380"/>
      <c r="D461" s="381"/>
    </row>
    <row r="462" spans="1:4" x14ac:dyDescent="0.25">
      <c r="A462" s="373" t="s">
        <v>1316</v>
      </c>
      <c r="B462" s="374"/>
      <c r="C462" s="374"/>
      <c r="D462" s="375"/>
    </row>
    <row r="463" spans="1:4" x14ac:dyDescent="0.25">
      <c r="A463" s="376" t="s">
        <v>1317</v>
      </c>
      <c r="B463" s="377"/>
      <c r="C463" s="377"/>
      <c r="D463" s="378"/>
    </row>
    <row r="464" spans="1:4" x14ac:dyDescent="0.25">
      <c r="A464" s="265" t="s">
        <v>1283</v>
      </c>
      <c r="B464" s="265" t="s">
        <v>1284</v>
      </c>
      <c r="C464" s="265">
        <v>2024</v>
      </c>
      <c r="D464" s="265" t="s">
        <v>1266</v>
      </c>
    </row>
    <row r="465" spans="1:4" x14ac:dyDescent="0.25">
      <c r="A465" s="266"/>
      <c r="B465" s="266"/>
      <c r="C465" s="266"/>
      <c r="D465" s="266"/>
    </row>
    <row r="466" spans="1:4" x14ac:dyDescent="0.25">
      <c r="A466" s="266" t="s">
        <v>1285</v>
      </c>
      <c r="B466" s="267">
        <v>12194964.560000002</v>
      </c>
      <c r="C466" s="268">
        <f>+'Rate Computation'!D34</f>
        <v>15196826.639999999</v>
      </c>
      <c r="D466" s="268">
        <f>+C466-B466</f>
        <v>3001862.0799999963</v>
      </c>
    </row>
    <row r="467" spans="1:4" x14ac:dyDescent="0.25">
      <c r="A467" s="266"/>
      <c r="B467" s="266"/>
      <c r="C467" s="269"/>
      <c r="D467" s="269"/>
    </row>
    <row r="468" spans="1:4" x14ac:dyDescent="0.25">
      <c r="A468" s="266" t="s">
        <v>1286</v>
      </c>
      <c r="B468" s="265" t="s">
        <v>25</v>
      </c>
      <c r="C468" s="265" t="str">
        <f>+Parameter!H28</f>
        <v>R2.5</v>
      </c>
      <c r="D468" s="269"/>
    </row>
    <row r="469" spans="1:4" x14ac:dyDescent="0.25">
      <c r="A469" s="266" t="s">
        <v>79</v>
      </c>
      <c r="B469" s="265">
        <v>37</v>
      </c>
      <c r="C469" s="265">
        <f>+Parameter!G28</f>
        <v>39</v>
      </c>
      <c r="D469" s="270">
        <f>+C469-B469</f>
        <v>2</v>
      </c>
    </row>
    <row r="470" spans="1:4" x14ac:dyDescent="0.25">
      <c r="A470" s="266"/>
      <c r="B470" s="265"/>
      <c r="C470" s="269"/>
      <c r="D470" s="269"/>
    </row>
    <row r="471" spans="1:4" x14ac:dyDescent="0.25">
      <c r="A471" s="266" t="s">
        <v>1287</v>
      </c>
      <c r="B471" s="271">
        <v>5705372.0308322413</v>
      </c>
      <c r="C471" s="271">
        <f>+'Theoretical Reserve'!H709</f>
        <v>5742690.4927719124</v>
      </c>
      <c r="D471" s="272">
        <f t="shared" ref="D471:D473" si="60">+C471-B471</f>
        <v>37318.461939671077</v>
      </c>
    </row>
    <row r="472" spans="1:4" x14ac:dyDescent="0.25">
      <c r="A472" s="266" t="s">
        <v>1288</v>
      </c>
      <c r="B472" s="271">
        <v>6942133.4800000004</v>
      </c>
      <c r="C472" s="271">
        <f>+'Rate Computation'!E34</f>
        <v>6976670.3302102461</v>
      </c>
      <c r="D472" s="272">
        <f t="shared" si="60"/>
        <v>34536.850210245699</v>
      </c>
    </row>
    <row r="473" spans="1:4" x14ac:dyDescent="0.25">
      <c r="A473" s="266" t="s">
        <v>1289</v>
      </c>
      <c r="B473" s="271">
        <f>+B472-B471</f>
        <v>1236761.4491677592</v>
      </c>
      <c r="C473" s="271">
        <f>+C472-C471</f>
        <v>1233979.8374383338</v>
      </c>
      <c r="D473" s="272">
        <f t="shared" si="60"/>
        <v>-2781.6117294253781</v>
      </c>
    </row>
    <row r="474" spans="1:4" x14ac:dyDescent="0.25">
      <c r="A474" s="266"/>
      <c r="B474" s="266"/>
      <c r="C474" s="266"/>
      <c r="D474" s="269"/>
    </row>
    <row r="475" spans="1:4" x14ac:dyDescent="0.25">
      <c r="A475" s="266" t="s">
        <v>50</v>
      </c>
      <c r="B475" s="274">
        <f>+B472/B466</f>
        <v>0.56926229230468539</v>
      </c>
      <c r="C475" s="274">
        <f>+C472/C466</f>
        <v>0.45908731444278994</v>
      </c>
      <c r="D475" s="269"/>
    </row>
    <row r="476" spans="1:4" x14ac:dyDescent="0.25">
      <c r="A476" s="266"/>
      <c r="B476" s="266"/>
      <c r="C476" s="266"/>
      <c r="D476" s="269"/>
    </row>
    <row r="477" spans="1:4" x14ac:dyDescent="0.25">
      <c r="A477" s="266" t="s">
        <v>1290</v>
      </c>
      <c r="B477" s="275">
        <v>0</v>
      </c>
      <c r="C477" s="275">
        <v>0</v>
      </c>
      <c r="D477" s="276">
        <f t="shared" ref="D477:D479" si="61">+C477-B477</f>
        <v>0</v>
      </c>
    </row>
    <row r="478" spans="1:4" x14ac:dyDescent="0.25">
      <c r="A478" s="266" t="s">
        <v>1291</v>
      </c>
      <c r="B478" s="275">
        <v>0.02</v>
      </c>
      <c r="C478" s="275">
        <f>+Parameter!I28/100</f>
        <v>0</v>
      </c>
      <c r="D478" s="276">
        <f t="shared" si="61"/>
        <v>-0.02</v>
      </c>
    </row>
    <row r="479" spans="1:4" x14ac:dyDescent="0.25">
      <c r="A479" s="266" t="s">
        <v>1292</v>
      </c>
      <c r="B479" s="275">
        <f>+B477-B478</f>
        <v>-0.02</v>
      </c>
      <c r="C479" s="275">
        <f>+C477-C478</f>
        <v>0</v>
      </c>
      <c r="D479" s="276">
        <f t="shared" si="61"/>
        <v>0.02</v>
      </c>
    </row>
    <row r="480" spans="1:4" x14ac:dyDescent="0.25">
      <c r="A480" s="266"/>
      <c r="B480" s="266"/>
      <c r="C480" s="266"/>
      <c r="D480" s="269"/>
    </row>
    <row r="481" spans="1:4" x14ac:dyDescent="0.25">
      <c r="A481" s="266" t="s">
        <v>1293</v>
      </c>
      <c r="B481" s="274">
        <v>2.8000000000000001E-2</v>
      </c>
      <c r="C481" s="274">
        <f>ROUND((1-C479)/C469,3)</f>
        <v>2.5999999999999999E-2</v>
      </c>
      <c r="D481" s="273">
        <f>+C481-B481</f>
        <v>-2.0000000000000018E-3</v>
      </c>
    </row>
    <row r="482" spans="1:4" x14ac:dyDescent="0.25">
      <c r="A482" s="266" t="s">
        <v>1294</v>
      </c>
      <c r="B482" s="267">
        <f>+B481*B466</f>
        <v>341459.0076800001</v>
      </c>
      <c r="C482" s="267">
        <f>+C481*C466</f>
        <v>395117.49263999995</v>
      </c>
      <c r="D482" s="272">
        <f t="shared" ref="D482" si="62">+C482-B482</f>
        <v>53658.484959999856</v>
      </c>
    </row>
    <row r="483" spans="1:4" x14ac:dyDescent="0.25">
      <c r="A483" s="266"/>
      <c r="B483" s="266"/>
      <c r="C483" s="266"/>
      <c r="D483" s="269"/>
    </row>
    <row r="484" spans="1:4" x14ac:dyDescent="0.25">
      <c r="A484" s="266" t="s">
        <v>48</v>
      </c>
      <c r="B484" s="278">
        <v>20.03</v>
      </c>
      <c r="C484" s="278">
        <f>+'Rate Computation'!M34</f>
        <v>24.262388357540377</v>
      </c>
      <c r="D484" s="277">
        <f t="shared" ref="D484:D486" si="63">+C484-B484</f>
        <v>4.2323883575403762</v>
      </c>
    </row>
    <row r="485" spans="1:4" x14ac:dyDescent="0.25">
      <c r="A485" s="266" t="s">
        <v>1295</v>
      </c>
      <c r="B485" s="274">
        <v>2.3E-2</v>
      </c>
      <c r="C485" s="274">
        <f>+'Rate Computation'!Q34</f>
        <v>2.1999999999999999E-2</v>
      </c>
      <c r="D485" s="273">
        <f t="shared" si="63"/>
        <v>-1.0000000000000009E-3</v>
      </c>
    </row>
    <row r="486" spans="1:4" x14ac:dyDescent="0.25">
      <c r="A486" s="266" t="s">
        <v>1296</v>
      </c>
      <c r="B486" s="267">
        <f>+B466*B485</f>
        <v>280484.18488000007</v>
      </c>
      <c r="C486" s="267">
        <f>+C466*C485</f>
        <v>334330.18607999996</v>
      </c>
      <c r="D486" s="272">
        <f t="shared" si="63"/>
        <v>53846.001199999882</v>
      </c>
    </row>
    <row r="493" spans="1:4" x14ac:dyDescent="0.25">
      <c r="A493" s="379" t="s">
        <v>1279</v>
      </c>
      <c r="B493" s="380"/>
      <c r="C493" s="380"/>
      <c r="D493" s="381"/>
    </row>
    <row r="494" spans="1:4" x14ac:dyDescent="0.25">
      <c r="A494" s="379" t="s">
        <v>1280</v>
      </c>
      <c r="B494" s="380"/>
      <c r="C494" s="380"/>
      <c r="D494" s="381"/>
    </row>
    <row r="495" spans="1:4" x14ac:dyDescent="0.25">
      <c r="A495" s="373" t="s">
        <v>1318</v>
      </c>
      <c r="B495" s="374"/>
      <c r="C495" s="374"/>
      <c r="D495" s="375"/>
    </row>
    <row r="496" spans="1:4" x14ac:dyDescent="0.25">
      <c r="A496" s="376" t="s">
        <v>106</v>
      </c>
      <c r="B496" s="377"/>
      <c r="C496" s="377"/>
      <c r="D496" s="378"/>
    </row>
    <row r="497" spans="1:4" x14ac:dyDescent="0.25">
      <c r="A497" s="265" t="s">
        <v>1283</v>
      </c>
      <c r="B497" s="265" t="s">
        <v>1284</v>
      </c>
      <c r="C497" s="265">
        <v>2024</v>
      </c>
      <c r="D497" s="265" t="s">
        <v>1266</v>
      </c>
    </row>
    <row r="498" spans="1:4" x14ac:dyDescent="0.25">
      <c r="A498" s="266"/>
      <c r="B498" s="266"/>
      <c r="C498" s="266"/>
      <c r="D498" s="266"/>
    </row>
    <row r="499" spans="1:4" x14ac:dyDescent="0.25">
      <c r="A499" s="266" t="s">
        <v>1285</v>
      </c>
      <c r="B499" s="267">
        <v>9624237.7499999944</v>
      </c>
      <c r="C499" s="268">
        <f>+'Rate Computation'!D35</f>
        <v>13431843.029999996</v>
      </c>
      <c r="D499" s="268">
        <f>+C499-B499</f>
        <v>3807605.2800000012</v>
      </c>
    </row>
    <row r="500" spans="1:4" x14ac:dyDescent="0.25">
      <c r="A500" s="266"/>
      <c r="B500" s="266"/>
      <c r="C500" s="269"/>
      <c r="D500" s="269"/>
    </row>
    <row r="501" spans="1:4" x14ac:dyDescent="0.25">
      <c r="A501" s="266" t="s">
        <v>1286</v>
      </c>
      <c r="B501" s="265" t="s">
        <v>706</v>
      </c>
      <c r="C501" s="265" t="str">
        <f>+Parameter!H30</f>
        <v>L1.5</v>
      </c>
      <c r="D501" s="269"/>
    </row>
    <row r="502" spans="1:4" x14ac:dyDescent="0.25">
      <c r="A502" s="266" t="s">
        <v>79</v>
      </c>
      <c r="B502" s="265">
        <v>24</v>
      </c>
      <c r="C502" s="265">
        <f>+Parameter!G30</f>
        <v>27</v>
      </c>
      <c r="D502" s="270">
        <f>+C502-B502</f>
        <v>3</v>
      </c>
    </row>
    <row r="503" spans="1:4" x14ac:dyDescent="0.25">
      <c r="A503" s="266"/>
      <c r="B503" s="265"/>
      <c r="C503" s="269"/>
      <c r="D503" s="269"/>
    </row>
    <row r="504" spans="1:4" x14ac:dyDescent="0.25">
      <c r="A504" s="266" t="s">
        <v>1287</v>
      </c>
      <c r="B504" s="271">
        <v>2785481.7733552214</v>
      </c>
      <c r="C504" s="271">
        <f>+'Theoretical Reserve'!H753</f>
        <v>3505702.0789797986</v>
      </c>
      <c r="D504" s="272">
        <f t="shared" ref="D504:D506" si="64">+C504-B504</f>
        <v>720220.30562457722</v>
      </c>
    </row>
    <row r="505" spans="1:4" x14ac:dyDescent="0.25">
      <c r="A505" s="266" t="s">
        <v>1288</v>
      </c>
      <c r="B505" s="271">
        <v>4644497.72</v>
      </c>
      <c r="C505" s="271">
        <f>+'Rate Computation'!E35</f>
        <v>5313797.6616018787</v>
      </c>
      <c r="D505" s="272">
        <f t="shared" si="64"/>
        <v>669299.94160187896</v>
      </c>
    </row>
    <row r="506" spans="1:4" x14ac:dyDescent="0.25">
      <c r="A506" s="266" t="s">
        <v>1289</v>
      </c>
      <c r="B506" s="271">
        <f>+B505-B504</f>
        <v>1859015.9466447784</v>
      </c>
      <c r="C506" s="271">
        <f>+C505-C504</f>
        <v>1808095.5826220801</v>
      </c>
      <c r="D506" s="272">
        <f t="shared" si="64"/>
        <v>-50920.364022698253</v>
      </c>
    </row>
    <row r="507" spans="1:4" x14ac:dyDescent="0.25">
      <c r="A507" s="266"/>
      <c r="B507" s="266"/>
      <c r="C507" s="266"/>
      <c r="D507" s="269"/>
    </row>
    <row r="508" spans="1:4" x14ac:dyDescent="0.25">
      <c r="A508" s="266" t="s">
        <v>50</v>
      </c>
      <c r="B508" s="274">
        <f>+B505/B499</f>
        <v>0.48258343576352347</v>
      </c>
      <c r="C508" s="274">
        <f>+C505/C499</f>
        <v>0.39561195360409751</v>
      </c>
      <c r="D508" s="269"/>
    </row>
    <row r="509" spans="1:4" x14ac:dyDescent="0.25">
      <c r="A509" s="266"/>
      <c r="B509" s="266"/>
      <c r="C509" s="266"/>
      <c r="D509" s="269"/>
    </row>
    <row r="510" spans="1:4" x14ac:dyDescent="0.25">
      <c r="A510" s="266" t="s">
        <v>1290</v>
      </c>
      <c r="B510" s="275">
        <v>0</v>
      </c>
      <c r="C510" s="275">
        <v>0</v>
      </c>
      <c r="D510" s="276">
        <f t="shared" ref="D510:D512" si="65">+C510-B510</f>
        <v>0</v>
      </c>
    </row>
    <row r="511" spans="1:4" x14ac:dyDescent="0.25">
      <c r="A511" s="266" t="s">
        <v>1291</v>
      </c>
      <c r="B511" s="275">
        <v>0</v>
      </c>
      <c r="C511" s="275">
        <f>+Parameter!I30/100</f>
        <v>0</v>
      </c>
      <c r="D511" s="276">
        <f t="shared" si="65"/>
        <v>0</v>
      </c>
    </row>
    <row r="512" spans="1:4" x14ac:dyDescent="0.25">
      <c r="A512" s="266" t="s">
        <v>1292</v>
      </c>
      <c r="B512" s="275">
        <f>+B510-B511</f>
        <v>0</v>
      </c>
      <c r="C512" s="275">
        <f>+C510-C511</f>
        <v>0</v>
      </c>
      <c r="D512" s="276">
        <f t="shared" si="65"/>
        <v>0</v>
      </c>
    </row>
    <row r="513" spans="1:4" x14ac:dyDescent="0.25">
      <c r="A513" s="266"/>
      <c r="B513" s="266"/>
      <c r="C513" s="266"/>
      <c r="D513" s="269"/>
    </row>
    <row r="514" spans="1:4" x14ac:dyDescent="0.25">
      <c r="A514" s="266" t="s">
        <v>1293</v>
      </c>
      <c r="B514" s="274">
        <v>4.2000000000000003E-2</v>
      </c>
      <c r="C514" s="274">
        <f>ROUND((1-C512)/C502,3)</f>
        <v>3.6999999999999998E-2</v>
      </c>
      <c r="D514" s="273">
        <f>+C514-B514</f>
        <v>-5.0000000000000044E-3</v>
      </c>
    </row>
    <row r="515" spans="1:4" x14ac:dyDescent="0.25">
      <c r="A515" s="266" t="s">
        <v>1294</v>
      </c>
      <c r="B515" s="267">
        <f>+B514*B499</f>
        <v>404217.98549999978</v>
      </c>
      <c r="C515" s="267">
        <f>+C514*C499</f>
        <v>496978.19210999983</v>
      </c>
      <c r="D515" s="272">
        <f t="shared" ref="D515" si="66">+C515-B515</f>
        <v>92760.206610000052</v>
      </c>
    </row>
    <row r="516" spans="1:4" x14ac:dyDescent="0.25">
      <c r="A516" s="266"/>
      <c r="B516" s="266"/>
      <c r="C516" s="266"/>
      <c r="D516" s="269"/>
    </row>
    <row r="517" spans="1:4" x14ac:dyDescent="0.25">
      <c r="A517" s="266" t="s">
        <v>48</v>
      </c>
      <c r="B517" s="278">
        <v>17.053833010253186</v>
      </c>
      <c r="C517" s="278">
        <f>+'Rate Computation'!M34</f>
        <v>24.262388357540377</v>
      </c>
      <c r="D517" s="277">
        <f t="shared" ref="D517:D519" si="67">+C517-B517</f>
        <v>7.2085553472871915</v>
      </c>
    </row>
    <row r="518" spans="1:4" x14ac:dyDescent="0.25">
      <c r="A518" s="266" t="s">
        <v>1295</v>
      </c>
      <c r="B518" s="274">
        <v>0.03</v>
      </c>
      <c r="C518" s="274">
        <f>+'Rate Computation'!Q35</f>
        <v>0.03</v>
      </c>
      <c r="D518" s="273">
        <f t="shared" si="67"/>
        <v>0</v>
      </c>
    </row>
    <row r="519" spans="1:4" x14ac:dyDescent="0.25">
      <c r="A519" s="266" t="s">
        <v>1296</v>
      </c>
      <c r="B519" s="267">
        <f>+B499*B518</f>
        <v>288727.13249999983</v>
      </c>
      <c r="C519" s="267">
        <f>+C499*C518</f>
        <v>402955.29089999985</v>
      </c>
      <c r="D519" s="272">
        <f t="shared" si="67"/>
        <v>114228.15840000001</v>
      </c>
    </row>
    <row r="525" spans="1:4" x14ac:dyDescent="0.25">
      <c r="A525" s="379" t="s">
        <v>1279</v>
      </c>
      <c r="B525" s="380"/>
      <c r="C525" s="380"/>
      <c r="D525" s="381"/>
    </row>
    <row r="526" spans="1:4" x14ac:dyDescent="0.25">
      <c r="A526" s="379" t="s">
        <v>1280</v>
      </c>
      <c r="B526" s="380"/>
      <c r="C526" s="380"/>
      <c r="D526" s="381"/>
    </row>
    <row r="527" spans="1:4" x14ac:dyDescent="0.25">
      <c r="A527" s="373" t="s">
        <v>1319</v>
      </c>
      <c r="B527" s="374"/>
      <c r="C527" s="374"/>
      <c r="D527" s="375"/>
    </row>
    <row r="528" spans="1:4" x14ac:dyDescent="0.25">
      <c r="A528" s="376" t="s">
        <v>1302</v>
      </c>
      <c r="B528" s="377"/>
      <c r="C528" s="377"/>
      <c r="D528" s="378"/>
    </row>
    <row r="529" spans="1:4" x14ac:dyDescent="0.25">
      <c r="A529" s="265" t="s">
        <v>1283</v>
      </c>
      <c r="B529" s="265" t="s">
        <v>1284</v>
      </c>
      <c r="C529" s="265">
        <v>2024</v>
      </c>
      <c r="D529" s="265" t="s">
        <v>1266</v>
      </c>
    </row>
    <row r="530" spans="1:4" x14ac:dyDescent="0.25">
      <c r="A530" s="266"/>
      <c r="B530" s="266"/>
      <c r="C530" s="266"/>
      <c r="D530" s="266"/>
    </row>
    <row r="531" spans="1:4" x14ac:dyDescent="0.25">
      <c r="A531" s="266" t="s">
        <v>1285</v>
      </c>
      <c r="B531" s="267">
        <v>28184.34</v>
      </c>
      <c r="C531" s="268">
        <f>+'Rate Computation'!D46</f>
        <v>663068.9</v>
      </c>
      <c r="D531" s="268">
        <f>+C531-B531</f>
        <v>634884.56000000006</v>
      </c>
    </row>
    <row r="532" spans="1:4" x14ac:dyDescent="0.25">
      <c r="A532" s="266"/>
      <c r="B532" s="266"/>
      <c r="C532" s="269"/>
      <c r="D532" s="269"/>
    </row>
    <row r="533" spans="1:4" x14ac:dyDescent="0.25">
      <c r="A533" s="266" t="s">
        <v>1286</v>
      </c>
      <c r="B533" s="265" t="s">
        <v>1254</v>
      </c>
      <c r="C533" s="265" t="str">
        <f>+Parameter!H43</f>
        <v>L0</v>
      </c>
      <c r="D533" s="269"/>
    </row>
    <row r="534" spans="1:4" x14ac:dyDescent="0.25">
      <c r="A534" s="266" t="s">
        <v>79</v>
      </c>
      <c r="B534" s="265">
        <v>25</v>
      </c>
      <c r="C534" s="265">
        <f>+Parameter!G43</f>
        <v>25</v>
      </c>
      <c r="D534" s="270">
        <f>+C534-B534</f>
        <v>0</v>
      </c>
    </row>
    <row r="535" spans="1:4" x14ac:dyDescent="0.25">
      <c r="A535" s="266"/>
      <c r="B535" s="265"/>
      <c r="C535" s="269"/>
      <c r="D535" s="269"/>
    </row>
    <row r="536" spans="1:4" x14ac:dyDescent="0.25">
      <c r="A536" s="266" t="s">
        <v>1287</v>
      </c>
      <c r="B536" s="271">
        <v>4632.0874415120015</v>
      </c>
      <c r="C536" s="271">
        <f>+'Theoretical Reserve'!H761</f>
        <v>38627.255438941997</v>
      </c>
      <c r="D536" s="272">
        <f t="shared" ref="D536:D538" si="68">+C536-B536</f>
        <v>33995.167997429991</v>
      </c>
    </row>
    <row r="537" spans="1:4" x14ac:dyDescent="0.25">
      <c r="A537" s="266" t="s">
        <v>1288</v>
      </c>
      <c r="B537" s="271">
        <v>14205.81</v>
      </c>
      <c r="C537" s="271">
        <f>+'Rate Computation'!E46</f>
        <v>18381.777281599912</v>
      </c>
      <c r="D537" s="272">
        <f t="shared" si="68"/>
        <v>4175.9672815999129</v>
      </c>
    </row>
    <row r="538" spans="1:4" x14ac:dyDescent="0.25">
      <c r="A538" s="266" t="s">
        <v>1289</v>
      </c>
      <c r="B538" s="271">
        <f>+B537-B536</f>
        <v>9573.722558487998</v>
      </c>
      <c r="C538" s="271">
        <f>+C537-C536</f>
        <v>-20245.478157342084</v>
      </c>
      <c r="D538" s="272">
        <f t="shared" si="68"/>
        <v>-29819.200715830084</v>
      </c>
    </row>
    <row r="539" spans="1:4" x14ac:dyDescent="0.25">
      <c r="A539" s="266"/>
      <c r="B539" s="266"/>
      <c r="C539" s="266"/>
      <c r="D539" s="269"/>
    </row>
    <row r="540" spans="1:4" x14ac:dyDescent="0.25">
      <c r="A540" s="266" t="s">
        <v>50</v>
      </c>
      <c r="B540" s="274">
        <f>+B537/B531</f>
        <v>0.50403202629545341</v>
      </c>
      <c r="C540" s="274">
        <f>+C537/C531</f>
        <v>2.7722273328759518E-2</v>
      </c>
      <c r="D540" s="269"/>
    </row>
    <row r="541" spans="1:4" x14ac:dyDescent="0.25">
      <c r="A541" s="266"/>
      <c r="B541" s="266"/>
      <c r="C541" s="266"/>
      <c r="D541" s="269"/>
    </row>
    <row r="542" spans="1:4" x14ac:dyDescent="0.25">
      <c r="A542" s="266" t="s">
        <v>1290</v>
      </c>
      <c r="B542" s="275">
        <v>0</v>
      </c>
      <c r="C542" s="275">
        <v>0</v>
      </c>
      <c r="D542" s="276">
        <f t="shared" ref="D542:D544" si="69">+C542-B542</f>
        <v>0</v>
      </c>
    </row>
    <row r="543" spans="1:4" x14ac:dyDescent="0.25">
      <c r="A543" s="266" t="s">
        <v>1291</v>
      </c>
      <c r="B543" s="275">
        <v>0</v>
      </c>
      <c r="C543" s="275">
        <f>+Parameter!I43/100</f>
        <v>0</v>
      </c>
      <c r="D543" s="276">
        <f t="shared" si="69"/>
        <v>0</v>
      </c>
    </row>
    <row r="544" spans="1:4" x14ac:dyDescent="0.25">
      <c r="A544" s="266" t="s">
        <v>1292</v>
      </c>
      <c r="B544" s="275">
        <f>+B542-B543</f>
        <v>0</v>
      </c>
      <c r="C544" s="275">
        <f>+C542-C543</f>
        <v>0</v>
      </c>
      <c r="D544" s="276">
        <f t="shared" si="69"/>
        <v>0</v>
      </c>
    </row>
    <row r="545" spans="1:4" x14ac:dyDescent="0.25">
      <c r="A545" s="266"/>
      <c r="B545" s="266"/>
      <c r="C545" s="266"/>
      <c r="D545" s="269"/>
    </row>
    <row r="546" spans="1:4" x14ac:dyDescent="0.25">
      <c r="A546" s="266" t="s">
        <v>1293</v>
      </c>
      <c r="B546" s="274">
        <v>0.04</v>
      </c>
      <c r="C546" s="274">
        <f>ROUND((1-C544)/C534,3)</f>
        <v>0.04</v>
      </c>
      <c r="D546" s="273">
        <f>+C546-B546</f>
        <v>0</v>
      </c>
    </row>
    <row r="547" spans="1:4" x14ac:dyDescent="0.25">
      <c r="A547" s="266" t="s">
        <v>1294</v>
      </c>
      <c r="B547" s="267">
        <f>+B546*B531</f>
        <v>1127.3736000000001</v>
      </c>
      <c r="C547" s="267">
        <f>+C546*C531</f>
        <v>26522.756000000001</v>
      </c>
      <c r="D547" s="272">
        <f t="shared" ref="D547" si="70">+C547-B547</f>
        <v>25395.382400000002</v>
      </c>
    </row>
    <row r="548" spans="1:4" x14ac:dyDescent="0.25">
      <c r="A548" s="266"/>
      <c r="B548" s="266"/>
      <c r="C548" s="266"/>
      <c r="D548" s="269"/>
    </row>
    <row r="549" spans="1:4" x14ac:dyDescent="0.25">
      <c r="A549" s="266" t="s">
        <v>48</v>
      </c>
      <c r="B549" s="278">
        <v>20.891257839005629</v>
      </c>
      <c r="C549" s="278">
        <f>+'Rate Computation'!M46</f>
        <v>23.543618338948562</v>
      </c>
      <c r="D549" s="277">
        <f t="shared" ref="D549:D551" si="71">+C549-B549</f>
        <v>2.6523604999429331</v>
      </c>
    </row>
    <row r="550" spans="1:4" x14ac:dyDescent="0.25">
      <c r="A550" s="266" t="s">
        <v>1295</v>
      </c>
      <c r="B550" s="274">
        <v>2.4E-2</v>
      </c>
      <c r="C550" s="274">
        <f>+'Rate Computation'!Q46</f>
        <v>4.1000000000000002E-2</v>
      </c>
      <c r="D550" s="273">
        <f t="shared" si="71"/>
        <v>1.7000000000000001E-2</v>
      </c>
    </row>
    <row r="551" spans="1:4" x14ac:dyDescent="0.25">
      <c r="A551" s="266" t="s">
        <v>1296</v>
      </c>
      <c r="B551" s="267">
        <f>+B531*B550</f>
        <v>676.42416000000003</v>
      </c>
      <c r="C551" s="267">
        <f>+C531*C550</f>
        <v>27185.824900000003</v>
      </c>
      <c r="D551" s="272">
        <f t="shared" si="71"/>
        <v>26509.400740000005</v>
      </c>
    </row>
    <row r="555" spans="1:4" x14ac:dyDescent="0.25">
      <c r="A555" s="379" t="s">
        <v>1279</v>
      </c>
      <c r="B555" s="380"/>
      <c r="C555" s="380"/>
      <c r="D555" s="381"/>
    </row>
    <row r="556" spans="1:4" x14ac:dyDescent="0.25">
      <c r="A556" s="379" t="s">
        <v>1280</v>
      </c>
      <c r="B556" s="380"/>
      <c r="C556" s="380"/>
      <c r="D556" s="381"/>
    </row>
    <row r="557" spans="1:4" x14ac:dyDescent="0.25">
      <c r="A557" s="373" t="s">
        <v>1320</v>
      </c>
      <c r="B557" s="374"/>
      <c r="C557" s="374"/>
      <c r="D557" s="375"/>
    </row>
    <row r="558" spans="1:4" x14ac:dyDescent="0.25">
      <c r="A558" s="376" t="s">
        <v>1321</v>
      </c>
      <c r="B558" s="377"/>
      <c r="C558" s="377"/>
      <c r="D558" s="378"/>
    </row>
    <row r="559" spans="1:4" x14ac:dyDescent="0.25">
      <c r="A559" s="265" t="s">
        <v>1283</v>
      </c>
      <c r="B559" s="265" t="s">
        <v>1284</v>
      </c>
      <c r="C559" s="265">
        <v>2024</v>
      </c>
      <c r="D559" s="265" t="s">
        <v>1266</v>
      </c>
    </row>
    <row r="560" spans="1:4" x14ac:dyDescent="0.25">
      <c r="A560" s="266"/>
      <c r="B560" s="266"/>
      <c r="C560" s="266"/>
      <c r="D560" s="266"/>
    </row>
    <row r="561" spans="1:4" x14ac:dyDescent="0.25">
      <c r="A561" s="266" t="s">
        <v>1285</v>
      </c>
      <c r="B561" s="267">
        <v>12072999.129999999</v>
      </c>
      <c r="C561" s="268">
        <f>+'Rate Computation'!D50</f>
        <v>15381575.261000002</v>
      </c>
      <c r="D561" s="268">
        <f>+C561-B561</f>
        <v>3308576.1310000028</v>
      </c>
    </row>
    <row r="562" spans="1:4" x14ac:dyDescent="0.25">
      <c r="A562" s="266"/>
      <c r="B562" s="266"/>
      <c r="C562" s="269"/>
      <c r="D562" s="269"/>
    </row>
    <row r="563" spans="1:4" x14ac:dyDescent="0.25">
      <c r="A563" s="266" t="s">
        <v>1286</v>
      </c>
      <c r="B563" s="265" t="s">
        <v>1255</v>
      </c>
      <c r="C563" s="265" t="str">
        <f>+Parameter!H33</f>
        <v>L2.5</v>
      </c>
      <c r="D563" s="269"/>
    </row>
    <row r="564" spans="1:4" x14ac:dyDescent="0.25">
      <c r="A564" s="266" t="s">
        <v>79</v>
      </c>
      <c r="B564" s="265">
        <v>9</v>
      </c>
      <c r="C564" s="265">
        <f>+Parameter!G33</f>
        <v>8</v>
      </c>
      <c r="D564" s="289">
        <f>+C564-B564</f>
        <v>-1</v>
      </c>
    </row>
    <row r="565" spans="1:4" x14ac:dyDescent="0.25">
      <c r="A565" s="266"/>
      <c r="B565" s="265"/>
      <c r="C565" s="269"/>
      <c r="D565" s="269"/>
    </row>
    <row r="566" spans="1:4" x14ac:dyDescent="0.25">
      <c r="A566" s="266" t="s">
        <v>1287</v>
      </c>
      <c r="B566" s="271">
        <v>4063427.1378537514</v>
      </c>
      <c r="C566" s="271">
        <f>+'Theoretical Reserve'!H835</f>
        <v>4781616.8581483997</v>
      </c>
      <c r="D566" s="272">
        <f t="shared" ref="D566:D568" si="72">+C566-B566</f>
        <v>718189.72029464832</v>
      </c>
    </row>
    <row r="567" spans="1:4" x14ac:dyDescent="0.25">
      <c r="A567" s="266" t="s">
        <v>1288</v>
      </c>
      <c r="B567" s="271">
        <v>5989326.0499999998</v>
      </c>
      <c r="C567" s="271">
        <f>+'Rate Computation'!E50</f>
        <v>6058634.4224653961</v>
      </c>
      <c r="D567" s="272">
        <f t="shared" si="72"/>
        <v>69308.3724653963</v>
      </c>
    </row>
    <row r="568" spans="1:4" x14ac:dyDescent="0.25">
      <c r="A568" s="266" t="s">
        <v>1289</v>
      </c>
      <c r="B568" s="271">
        <f>+B567-B566</f>
        <v>1925898.9121462484</v>
      </c>
      <c r="C568" s="271">
        <f>+C567-C566</f>
        <v>1277017.5643169964</v>
      </c>
      <c r="D568" s="272">
        <f t="shared" si="72"/>
        <v>-648881.34782925202</v>
      </c>
    </row>
    <row r="569" spans="1:4" x14ac:dyDescent="0.25">
      <c r="A569" s="266"/>
      <c r="B569" s="266"/>
      <c r="C569" s="266"/>
      <c r="D569" s="269"/>
    </row>
    <row r="570" spans="1:4" x14ac:dyDescent="0.25">
      <c r="A570" s="266" t="s">
        <v>50</v>
      </c>
      <c r="B570" s="274">
        <f>+B567/B561</f>
        <v>0.49609264322045887</v>
      </c>
      <c r="C570" s="274">
        <f>+C567/C561</f>
        <v>0.39388907310599514</v>
      </c>
      <c r="D570" s="269"/>
    </row>
    <row r="571" spans="1:4" x14ac:dyDescent="0.25">
      <c r="A571" s="266"/>
      <c r="B571" s="266"/>
      <c r="C571" s="266"/>
      <c r="D571" s="269"/>
    </row>
    <row r="572" spans="1:4" x14ac:dyDescent="0.25">
      <c r="A572" s="266" t="s">
        <v>1290</v>
      </c>
      <c r="B572" s="275">
        <v>0.11</v>
      </c>
      <c r="C572" s="275">
        <f>+Parameter!I33/100</f>
        <v>0.11</v>
      </c>
      <c r="D572" s="276">
        <f t="shared" ref="D572:D574" si="73">+C572-B572</f>
        <v>0</v>
      </c>
    </row>
    <row r="573" spans="1:4" x14ac:dyDescent="0.25">
      <c r="A573" s="266" t="s">
        <v>1291</v>
      </c>
      <c r="B573" s="275">
        <v>0</v>
      </c>
      <c r="C573" s="275">
        <v>0</v>
      </c>
      <c r="D573" s="276">
        <f t="shared" si="73"/>
        <v>0</v>
      </c>
    </row>
    <row r="574" spans="1:4" x14ac:dyDescent="0.25">
      <c r="A574" s="266" t="s">
        <v>1292</v>
      </c>
      <c r="B574" s="275">
        <f>+B572-B573</f>
        <v>0.11</v>
      </c>
      <c r="C574" s="275">
        <f>+C572-C573</f>
        <v>0.11</v>
      </c>
      <c r="D574" s="276">
        <f t="shared" si="73"/>
        <v>0</v>
      </c>
    </row>
    <row r="575" spans="1:4" x14ac:dyDescent="0.25">
      <c r="A575" s="266"/>
      <c r="B575" s="266"/>
      <c r="C575" s="266"/>
      <c r="D575" s="269"/>
    </row>
    <row r="576" spans="1:4" x14ac:dyDescent="0.25">
      <c r="A576" s="266" t="s">
        <v>1293</v>
      </c>
      <c r="B576" s="274">
        <f>ROUND((1-B574)/B564,3)</f>
        <v>9.9000000000000005E-2</v>
      </c>
      <c r="C576" s="274">
        <f>ROUND((1-C574)/C564,3)</f>
        <v>0.111</v>
      </c>
      <c r="D576" s="273">
        <f>+C576-B576</f>
        <v>1.1999999999999997E-2</v>
      </c>
    </row>
    <row r="577" spans="1:4" x14ac:dyDescent="0.25">
      <c r="A577" s="266" t="s">
        <v>1294</v>
      </c>
      <c r="B577" s="267">
        <f>+B576*B561</f>
        <v>1195226.91387</v>
      </c>
      <c r="C577" s="267">
        <f>+C576*C561</f>
        <v>1707354.8539710003</v>
      </c>
      <c r="D577" s="272">
        <f t="shared" ref="D577" si="74">+C577-B577</f>
        <v>512127.94010100025</v>
      </c>
    </row>
    <row r="578" spans="1:4" x14ac:dyDescent="0.25">
      <c r="A578" s="266"/>
      <c r="B578" s="266"/>
      <c r="C578" s="266"/>
      <c r="D578" s="269"/>
    </row>
    <row r="579" spans="1:4" x14ac:dyDescent="0.25">
      <c r="A579" s="266" t="s">
        <v>48</v>
      </c>
      <c r="B579" s="278">
        <v>5.5964682194516655</v>
      </c>
      <c r="C579" s="278">
        <f>+'Rate Computation'!M50</f>
        <v>5.2056941527829395</v>
      </c>
      <c r="D579" s="277">
        <f t="shared" ref="D579:D581" si="75">+C579-B579</f>
        <v>-0.39077406666872605</v>
      </c>
    </row>
    <row r="580" spans="1:4" x14ac:dyDescent="0.25">
      <c r="A580" s="266" t="s">
        <v>1295</v>
      </c>
      <c r="B580" s="274">
        <f>+'Proposed Rates'!J38</f>
        <v>7.0000000000000007E-2</v>
      </c>
      <c r="C580" s="274">
        <f>+'Rate Computation'!Q50</f>
        <v>9.5000000000000001E-2</v>
      </c>
      <c r="D580" s="273">
        <f t="shared" si="75"/>
        <v>2.4999999999999994E-2</v>
      </c>
    </row>
    <row r="581" spans="1:4" x14ac:dyDescent="0.25">
      <c r="A581" s="266" t="s">
        <v>1296</v>
      </c>
      <c r="B581" s="267">
        <f>+B561*B580</f>
        <v>845109.93909999996</v>
      </c>
      <c r="C581" s="267">
        <f t="shared" ref="C581" si="76">+C561*C580</f>
        <v>1461249.6497950002</v>
      </c>
      <c r="D581" s="272">
        <f t="shared" si="75"/>
        <v>616139.71069500025</v>
      </c>
    </row>
    <row r="586" spans="1:4" x14ac:dyDescent="0.25">
      <c r="A586" s="379" t="s">
        <v>1279</v>
      </c>
      <c r="B586" s="380"/>
      <c r="C586" s="380"/>
      <c r="D586" s="381"/>
    </row>
    <row r="587" spans="1:4" x14ac:dyDescent="0.25">
      <c r="A587" s="379" t="s">
        <v>1280</v>
      </c>
      <c r="B587" s="380"/>
      <c r="C587" s="380"/>
      <c r="D587" s="381"/>
    </row>
    <row r="588" spans="1:4" x14ac:dyDescent="0.25">
      <c r="A588" s="373" t="s">
        <v>1322</v>
      </c>
      <c r="B588" s="374"/>
      <c r="C588" s="374"/>
      <c r="D588" s="375"/>
    </row>
    <row r="589" spans="1:4" x14ac:dyDescent="0.25">
      <c r="A589" s="376" t="s">
        <v>1323</v>
      </c>
      <c r="B589" s="377"/>
      <c r="C589" s="377"/>
      <c r="D589" s="378"/>
    </row>
    <row r="590" spans="1:4" x14ac:dyDescent="0.25">
      <c r="A590" s="265" t="s">
        <v>1283</v>
      </c>
      <c r="B590" s="265" t="s">
        <v>1284</v>
      </c>
      <c r="C590" s="265">
        <v>2024</v>
      </c>
      <c r="D590" s="265" t="s">
        <v>1266</v>
      </c>
    </row>
    <row r="591" spans="1:4" x14ac:dyDescent="0.25">
      <c r="A591" s="266"/>
      <c r="B591" s="266"/>
      <c r="C591" s="266"/>
      <c r="D591" s="266"/>
    </row>
    <row r="592" spans="1:4" x14ac:dyDescent="0.25">
      <c r="A592" s="266" t="s">
        <v>1285</v>
      </c>
      <c r="B592" s="267">
        <v>12134490.950000001</v>
      </c>
      <c r="C592" s="268">
        <f>+'Rate Computation'!D51</f>
        <v>17803654.689999994</v>
      </c>
      <c r="D592" s="268">
        <f>+C592-B592</f>
        <v>5669163.7399999928</v>
      </c>
    </row>
    <row r="593" spans="1:4" x14ac:dyDescent="0.25">
      <c r="A593" s="266"/>
      <c r="B593" s="266"/>
      <c r="C593" s="269"/>
      <c r="D593" s="269"/>
    </row>
    <row r="594" spans="1:4" x14ac:dyDescent="0.25">
      <c r="A594" s="266" t="s">
        <v>1286</v>
      </c>
      <c r="B594" s="265" t="s">
        <v>1256</v>
      </c>
      <c r="C594" s="265" t="str">
        <f>+Parameter!H34</f>
        <v>L3</v>
      </c>
      <c r="D594" s="269"/>
    </row>
    <row r="595" spans="1:4" x14ac:dyDescent="0.25">
      <c r="A595" s="266" t="s">
        <v>79</v>
      </c>
      <c r="B595" s="265">
        <v>10</v>
      </c>
      <c r="C595" s="265">
        <f>+Parameter!G34</f>
        <v>10</v>
      </c>
      <c r="D595" s="270">
        <f>+C595-B595</f>
        <v>0</v>
      </c>
    </row>
    <row r="596" spans="1:4" x14ac:dyDescent="0.25">
      <c r="A596" s="266"/>
      <c r="B596" s="265"/>
      <c r="C596" s="269"/>
      <c r="D596" s="269"/>
    </row>
    <row r="597" spans="1:4" x14ac:dyDescent="0.25">
      <c r="A597" s="266" t="s">
        <v>1287</v>
      </c>
      <c r="B597" s="271">
        <v>4137904.1800777502</v>
      </c>
      <c r="C597" s="271">
        <f>+'Theoretical Reserve'!H855</f>
        <v>6988376.0823803348</v>
      </c>
      <c r="D597" s="272">
        <f t="shared" ref="D597:D599" si="77">+C597-B597</f>
        <v>2850471.9023025846</v>
      </c>
    </row>
    <row r="598" spans="1:4" x14ac:dyDescent="0.25">
      <c r="A598" s="266" t="s">
        <v>1288</v>
      </c>
      <c r="B598" s="271">
        <v>6619614.1699999999</v>
      </c>
      <c r="C598" s="271">
        <f>+'Rate Computation'!E51</f>
        <v>8353208.6126399981</v>
      </c>
      <c r="D598" s="272">
        <f t="shared" si="77"/>
        <v>1733594.4426399982</v>
      </c>
    </row>
    <row r="599" spans="1:4" x14ac:dyDescent="0.25">
      <c r="A599" s="266" t="s">
        <v>1289</v>
      </c>
      <c r="B599" s="271">
        <f>+B598-B597</f>
        <v>2481709.9899222497</v>
      </c>
      <c r="C599" s="271">
        <f>+C598-C597</f>
        <v>1364832.5302596632</v>
      </c>
      <c r="D599" s="272">
        <f t="shared" si="77"/>
        <v>-1116877.4596625865</v>
      </c>
    </row>
    <row r="600" spans="1:4" x14ac:dyDescent="0.25">
      <c r="A600" s="266"/>
      <c r="B600" s="266"/>
      <c r="C600" s="266"/>
      <c r="D600" s="269"/>
    </row>
    <row r="601" spans="1:4" x14ac:dyDescent="0.25">
      <c r="A601" s="266" t="s">
        <v>50</v>
      </c>
      <c r="B601" s="274">
        <f>+B598/B592</f>
        <v>0.54552054942197636</v>
      </c>
      <c r="C601" s="274">
        <f>+C598/C592</f>
        <v>0.46918504981630832</v>
      </c>
      <c r="D601" s="269"/>
    </row>
    <row r="602" spans="1:4" x14ac:dyDescent="0.25">
      <c r="A602" s="266"/>
      <c r="B602" s="266"/>
      <c r="C602" s="266"/>
      <c r="D602" s="269"/>
    </row>
    <row r="603" spans="1:4" x14ac:dyDescent="0.25">
      <c r="A603" s="266" t="s">
        <v>1290</v>
      </c>
      <c r="B603" s="275">
        <v>0.11</v>
      </c>
      <c r="C603" s="275">
        <f>+Parameter!I34/100</f>
        <v>0.11</v>
      </c>
      <c r="D603" s="276">
        <f t="shared" ref="D603:D605" si="78">+C603-B603</f>
        <v>0</v>
      </c>
    </row>
    <row r="604" spans="1:4" x14ac:dyDescent="0.25">
      <c r="A604" s="266" t="s">
        <v>1291</v>
      </c>
      <c r="B604" s="275">
        <v>0</v>
      </c>
      <c r="C604" s="275">
        <v>0</v>
      </c>
      <c r="D604" s="276">
        <f t="shared" si="78"/>
        <v>0</v>
      </c>
    </row>
    <row r="605" spans="1:4" x14ac:dyDescent="0.25">
      <c r="A605" s="266" t="s">
        <v>1292</v>
      </c>
      <c r="B605" s="275">
        <f>+B603-B604</f>
        <v>0.11</v>
      </c>
      <c r="C605" s="275">
        <f>+C603-C604</f>
        <v>0.11</v>
      </c>
      <c r="D605" s="276">
        <f t="shared" si="78"/>
        <v>0</v>
      </c>
    </row>
    <row r="606" spans="1:4" x14ac:dyDescent="0.25">
      <c r="A606" s="266"/>
      <c r="B606" s="266"/>
      <c r="C606" s="266"/>
      <c r="D606" s="269"/>
    </row>
    <row r="607" spans="1:4" x14ac:dyDescent="0.25">
      <c r="A607" s="266" t="s">
        <v>1293</v>
      </c>
      <c r="B607" s="274">
        <v>8.8999999999999996E-2</v>
      </c>
      <c r="C607" s="274">
        <f>ROUND((1-C605)/C595,3)</f>
        <v>8.8999999999999996E-2</v>
      </c>
      <c r="D607" s="273">
        <f>+C607-B607</f>
        <v>0</v>
      </c>
    </row>
    <row r="608" spans="1:4" x14ac:dyDescent="0.25">
      <c r="A608" s="266" t="s">
        <v>1294</v>
      </c>
      <c r="B608" s="267">
        <f>+B592*B607</f>
        <v>1079969.6945500001</v>
      </c>
      <c r="C608" s="267">
        <f>+C592*C607</f>
        <v>1584525.2674099994</v>
      </c>
      <c r="D608" s="272">
        <f t="shared" ref="D608" si="79">+C608-B608</f>
        <v>504555.57285999926</v>
      </c>
    </row>
    <row r="609" spans="1:4" x14ac:dyDescent="0.25">
      <c r="A609" s="266"/>
      <c r="B609" s="266"/>
      <c r="C609" s="266"/>
      <c r="D609" s="269"/>
    </row>
    <row r="610" spans="1:4" x14ac:dyDescent="0.25">
      <c r="A610" s="266" t="s">
        <v>48</v>
      </c>
      <c r="B610" s="278">
        <f>+'Proposed Rates'!G39</f>
        <v>6.2</v>
      </c>
      <c r="C610" s="278">
        <f>+'Rate Computation'!M51</f>
        <v>5.5896089345402205</v>
      </c>
      <c r="D610" s="277">
        <f t="shared" ref="D610:D612" si="80">+C610-B610</f>
        <v>-0.61039106545977972</v>
      </c>
    </row>
    <row r="611" spans="1:4" x14ac:dyDescent="0.25">
      <c r="A611" s="266" t="s">
        <v>1295</v>
      </c>
      <c r="B611" s="274">
        <f>'Proposed Rates'!$J$39</f>
        <v>5.6000000000000001E-2</v>
      </c>
      <c r="C611" s="274">
        <f>+'Rate Computation'!Q51</f>
        <v>7.4999999999999997E-2</v>
      </c>
      <c r="D611" s="273">
        <f t="shared" si="80"/>
        <v>1.8999999999999996E-2</v>
      </c>
    </row>
    <row r="612" spans="1:4" x14ac:dyDescent="0.25">
      <c r="A612" s="266" t="s">
        <v>1296</v>
      </c>
      <c r="B612" s="267">
        <f>+B592*B611</f>
        <v>679531.49320000003</v>
      </c>
      <c r="C612" s="267">
        <f t="shared" ref="C612" si="81">+C592*C611</f>
        <v>1335274.1017499994</v>
      </c>
      <c r="D612" s="272">
        <f t="shared" si="80"/>
        <v>655742.60854999942</v>
      </c>
    </row>
    <row r="616" spans="1:4" x14ac:dyDescent="0.25">
      <c r="A616" s="379" t="s">
        <v>1279</v>
      </c>
      <c r="B616" s="380"/>
      <c r="C616" s="380"/>
      <c r="D616" s="381"/>
    </row>
    <row r="617" spans="1:4" x14ac:dyDescent="0.25">
      <c r="A617" s="379" t="s">
        <v>1280</v>
      </c>
      <c r="B617" s="380"/>
      <c r="C617" s="380"/>
      <c r="D617" s="381"/>
    </row>
    <row r="618" spans="1:4" x14ac:dyDescent="0.25">
      <c r="A618" s="373" t="s">
        <v>1324</v>
      </c>
      <c r="B618" s="374"/>
      <c r="C618" s="374"/>
      <c r="D618" s="375"/>
    </row>
    <row r="619" spans="1:4" x14ac:dyDescent="0.25">
      <c r="A619" s="376" t="s">
        <v>112</v>
      </c>
      <c r="B619" s="377"/>
      <c r="C619" s="377"/>
      <c r="D619" s="378"/>
    </row>
    <row r="620" spans="1:4" x14ac:dyDescent="0.25">
      <c r="A620" s="265" t="s">
        <v>1283</v>
      </c>
      <c r="B620" s="265" t="s">
        <v>1284</v>
      </c>
      <c r="C620" s="265">
        <v>2024</v>
      </c>
      <c r="D620" s="265" t="s">
        <v>1266</v>
      </c>
    </row>
    <row r="621" spans="1:4" x14ac:dyDescent="0.25">
      <c r="A621" s="266"/>
      <c r="B621" s="266"/>
      <c r="C621" s="266"/>
      <c r="D621" s="266"/>
    </row>
    <row r="622" spans="1:4" x14ac:dyDescent="0.25">
      <c r="A622" s="266" t="s">
        <v>1285</v>
      </c>
      <c r="B622" s="267">
        <v>2563258.4599999995</v>
      </c>
      <c r="C622" s="268">
        <f>'Rate Computation'!D52</f>
        <v>4611626.0700000012</v>
      </c>
      <c r="D622" s="268">
        <f>+C622-B622</f>
        <v>2048367.6100000017</v>
      </c>
    </row>
    <row r="623" spans="1:4" x14ac:dyDescent="0.25">
      <c r="A623" s="266"/>
      <c r="B623" s="266"/>
      <c r="C623" s="269"/>
      <c r="D623" s="269"/>
    </row>
    <row r="624" spans="1:4" x14ac:dyDescent="0.25">
      <c r="A624" s="266" t="s">
        <v>1286</v>
      </c>
      <c r="B624" s="265" t="s">
        <v>26</v>
      </c>
      <c r="C624" s="265" t="str">
        <f>+Parameter!H35</f>
        <v>R1.5</v>
      </c>
      <c r="D624" s="269"/>
    </row>
    <row r="625" spans="1:4" x14ac:dyDescent="0.25">
      <c r="A625" s="266" t="s">
        <v>79</v>
      </c>
      <c r="B625" s="265">
        <v>27</v>
      </c>
      <c r="C625" s="265">
        <f>+Parameter!G35</f>
        <v>30</v>
      </c>
      <c r="D625" s="270">
        <f>+C625-B625</f>
        <v>3</v>
      </c>
    </row>
    <row r="626" spans="1:4" x14ac:dyDescent="0.25">
      <c r="A626" s="266"/>
      <c r="B626" s="265"/>
      <c r="C626" s="269"/>
      <c r="D626" s="269"/>
    </row>
    <row r="627" spans="1:4" x14ac:dyDescent="0.25">
      <c r="A627" s="266" t="s">
        <v>1287</v>
      </c>
      <c r="B627" s="271">
        <v>352703.93691106932</v>
      </c>
      <c r="C627" s="271">
        <f>+'Theoretical Reserve'!H895</f>
        <v>509206.32611688768</v>
      </c>
      <c r="D627" s="272">
        <f t="shared" ref="D627:D629" si="82">+C627-B627</f>
        <v>156502.38920581836</v>
      </c>
    </row>
    <row r="628" spans="1:4" x14ac:dyDescent="0.25">
      <c r="A628" s="266" t="s">
        <v>1288</v>
      </c>
      <c r="B628" s="271">
        <v>505320.78</v>
      </c>
      <c r="C628" s="271">
        <f>+'Rate Computation'!E52</f>
        <v>821141.15773737081</v>
      </c>
      <c r="D628" s="272">
        <f t="shared" si="82"/>
        <v>315820.37773737079</v>
      </c>
    </row>
    <row r="629" spans="1:4" x14ac:dyDescent="0.25">
      <c r="A629" s="266" t="s">
        <v>1289</v>
      </c>
      <c r="B629" s="271">
        <f>+B628-B627</f>
        <v>152616.84308893071</v>
      </c>
      <c r="C629" s="271">
        <f>+C628-C627</f>
        <v>311934.83162048314</v>
      </c>
      <c r="D629" s="272">
        <f t="shared" si="82"/>
        <v>159317.98853155243</v>
      </c>
    </row>
    <row r="630" spans="1:4" x14ac:dyDescent="0.25">
      <c r="A630" s="266"/>
      <c r="B630" s="266"/>
      <c r="C630" s="266"/>
      <c r="D630" s="269"/>
    </row>
    <row r="631" spans="1:4" x14ac:dyDescent="0.25">
      <c r="A631" s="266" t="s">
        <v>50</v>
      </c>
      <c r="B631" s="274">
        <f>+B628/B622</f>
        <v>0.1971400028072082</v>
      </c>
      <c r="C631" s="274">
        <f>+C628/C622</f>
        <v>0.17805892005840157</v>
      </c>
      <c r="D631" s="269"/>
    </row>
    <row r="632" spans="1:4" x14ac:dyDescent="0.25">
      <c r="A632" s="266"/>
      <c r="B632" s="266"/>
      <c r="C632" s="266"/>
      <c r="D632" s="269"/>
    </row>
    <row r="633" spans="1:4" x14ac:dyDescent="0.25">
      <c r="A633" s="266" t="s">
        <v>1290</v>
      </c>
      <c r="B633" s="275">
        <v>0.15</v>
      </c>
      <c r="C633" s="275">
        <f>+Parameter!I35/100</f>
        <v>0.2</v>
      </c>
      <c r="D633" s="276">
        <f t="shared" ref="D633:D635" si="83">+C633-B633</f>
        <v>5.0000000000000017E-2</v>
      </c>
    </row>
    <row r="634" spans="1:4" x14ac:dyDescent="0.25">
      <c r="A634" s="266" t="s">
        <v>1291</v>
      </c>
      <c r="B634" s="275">
        <v>0</v>
      </c>
      <c r="C634" s="275">
        <v>0</v>
      </c>
      <c r="D634" s="276">
        <f t="shared" si="83"/>
        <v>0</v>
      </c>
    </row>
    <row r="635" spans="1:4" x14ac:dyDescent="0.25">
      <c r="A635" s="266" t="s">
        <v>1292</v>
      </c>
      <c r="B635" s="275">
        <f>+B633-B634</f>
        <v>0.15</v>
      </c>
      <c r="C635" s="275">
        <f>+C633-C634</f>
        <v>0.2</v>
      </c>
      <c r="D635" s="276">
        <f t="shared" si="83"/>
        <v>5.0000000000000017E-2</v>
      </c>
    </row>
    <row r="636" spans="1:4" x14ac:dyDescent="0.25">
      <c r="A636" s="266"/>
      <c r="B636" s="266"/>
      <c r="C636" s="266"/>
      <c r="D636" s="269"/>
    </row>
    <row r="637" spans="1:4" x14ac:dyDescent="0.25">
      <c r="A637" s="266" t="s">
        <v>1293</v>
      </c>
      <c r="B637" s="274">
        <v>3.1E-2</v>
      </c>
      <c r="C637" s="274">
        <f>ROUND((1-C635)/C625,3)</f>
        <v>2.7E-2</v>
      </c>
      <c r="D637" s="273">
        <f>+C637-B637</f>
        <v>-4.0000000000000001E-3</v>
      </c>
    </row>
    <row r="638" spans="1:4" x14ac:dyDescent="0.25">
      <c r="A638" s="266" t="s">
        <v>1294</v>
      </c>
      <c r="B638" s="267">
        <f>+B622*B637</f>
        <v>79461.012259999989</v>
      </c>
      <c r="C638" s="267">
        <f>+C622*C637</f>
        <v>124513.90389000003</v>
      </c>
      <c r="D638" s="272">
        <f t="shared" ref="D638" si="84">+C638-B638</f>
        <v>45052.891630000042</v>
      </c>
    </row>
    <row r="639" spans="1:4" x14ac:dyDescent="0.25">
      <c r="A639" s="266"/>
      <c r="B639" s="266"/>
      <c r="C639" s="266"/>
      <c r="D639" s="269"/>
    </row>
    <row r="640" spans="1:4" x14ac:dyDescent="0.25">
      <c r="A640" s="266" t="s">
        <v>48</v>
      </c>
      <c r="B640" s="278">
        <v>22.629181764398396</v>
      </c>
      <c r="C640" s="278">
        <f>+'Rate Computation'!M52</f>
        <v>25.85932663673589</v>
      </c>
      <c r="D640" s="277">
        <f t="shared" ref="D640:D642" si="85">+C640-B640</f>
        <v>3.2301448723374939</v>
      </c>
    </row>
    <row r="641" spans="1:4" x14ac:dyDescent="0.25">
      <c r="A641" s="266" t="s">
        <v>1295</v>
      </c>
      <c r="B641" s="274">
        <v>2.9000000000000001E-2</v>
      </c>
      <c r="C641" s="274">
        <f>+'Rate Computation'!Q52</f>
        <v>2.4E-2</v>
      </c>
      <c r="D641" s="273">
        <f t="shared" si="85"/>
        <v>-5.000000000000001E-3</v>
      </c>
    </row>
    <row r="642" spans="1:4" x14ac:dyDescent="0.25">
      <c r="A642" s="266" t="s">
        <v>1296</v>
      </c>
      <c r="B642" s="267">
        <f>+B622*B641</f>
        <v>74334.495339999994</v>
      </c>
      <c r="C642" s="267">
        <f>+C622*C641</f>
        <v>110679.02568000004</v>
      </c>
      <c r="D642" s="272">
        <f t="shared" si="85"/>
        <v>36344.530340000041</v>
      </c>
    </row>
    <row r="646" spans="1:4" x14ac:dyDescent="0.25">
      <c r="A646" s="379" t="s">
        <v>1279</v>
      </c>
      <c r="B646" s="380"/>
      <c r="C646" s="380"/>
      <c r="D646" s="381"/>
    </row>
    <row r="647" spans="1:4" x14ac:dyDescent="0.25">
      <c r="A647" s="379" t="s">
        <v>1280</v>
      </c>
      <c r="B647" s="380"/>
      <c r="C647" s="380"/>
      <c r="D647" s="381"/>
    </row>
    <row r="648" spans="1:4" x14ac:dyDescent="0.25">
      <c r="A648" s="373" t="s">
        <v>1325</v>
      </c>
      <c r="B648" s="374"/>
      <c r="C648" s="374"/>
      <c r="D648" s="375"/>
    </row>
    <row r="649" spans="1:4" x14ac:dyDescent="0.25">
      <c r="A649" s="376" t="s">
        <v>1326</v>
      </c>
      <c r="B649" s="377"/>
      <c r="C649" s="377"/>
      <c r="D649" s="378"/>
    </row>
    <row r="650" spans="1:4" x14ac:dyDescent="0.25">
      <c r="A650" s="265" t="s">
        <v>1283</v>
      </c>
      <c r="B650" s="265" t="s">
        <v>1284</v>
      </c>
      <c r="C650" s="265">
        <v>2024</v>
      </c>
      <c r="D650" s="265" t="s">
        <v>1266</v>
      </c>
    </row>
    <row r="651" spans="1:4" x14ac:dyDescent="0.25">
      <c r="A651" s="266"/>
      <c r="B651" s="266"/>
      <c r="C651" s="266"/>
      <c r="D651" s="266"/>
    </row>
    <row r="652" spans="1:4" x14ac:dyDescent="0.25">
      <c r="A652" s="266" t="s">
        <v>1285</v>
      </c>
      <c r="B652" s="267">
        <v>1900118.2700000005</v>
      </c>
      <c r="C652" s="268">
        <f>+'Rate Computation'!D53</f>
        <v>2564139.23</v>
      </c>
      <c r="D652" s="268">
        <f>+C652-B652</f>
        <v>664020.9599999995</v>
      </c>
    </row>
    <row r="653" spans="1:4" x14ac:dyDescent="0.25">
      <c r="A653" s="266"/>
      <c r="B653" s="266"/>
      <c r="C653" s="269"/>
      <c r="D653" s="269"/>
    </row>
    <row r="654" spans="1:4" x14ac:dyDescent="0.25">
      <c r="A654" s="266" t="s">
        <v>1286</v>
      </c>
      <c r="B654" s="265" t="s">
        <v>706</v>
      </c>
      <c r="C654" s="265" t="str">
        <f>+Parameter!H36</f>
        <v xml:space="preserve">L2 </v>
      </c>
      <c r="D654" s="269"/>
    </row>
    <row r="655" spans="1:4" x14ac:dyDescent="0.25">
      <c r="A655" s="266" t="s">
        <v>79</v>
      </c>
      <c r="B655" s="265">
        <v>12</v>
      </c>
      <c r="C655" s="265">
        <f>+Parameter!G36</f>
        <v>13</v>
      </c>
      <c r="D655" s="270">
        <f>+C655-B655</f>
        <v>1</v>
      </c>
    </row>
    <row r="656" spans="1:4" x14ac:dyDescent="0.25">
      <c r="A656" s="266"/>
      <c r="B656" s="265"/>
      <c r="C656" s="269"/>
      <c r="D656" s="269"/>
    </row>
    <row r="657" spans="1:4" x14ac:dyDescent="0.25">
      <c r="A657" s="266" t="s">
        <v>1287</v>
      </c>
      <c r="B657" s="271">
        <v>816893.30569632084</v>
      </c>
      <c r="C657" s="271">
        <f>+'Theoretical Reserve'!H908</f>
        <v>1004735.7005313487</v>
      </c>
      <c r="D657" s="272">
        <f t="shared" ref="D657:D659" si="86">+C657-B657</f>
        <v>187842.39483502787</v>
      </c>
    </row>
    <row r="658" spans="1:4" x14ac:dyDescent="0.25">
      <c r="A658" s="266" t="s">
        <v>1288</v>
      </c>
      <c r="B658" s="271">
        <v>999339.8</v>
      </c>
      <c r="C658" s="271">
        <f>+'Rate Computation'!E53</f>
        <v>1267332.2891799998</v>
      </c>
      <c r="D658" s="272">
        <f t="shared" si="86"/>
        <v>267992.4891799998</v>
      </c>
    </row>
    <row r="659" spans="1:4" x14ac:dyDescent="0.25">
      <c r="A659" s="266" t="s">
        <v>1289</v>
      </c>
      <c r="B659" s="271">
        <f>+B658-B657</f>
        <v>182446.49430367921</v>
      </c>
      <c r="C659" s="271">
        <f>+C658-C657</f>
        <v>262596.58864865114</v>
      </c>
      <c r="D659" s="272">
        <f t="shared" si="86"/>
        <v>80150.094344971934</v>
      </c>
    </row>
    <row r="660" spans="1:4" x14ac:dyDescent="0.25">
      <c r="A660" s="266"/>
      <c r="B660" s="266"/>
      <c r="C660" s="266"/>
      <c r="D660" s="269"/>
    </row>
    <row r="661" spans="1:4" x14ac:dyDescent="0.25">
      <c r="A661" s="266" t="s">
        <v>50</v>
      </c>
      <c r="B661" s="274">
        <f>+B658/B652</f>
        <v>0.52593557768380372</v>
      </c>
      <c r="C661" s="274">
        <f>+C658/C652</f>
        <v>0.4942525251173665</v>
      </c>
      <c r="D661" s="269"/>
    </row>
    <row r="662" spans="1:4" x14ac:dyDescent="0.25">
      <c r="A662" s="266"/>
      <c r="B662" s="266"/>
      <c r="C662" s="266"/>
      <c r="D662" s="269"/>
    </row>
    <row r="663" spans="1:4" x14ac:dyDescent="0.25">
      <c r="A663" s="266" t="s">
        <v>1290</v>
      </c>
      <c r="B663" s="275">
        <v>0.04</v>
      </c>
      <c r="C663" s="275">
        <f>+Parameter!I36/100</f>
        <v>7.0000000000000007E-2</v>
      </c>
      <c r="D663" s="276">
        <f t="shared" ref="D663:D665" si="87">+C663-B663</f>
        <v>3.0000000000000006E-2</v>
      </c>
    </row>
    <row r="664" spans="1:4" x14ac:dyDescent="0.25">
      <c r="A664" s="266" t="s">
        <v>1291</v>
      </c>
      <c r="B664" s="275">
        <v>0</v>
      </c>
      <c r="C664" s="275">
        <v>0</v>
      </c>
      <c r="D664" s="276">
        <f t="shared" si="87"/>
        <v>0</v>
      </c>
    </row>
    <row r="665" spans="1:4" x14ac:dyDescent="0.25">
      <c r="A665" s="266" t="s">
        <v>1292</v>
      </c>
      <c r="B665" s="275">
        <f>+B663-B664</f>
        <v>0.04</v>
      </c>
      <c r="C665" s="275">
        <f>+C663-C664</f>
        <v>7.0000000000000007E-2</v>
      </c>
      <c r="D665" s="276">
        <f t="shared" si="87"/>
        <v>3.0000000000000006E-2</v>
      </c>
    </row>
    <row r="666" spans="1:4" x14ac:dyDescent="0.25">
      <c r="A666" s="266"/>
      <c r="B666" s="266"/>
      <c r="C666" s="266"/>
      <c r="D666" s="269"/>
    </row>
    <row r="667" spans="1:4" x14ac:dyDescent="0.25">
      <c r="A667" s="266" t="s">
        <v>1293</v>
      </c>
      <c r="B667" s="274">
        <v>0.08</v>
      </c>
      <c r="C667" s="274">
        <f>ROUND((1-C665)/C655,3)</f>
        <v>7.1999999999999995E-2</v>
      </c>
      <c r="D667" s="273">
        <f>+C667-B667</f>
        <v>-8.0000000000000071E-3</v>
      </c>
    </row>
    <row r="668" spans="1:4" x14ac:dyDescent="0.25">
      <c r="A668" s="266" t="s">
        <v>1294</v>
      </c>
      <c r="B668" s="267">
        <f>+B652*B667</f>
        <v>152009.46160000004</v>
      </c>
      <c r="C668" s="267">
        <f>+C652*C667</f>
        <v>184618.02455999999</v>
      </c>
      <c r="D668" s="272">
        <f t="shared" ref="D668" si="88">+C668-B668</f>
        <v>32608.562959999952</v>
      </c>
    </row>
    <row r="669" spans="1:4" x14ac:dyDescent="0.25">
      <c r="A669" s="266"/>
      <c r="B669" s="266"/>
      <c r="C669" s="266"/>
      <c r="D669" s="269"/>
    </row>
    <row r="670" spans="1:4" x14ac:dyDescent="0.25">
      <c r="A670" s="266" t="s">
        <v>48</v>
      </c>
      <c r="B670" s="278">
        <v>6.6260364512973107</v>
      </c>
      <c r="C670" s="278">
        <f>+'Rate Computation'!M53</f>
        <v>7.5226482151389957</v>
      </c>
      <c r="D670" s="277">
        <f t="shared" ref="D670:D672" si="89">+C670-B670</f>
        <v>0.89661176384168506</v>
      </c>
    </row>
    <row r="671" spans="1:4" x14ac:dyDescent="0.25">
      <c r="A671" s="266" t="s">
        <v>1295</v>
      </c>
      <c r="B671" s="274">
        <v>6.6000000000000003E-2</v>
      </c>
      <c r="C671" s="274">
        <f>+'Rate Computation'!Q53</f>
        <v>5.8000000000000003E-2</v>
      </c>
      <c r="D671" s="273">
        <f t="shared" si="89"/>
        <v>-8.0000000000000002E-3</v>
      </c>
    </row>
    <row r="672" spans="1:4" x14ac:dyDescent="0.25">
      <c r="A672" s="266" t="s">
        <v>1296</v>
      </c>
      <c r="B672" s="267">
        <f>+B652*B671</f>
        <v>125407.80582000004</v>
      </c>
      <c r="C672" s="267">
        <f>+C652*C671</f>
        <v>148720.07534000001</v>
      </c>
      <c r="D672" s="272">
        <f t="shared" si="89"/>
        <v>23312.269519999973</v>
      </c>
    </row>
    <row r="677" spans="1:4" x14ac:dyDescent="0.25">
      <c r="A677" s="379" t="s">
        <v>1279</v>
      </c>
      <c r="B677" s="380"/>
      <c r="C677" s="380"/>
      <c r="D677" s="381"/>
    </row>
    <row r="678" spans="1:4" x14ac:dyDescent="0.25">
      <c r="A678" s="379" t="s">
        <v>1280</v>
      </c>
      <c r="B678" s="380"/>
      <c r="C678" s="380"/>
      <c r="D678" s="381"/>
    </row>
    <row r="679" spans="1:4" x14ac:dyDescent="0.25">
      <c r="A679" s="373" t="s">
        <v>1327</v>
      </c>
      <c r="B679" s="374"/>
      <c r="C679" s="374"/>
      <c r="D679" s="375"/>
    </row>
    <row r="680" spans="1:4" x14ac:dyDescent="0.25">
      <c r="A680" s="376" t="s">
        <v>30</v>
      </c>
      <c r="B680" s="377"/>
      <c r="C680" s="377"/>
      <c r="D680" s="378"/>
    </row>
    <row r="681" spans="1:4" x14ac:dyDescent="0.25">
      <c r="A681" s="265" t="s">
        <v>1283</v>
      </c>
      <c r="B681" s="265" t="s">
        <v>1284</v>
      </c>
      <c r="C681" s="265">
        <v>2024</v>
      </c>
      <c r="D681" s="265" t="s">
        <v>1266</v>
      </c>
    </row>
    <row r="682" spans="1:4" x14ac:dyDescent="0.25">
      <c r="A682" s="266"/>
      <c r="B682" s="266"/>
      <c r="C682" s="266"/>
      <c r="D682" s="266"/>
    </row>
    <row r="683" spans="1:4" x14ac:dyDescent="0.25">
      <c r="A683" s="266" t="s">
        <v>1285</v>
      </c>
      <c r="B683" s="267">
        <v>3203465.4299999997</v>
      </c>
      <c r="C683" s="268">
        <f>+'Rate Computation'!D57</f>
        <v>3562012.9878999991</v>
      </c>
      <c r="D683" s="268">
        <f>+C683-B683</f>
        <v>358547.55789999943</v>
      </c>
    </row>
    <row r="684" spans="1:4" x14ac:dyDescent="0.25">
      <c r="A684" s="266"/>
      <c r="B684" s="266"/>
      <c r="C684" s="269"/>
      <c r="D684" s="269"/>
    </row>
    <row r="685" spans="1:4" x14ac:dyDescent="0.25">
      <c r="A685" s="266" t="s">
        <v>1286</v>
      </c>
      <c r="B685" s="265" t="s">
        <v>1257</v>
      </c>
      <c r="C685" s="265" t="str">
        <f>+Parameter!H51</f>
        <v>L1.5</v>
      </c>
      <c r="D685" s="269"/>
    </row>
    <row r="686" spans="1:4" x14ac:dyDescent="0.25">
      <c r="A686" s="266" t="s">
        <v>79</v>
      </c>
      <c r="B686" s="265">
        <v>18</v>
      </c>
      <c r="C686" s="265">
        <f>+Parameter!G51</f>
        <v>18</v>
      </c>
      <c r="D686" s="270">
        <f>+C686-B686</f>
        <v>0</v>
      </c>
    </row>
    <row r="687" spans="1:4" x14ac:dyDescent="0.25">
      <c r="A687" s="266"/>
      <c r="B687" s="265"/>
      <c r="C687" s="269"/>
      <c r="D687" s="269"/>
    </row>
    <row r="688" spans="1:4" x14ac:dyDescent="0.25">
      <c r="A688" s="266" t="s">
        <v>1287</v>
      </c>
      <c r="B688" s="271">
        <v>1092227.4105957225</v>
      </c>
      <c r="C688" s="271">
        <f>+'Theoretical Reserve'!H975</f>
        <v>1296058.5205168733</v>
      </c>
      <c r="D688" s="272">
        <f t="shared" ref="D688:D690" si="90">+C688-B688</f>
        <v>203831.10992115084</v>
      </c>
    </row>
    <row r="689" spans="1:4" x14ac:dyDescent="0.25">
      <c r="A689" s="266" t="s">
        <v>1288</v>
      </c>
      <c r="B689" s="271">
        <v>1926551.91</v>
      </c>
      <c r="C689" s="271">
        <f>+'Rate Computation'!E57</f>
        <v>2121059.1343065528</v>
      </c>
      <c r="D689" s="272">
        <f t="shared" si="90"/>
        <v>194507.2243065529</v>
      </c>
    </row>
    <row r="690" spans="1:4" x14ac:dyDescent="0.25">
      <c r="A690" s="266" t="s">
        <v>1289</v>
      </c>
      <c r="B690" s="271">
        <f>+B689-B688</f>
        <v>834324.49940427742</v>
      </c>
      <c r="C690" s="271">
        <f>+C689-C688</f>
        <v>825000.61378967948</v>
      </c>
      <c r="D690" s="272">
        <f t="shared" si="90"/>
        <v>-9323.8856145979371</v>
      </c>
    </row>
    <row r="691" spans="1:4" x14ac:dyDescent="0.25">
      <c r="A691" s="266"/>
      <c r="B691" s="266"/>
      <c r="C691" s="266"/>
      <c r="D691" s="269"/>
    </row>
    <row r="692" spans="1:4" x14ac:dyDescent="0.25">
      <c r="A692" s="266" t="s">
        <v>50</v>
      </c>
      <c r="B692" s="274">
        <f>+B689/B683</f>
        <v>0.60139619174850911</v>
      </c>
      <c r="C692" s="274">
        <f>+C689/C683</f>
        <v>0.5954664234834901</v>
      </c>
      <c r="D692" s="269"/>
    </row>
    <row r="693" spans="1:4" x14ac:dyDescent="0.25">
      <c r="A693" s="266"/>
      <c r="B693" s="266"/>
      <c r="C693" s="266"/>
      <c r="D693" s="269"/>
    </row>
    <row r="694" spans="1:4" x14ac:dyDescent="0.25">
      <c r="A694" s="266" t="s">
        <v>1290</v>
      </c>
      <c r="B694" s="275">
        <v>0.1</v>
      </c>
      <c r="C694" s="275">
        <f>+Parameter!I51/100</f>
        <v>0.1</v>
      </c>
      <c r="D694" s="276">
        <f t="shared" ref="D694:D696" si="91">+C694-B694</f>
        <v>0</v>
      </c>
    </row>
    <row r="695" spans="1:4" x14ac:dyDescent="0.25">
      <c r="A695" s="266" t="s">
        <v>1291</v>
      </c>
      <c r="B695" s="275">
        <v>0</v>
      </c>
      <c r="C695" s="275">
        <v>0</v>
      </c>
      <c r="D695" s="276">
        <f t="shared" si="91"/>
        <v>0</v>
      </c>
    </row>
    <row r="696" spans="1:4" x14ac:dyDescent="0.25">
      <c r="A696" s="266" t="s">
        <v>1292</v>
      </c>
      <c r="B696" s="275">
        <f>+B694-B695</f>
        <v>0.1</v>
      </c>
      <c r="C696" s="275">
        <f>+C694-C695</f>
        <v>0.1</v>
      </c>
      <c r="D696" s="276">
        <f t="shared" si="91"/>
        <v>0</v>
      </c>
    </row>
    <row r="697" spans="1:4" x14ac:dyDescent="0.25">
      <c r="A697" s="266"/>
      <c r="B697" s="266"/>
      <c r="C697" s="266"/>
      <c r="D697" s="269"/>
    </row>
    <row r="698" spans="1:4" x14ac:dyDescent="0.25">
      <c r="A698" s="266" t="s">
        <v>1293</v>
      </c>
      <c r="B698" s="274">
        <v>0.05</v>
      </c>
      <c r="C698" s="274">
        <f>ROUND((1-C696)/C686,3)</f>
        <v>0.05</v>
      </c>
      <c r="D698" s="273">
        <f>+C698-B698</f>
        <v>0</v>
      </c>
    </row>
    <row r="699" spans="1:4" x14ac:dyDescent="0.25">
      <c r="A699" s="266" t="s">
        <v>1294</v>
      </c>
      <c r="B699" s="267">
        <f>+B683*B698</f>
        <v>160173.2715</v>
      </c>
      <c r="C699" s="267">
        <f>+C683*C698</f>
        <v>178100.64939499996</v>
      </c>
      <c r="D699" s="272">
        <f t="shared" ref="D699" si="92">+C699-B699</f>
        <v>17927.377894999954</v>
      </c>
    </row>
    <row r="700" spans="1:4" x14ac:dyDescent="0.25">
      <c r="A700" s="266"/>
      <c r="B700" s="266"/>
      <c r="C700" s="266"/>
      <c r="D700" s="269"/>
    </row>
    <row r="701" spans="1:4" x14ac:dyDescent="0.25">
      <c r="A701" s="266" t="s">
        <v>48</v>
      </c>
      <c r="B701" s="278">
        <v>11.180963338220113</v>
      </c>
      <c r="C701" s="278">
        <f>'Rate Computation'!$M$57</f>
        <v>10.668836430679919</v>
      </c>
      <c r="D701" s="277">
        <f t="shared" ref="D701:D703" si="93">+C701-B701</f>
        <v>-0.51212690754019441</v>
      </c>
    </row>
    <row r="702" spans="1:4" x14ac:dyDescent="0.25">
      <c r="A702" s="266" t="s">
        <v>1295</v>
      </c>
      <c r="B702" s="274">
        <v>2.7E-2</v>
      </c>
      <c r="C702" s="274">
        <f>+'Rate Computation'!Q57</f>
        <v>2.9000000000000001E-2</v>
      </c>
      <c r="D702" s="273">
        <f t="shared" si="93"/>
        <v>2.0000000000000018E-3</v>
      </c>
    </row>
    <row r="703" spans="1:4" x14ac:dyDescent="0.25">
      <c r="A703" s="266" t="s">
        <v>1296</v>
      </c>
      <c r="B703" s="267">
        <f>+B683*B702</f>
        <v>86493.566609999994</v>
      </c>
      <c r="C703" s="267">
        <f>+C683*C702</f>
        <v>103298.37664909998</v>
      </c>
      <c r="D703" s="272">
        <f t="shared" si="93"/>
        <v>16804.81003909999</v>
      </c>
    </row>
    <row r="708" spans="1:4" x14ac:dyDescent="0.25">
      <c r="A708" s="379" t="s">
        <v>1279</v>
      </c>
      <c r="B708" s="380"/>
      <c r="C708" s="380"/>
      <c r="D708" s="381"/>
    </row>
    <row r="709" spans="1:4" x14ac:dyDescent="0.25">
      <c r="A709" s="379" t="s">
        <v>1280</v>
      </c>
      <c r="B709" s="380"/>
      <c r="C709" s="380"/>
      <c r="D709" s="381"/>
    </row>
    <row r="710" spans="1:4" x14ac:dyDescent="0.25">
      <c r="A710" s="373" t="s">
        <v>1328</v>
      </c>
      <c r="B710" s="374"/>
      <c r="C710" s="374"/>
      <c r="D710" s="375"/>
    </row>
    <row r="711" spans="1:4" x14ac:dyDescent="0.25">
      <c r="A711" s="376" t="s">
        <v>107</v>
      </c>
      <c r="B711" s="377"/>
      <c r="C711" s="377"/>
      <c r="D711" s="378"/>
    </row>
    <row r="712" spans="1:4" x14ac:dyDescent="0.25">
      <c r="A712" s="265" t="s">
        <v>1283</v>
      </c>
      <c r="B712" s="265" t="s">
        <v>1284</v>
      </c>
      <c r="C712" s="265">
        <v>2024</v>
      </c>
      <c r="D712" s="265" t="s">
        <v>1266</v>
      </c>
    </row>
    <row r="713" spans="1:4" x14ac:dyDescent="0.25">
      <c r="A713" s="266"/>
      <c r="B713" s="266"/>
      <c r="C713" s="266"/>
      <c r="D713" s="266"/>
    </row>
    <row r="714" spans="1:4" x14ac:dyDescent="0.25">
      <c r="A714" s="266" t="s">
        <v>1285</v>
      </c>
      <c r="B714" s="267">
        <v>5898365.7100000018</v>
      </c>
      <c r="C714" s="268">
        <f>+'Rate Computation'!D47</f>
        <v>2151949.7299999995</v>
      </c>
      <c r="D714" s="272">
        <f>+C714-B714</f>
        <v>-3746415.9800000023</v>
      </c>
    </row>
    <row r="715" spans="1:4" x14ac:dyDescent="0.25">
      <c r="A715" s="266"/>
      <c r="B715" s="266"/>
      <c r="C715" s="269"/>
      <c r="D715" s="269"/>
    </row>
    <row r="716" spans="1:4" x14ac:dyDescent="0.25">
      <c r="A716" s="266" t="s">
        <v>1286</v>
      </c>
      <c r="B716" s="265" t="s">
        <v>652</v>
      </c>
      <c r="C716" s="265" t="str">
        <f>+Parameter!H44</f>
        <v>SQ</v>
      </c>
      <c r="D716" s="269"/>
    </row>
    <row r="717" spans="1:4" x14ac:dyDescent="0.25">
      <c r="A717" s="266" t="s">
        <v>79</v>
      </c>
      <c r="B717" s="265">
        <v>17</v>
      </c>
      <c r="C717" s="265">
        <f>+Parameter!G44</f>
        <v>17</v>
      </c>
      <c r="D717" s="270">
        <f>+C717-B717</f>
        <v>0</v>
      </c>
    </row>
    <row r="718" spans="1:4" x14ac:dyDescent="0.25">
      <c r="A718" s="266"/>
      <c r="B718" s="265"/>
      <c r="C718" s="269"/>
      <c r="D718" s="269"/>
    </row>
    <row r="719" spans="1:4" x14ac:dyDescent="0.25">
      <c r="A719" s="266" t="s">
        <v>1287</v>
      </c>
      <c r="B719" s="271">
        <v>1274776.4794117648</v>
      </c>
      <c r="C719" s="271">
        <f>+'Theoretical Reserve'!H779</f>
        <v>960077.26794117631</v>
      </c>
      <c r="D719" s="272">
        <f t="shared" ref="D719:D721" si="94">+C719-B719</f>
        <v>-314699.21147058846</v>
      </c>
    </row>
    <row r="720" spans="1:4" x14ac:dyDescent="0.25">
      <c r="A720" s="266" t="s">
        <v>1288</v>
      </c>
      <c r="B720" s="271">
        <v>1350659.75</v>
      </c>
      <c r="C720" s="271">
        <f>+'Rate Computation'!E47</f>
        <v>1114167.3792016273</v>
      </c>
      <c r="D720" s="272">
        <f t="shared" si="94"/>
        <v>-236492.37079837266</v>
      </c>
    </row>
    <row r="721" spans="1:4" x14ac:dyDescent="0.25">
      <c r="A721" s="266" t="s">
        <v>1289</v>
      </c>
      <c r="B721" s="271">
        <f>+B720-B719</f>
        <v>75883.270588235231</v>
      </c>
      <c r="C721" s="271">
        <f>+C720-C719</f>
        <v>154090.11126045103</v>
      </c>
      <c r="D721" s="272">
        <f t="shared" si="94"/>
        <v>78206.840672215796</v>
      </c>
    </row>
    <row r="722" spans="1:4" x14ac:dyDescent="0.25">
      <c r="A722" s="266"/>
      <c r="B722" s="266"/>
      <c r="C722" s="266"/>
      <c r="D722" s="269"/>
    </row>
    <row r="723" spans="1:4" x14ac:dyDescent="0.25">
      <c r="A723" s="266" t="s">
        <v>50</v>
      </c>
      <c r="B723" s="274">
        <f>+B720/B714</f>
        <v>0.22898881086842607</v>
      </c>
      <c r="C723" s="274">
        <f>+C720/C714</f>
        <v>0.51774786542138584</v>
      </c>
      <c r="D723" s="269"/>
    </row>
    <row r="724" spans="1:4" x14ac:dyDescent="0.25">
      <c r="A724" s="266"/>
      <c r="B724" s="266"/>
      <c r="C724" s="266"/>
      <c r="D724" s="269"/>
    </row>
    <row r="725" spans="1:4" x14ac:dyDescent="0.25">
      <c r="A725" s="266" t="s">
        <v>1290</v>
      </c>
      <c r="B725" s="275">
        <v>0</v>
      </c>
      <c r="C725" s="275">
        <v>0</v>
      </c>
      <c r="D725" s="276">
        <f t="shared" ref="D725:D727" si="95">+C725-B725</f>
        <v>0</v>
      </c>
    </row>
    <row r="726" spans="1:4" x14ac:dyDescent="0.25">
      <c r="A726" s="266" t="s">
        <v>1291</v>
      </c>
      <c r="B726" s="275">
        <v>0</v>
      </c>
      <c r="C726" s="275">
        <f>+Parameter!I44/100</f>
        <v>0</v>
      </c>
      <c r="D726" s="276">
        <f t="shared" si="95"/>
        <v>0</v>
      </c>
    </row>
    <row r="727" spans="1:4" x14ac:dyDescent="0.25">
      <c r="A727" s="266" t="s">
        <v>1292</v>
      </c>
      <c r="B727" s="275">
        <f>+B725-B726</f>
        <v>0</v>
      </c>
      <c r="C727" s="275">
        <f>+C725-C726</f>
        <v>0</v>
      </c>
      <c r="D727" s="276">
        <f t="shared" si="95"/>
        <v>0</v>
      </c>
    </row>
    <row r="728" spans="1:4" x14ac:dyDescent="0.25">
      <c r="A728" s="266"/>
      <c r="B728" s="266"/>
      <c r="C728" s="266"/>
      <c r="D728" s="269"/>
    </row>
    <row r="729" spans="1:4" x14ac:dyDescent="0.25">
      <c r="A729" s="266" t="s">
        <v>1293</v>
      </c>
      <c r="B729" s="274">
        <v>5.8999999999999997E-2</v>
      </c>
      <c r="C729" s="274">
        <f>ROUND((1-C727)/C717,3)</f>
        <v>5.8999999999999997E-2</v>
      </c>
      <c r="D729" s="273">
        <f>+C729-B729</f>
        <v>0</v>
      </c>
    </row>
    <row r="730" spans="1:4" x14ac:dyDescent="0.25">
      <c r="A730" s="266" t="s">
        <v>1294</v>
      </c>
      <c r="B730" s="267">
        <f>+B729*B714</f>
        <v>348003.57689000008</v>
      </c>
      <c r="C730" s="267">
        <f>+C729*C714</f>
        <v>126965.03406999997</v>
      </c>
      <c r="D730" s="272">
        <f t="shared" ref="D730" si="96">+C730-B730</f>
        <v>-221038.54282000012</v>
      </c>
    </row>
    <row r="731" spans="1:4" x14ac:dyDescent="0.25">
      <c r="A731" s="266"/>
      <c r="B731" s="266"/>
      <c r="C731" s="266"/>
      <c r="D731" s="269"/>
    </row>
    <row r="732" spans="1:4" x14ac:dyDescent="0.25">
      <c r="A732" s="266" t="s">
        <v>48</v>
      </c>
      <c r="B732" s="278">
        <v>14.532783771207002</v>
      </c>
      <c r="C732" s="278">
        <f>+'Rate Computation'!M47</f>
        <v>9.4155693195491139</v>
      </c>
      <c r="D732" s="277">
        <f t="shared" ref="D732:D734" si="97">+C732-B732</f>
        <v>-5.1172144516578886</v>
      </c>
    </row>
    <row r="733" spans="1:4" x14ac:dyDescent="0.25">
      <c r="A733" s="266" t="s">
        <v>1295</v>
      </c>
      <c r="B733" s="274">
        <v>5.8999999999999997E-2</v>
      </c>
      <c r="C733" s="274">
        <f>+'Rate Computation'!Q47</f>
        <v>5.0999999999999997E-2</v>
      </c>
      <c r="D733" s="273">
        <f t="shared" si="97"/>
        <v>-8.0000000000000002E-3</v>
      </c>
    </row>
    <row r="734" spans="1:4" x14ac:dyDescent="0.25">
      <c r="A734" s="266" t="s">
        <v>1296</v>
      </c>
      <c r="B734" s="267">
        <f>+B733*B714</f>
        <v>348003.57689000008</v>
      </c>
      <c r="C734" s="267">
        <f>+C733*C714</f>
        <v>109749.43622999996</v>
      </c>
      <c r="D734" s="272">
        <f t="shared" si="97"/>
        <v>-238254.14066000012</v>
      </c>
    </row>
    <row r="740" spans="1:4" x14ac:dyDescent="0.25">
      <c r="A740" s="379" t="s">
        <v>1279</v>
      </c>
      <c r="B740" s="380"/>
      <c r="C740" s="380"/>
      <c r="D740" s="381"/>
    </row>
    <row r="741" spans="1:4" x14ac:dyDescent="0.25">
      <c r="A741" s="379" t="s">
        <v>1280</v>
      </c>
      <c r="B741" s="380"/>
      <c r="C741" s="380"/>
      <c r="D741" s="381"/>
    </row>
    <row r="742" spans="1:4" x14ac:dyDescent="0.25">
      <c r="A742" s="373" t="s">
        <v>1329</v>
      </c>
      <c r="B742" s="374"/>
      <c r="C742" s="374"/>
      <c r="D742" s="375"/>
    </row>
    <row r="743" spans="1:4" x14ac:dyDescent="0.25">
      <c r="A743" s="376" t="s">
        <v>108</v>
      </c>
      <c r="B743" s="377"/>
      <c r="C743" s="377"/>
      <c r="D743" s="378"/>
    </row>
    <row r="744" spans="1:4" x14ac:dyDescent="0.25">
      <c r="A744" s="265" t="s">
        <v>1283</v>
      </c>
      <c r="B744" s="265" t="s">
        <v>1284</v>
      </c>
      <c r="C744" s="265">
        <v>2024</v>
      </c>
      <c r="D744" s="265" t="s">
        <v>1266</v>
      </c>
    </row>
    <row r="745" spans="1:4" x14ac:dyDescent="0.25">
      <c r="A745" s="266"/>
      <c r="B745" s="266"/>
      <c r="C745" s="266"/>
      <c r="D745" s="266"/>
    </row>
    <row r="746" spans="1:4" x14ac:dyDescent="0.25">
      <c r="A746" s="266" t="s">
        <v>1285</v>
      </c>
      <c r="B746" s="267">
        <v>4500269.3499999996</v>
      </c>
      <c r="C746" s="268">
        <f>+'Rate Computation'!D48</f>
        <v>5932305.8570000008</v>
      </c>
      <c r="D746" s="268">
        <f>+C746-B746</f>
        <v>1432036.5070000011</v>
      </c>
    </row>
    <row r="747" spans="1:4" x14ac:dyDescent="0.25">
      <c r="A747" s="266"/>
      <c r="B747" s="266"/>
      <c r="C747" s="269"/>
      <c r="D747" s="269"/>
    </row>
    <row r="748" spans="1:4" x14ac:dyDescent="0.25">
      <c r="A748" s="266" t="s">
        <v>1286</v>
      </c>
      <c r="B748" s="265" t="s">
        <v>652</v>
      </c>
      <c r="C748" s="265" t="str">
        <f>+Parameter!H45</f>
        <v>SQ</v>
      </c>
      <c r="D748" s="269"/>
    </row>
    <row r="749" spans="1:4" x14ac:dyDescent="0.25">
      <c r="A749" s="266" t="s">
        <v>79</v>
      </c>
      <c r="B749" s="265">
        <v>9</v>
      </c>
      <c r="C749" s="265">
        <f>+Parameter!G45</f>
        <v>9</v>
      </c>
      <c r="D749" s="270">
        <f>+C749-B749</f>
        <v>0</v>
      </c>
    </row>
    <row r="750" spans="1:4" x14ac:dyDescent="0.25">
      <c r="A750" s="266"/>
      <c r="B750" s="265"/>
      <c r="C750" s="269"/>
      <c r="D750" s="269"/>
    </row>
    <row r="751" spans="1:4" x14ac:dyDescent="0.25">
      <c r="A751" s="266" t="s">
        <v>1287</v>
      </c>
      <c r="B751" s="271">
        <v>2983522.0122222221</v>
      </c>
      <c r="C751" s="271">
        <f>+'Theoretical Reserve'!H792</f>
        <v>2365045.3070555557</v>
      </c>
      <c r="D751" s="272">
        <f t="shared" ref="D751:D753" si="98">+C751-B751</f>
        <v>-618476.7051666663</v>
      </c>
    </row>
    <row r="752" spans="1:4" x14ac:dyDescent="0.25">
      <c r="A752" s="266" t="s">
        <v>1288</v>
      </c>
      <c r="B752" s="271">
        <v>3905942.06</v>
      </c>
      <c r="C752" s="271">
        <f>+'Rate Computation'!E48</f>
        <v>3431578.3103643819</v>
      </c>
      <c r="D752" s="272">
        <f t="shared" si="98"/>
        <v>-474363.74963561818</v>
      </c>
    </row>
    <row r="753" spans="1:4" x14ac:dyDescent="0.25">
      <c r="A753" s="266" t="s">
        <v>1289</v>
      </c>
      <c r="B753" s="271">
        <f>+B752-B751</f>
        <v>922420.047777778</v>
      </c>
      <c r="C753" s="271">
        <f>+C752-C751</f>
        <v>1066533.0033088261</v>
      </c>
      <c r="D753" s="272">
        <f t="shared" si="98"/>
        <v>144112.95553104812</v>
      </c>
    </row>
    <row r="754" spans="1:4" x14ac:dyDescent="0.25">
      <c r="A754" s="266"/>
      <c r="B754" s="266"/>
      <c r="C754" s="266"/>
      <c r="D754" s="269"/>
    </row>
    <row r="755" spans="1:4" x14ac:dyDescent="0.25">
      <c r="A755" s="266" t="s">
        <v>50</v>
      </c>
      <c r="B755" s="274">
        <f>+B752/B746</f>
        <v>0.86793517370243634</v>
      </c>
      <c r="C755" s="274">
        <f>+C752/C746</f>
        <v>0.57845606633973345</v>
      </c>
      <c r="D755" s="269"/>
    </row>
    <row r="756" spans="1:4" x14ac:dyDescent="0.25">
      <c r="A756" s="266"/>
      <c r="B756" s="266"/>
      <c r="C756" s="266"/>
      <c r="D756" s="269"/>
    </row>
    <row r="757" spans="1:4" x14ac:dyDescent="0.25">
      <c r="A757" s="266" t="s">
        <v>1290</v>
      </c>
      <c r="B757" s="275">
        <v>0</v>
      </c>
      <c r="C757" s="275">
        <v>0</v>
      </c>
      <c r="D757" s="276">
        <f t="shared" ref="D757:D759" si="99">+C757-B757</f>
        <v>0</v>
      </c>
    </row>
    <row r="758" spans="1:4" x14ac:dyDescent="0.25">
      <c r="A758" s="266" t="s">
        <v>1291</v>
      </c>
      <c r="B758" s="275">
        <v>0</v>
      </c>
      <c r="C758" s="275">
        <f>+Parameter!I45/100</f>
        <v>0</v>
      </c>
      <c r="D758" s="276">
        <f t="shared" si="99"/>
        <v>0</v>
      </c>
    </row>
    <row r="759" spans="1:4" x14ac:dyDescent="0.25">
      <c r="A759" s="266" t="s">
        <v>1292</v>
      </c>
      <c r="B759" s="275">
        <f>+B757-B758</f>
        <v>0</v>
      </c>
      <c r="C759" s="275">
        <f>+C757-C758</f>
        <v>0</v>
      </c>
      <c r="D759" s="276">
        <f t="shared" si="99"/>
        <v>0</v>
      </c>
    </row>
    <row r="760" spans="1:4" x14ac:dyDescent="0.25">
      <c r="A760" s="266"/>
      <c r="B760" s="266"/>
      <c r="C760" s="266"/>
      <c r="D760" s="269"/>
    </row>
    <row r="761" spans="1:4" x14ac:dyDescent="0.25">
      <c r="A761" s="266" t="s">
        <v>1293</v>
      </c>
      <c r="B761" s="274">
        <v>0.111</v>
      </c>
      <c r="C761" s="274">
        <f>+'Proposed Accruals'!L55/100</f>
        <v>0.1111111111111111</v>
      </c>
      <c r="D761" s="273">
        <f>+C761-B761</f>
        <v>1.111111111111035E-4</v>
      </c>
    </row>
    <row r="762" spans="1:4" x14ac:dyDescent="0.25">
      <c r="A762" s="266" t="s">
        <v>1294</v>
      </c>
      <c r="B762" s="267">
        <f>+B746*B761</f>
        <v>499529.89784999995</v>
      </c>
      <c r="C762" s="267">
        <f>+C746*C761</f>
        <v>659145.09522222227</v>
      </c>
      <c r="D762" s="272">
        <f t="shared" ref="D762" si="100">+C762-B762</f>
        <v>159615.19737222232</v>
      </c>
    </row>
    <row r="763" spans="1:4" x14ac:dyDescent="0.25">
      <c r="A763" s="266"/>
      <c r="B763" s="266"/>
      <c r="C763" s="266"/>
      <c r="D763" s="269"/>
    </row>
    <row r="764" spans="1:4" x14ac:dyDescent="0.25">
      <c r="A764" s="266" t="s">
        <v>48</v>
      </c>
      <c r="B764" s="278">
        <v>5.1530116716943164</v>
      </c>
      <c r="C764" s="278">
        <f>+'Rate Computation'!M48</f>
        <v>5.4119503820957489</v>
      </c>
      <c r="D764" s="277">
        <f t="shared" ref="D764:D766" si="101">+C764-B764</f>
        <v>0.25893871040143246</v>
      </c>
    </row>
    <row r="765" spans="1:4" x14ac:dyDescent="0.25">
      <c r="A765" s="266" t="s">
        <v>1295</v>
      </c>
      <c r="B765" s="274">
        <v>0.111</v>
      </c>
      <c r="C765" s="274">
        <f>+'Rate Computation'!Q48</f>
        <v>7.8E-2</v>
      </c>
      <c r="D765" s="273">
        <f t="shared" si="101"/>
        <v>-3.3000000000000002E-2</v>
      </c>
    </row>
    <row r="766" spans="1:4" x14ac:dyDescent="0.25">
      <c r="A766" s="266" t="s">
        <v>1296</v>
      </c>
      <c r="B766" s="267">
        <f>+B746*B765</f>
        <v>499529.89784999995</v>
      </c>
      <c r="C766" s="267">
        <f>+C746*C765</f>
        <v>462719.85684600007</v>
      </c>
      <c r="D766" s="272">
        <f t="shared" si="101"/>
        <v>-36810.041003999882</v>
      </c>
    </row>
    <row r="770" spans="1:4" x14ac:dyDescent="0.25">
      <c r="A770" s="379" t="s">
        <v>1279</v>
      </c>
      <c r="B770" s="380"/>
      <c r="C770" s="380"/>
      <c r="D770" s="381"/>
    </row>
    <row r="771" spans="1:4" x14ac:dyDescent="0.25">
      <c r="A771" s="379" t="s">
        <v>1280</v>
      </c>
      <c r="B771" s="380"/>
      <c r="C771" s="380"/>
      <c r="D771" s="381"/>
    </row>
    <row r="772" spans="1:4" x14ac:dyDescent="0.25">
      <c r="A772" s="373" t="s">
        <v>1330</v>
      </c>
      <c r="B772" s="374"/>
      <c r="C772" s="374"/>
      <c r="D772" s="375"/>
    </row>
    <row r="773" spans="1:4" x14ac:dyDescent="0.25">
      <c r="A773" s="376" t="s">
        <v>109</v>
      </c>
      <c r="B773" s="377"/>
      <c r="C773" s="377"/>
      <c r="D773" s="378"/>
    </row>
    <row r="774" spans="1:4" x14ac:dyDescent="0.25">
      <c r="A774" s="265" t="s">
        <v>1283</v>
      </c>
      <c r="B774" s="265" t="s">
        <v>1284</v>
      </c>
      <c r="C774" s="265">
        <v>2024</v>
      </c>
      <c r="D774" s="265" t="s">
        <v>1266</v>
      </c>
    </row>
    <row r="775" spans="1:4" x14ac:dyDescent="0.25">
      <c r="A775" s="266"/>
      <c r="B775" s="266"/>
      <c r="C775" s="266"/>
      <c r="D775" s="266"/>
    </row>
    <row r="776" spans="1:4" x14ac:dyDescent="0.25">
      <c r="A776" s="266" t="s">
        <v>1285</v>
      </c>
      <c r="B776" s="267">
        <v>1402780.0899999999</v>
      </c>
      <c r="C776" s="268">
        <f>+'Rate Computation'!D49</f>
        <v>1529673.7899999998</v>
      </c>
      <c r="D776" s="268">
        <f>+C776-B776</f>
        <v>126893.69999999995</v>
      </c>
    </row>
    <row r="777" spans="1:4" x14ac:dyDescent="0.25">
      <c r="A777" s="266"/>
      <c r="B777" s="266"/>
      <c r="C777" s="269"/>
      <c r="D777" s="269"/>
    </row>
    <row r="778" spans="1:4" x14ac:dyDescent="0.25">
      <c r="A778" s="266" t="s">
        <v>1286</v>
      </c>
      <c r="B778" s="265" t="s">
        <v>652</v>
      </c>
      <c r="C778" s="265" t="str">
        <f>+Parameter!H46</f>
        <v>SQ</v>
      </c>
      <c r="D778" s="269"/>
    </row>
    <row r="779" spans="1:4" x14ac:dyDescent="0.25">
      <c r="A779" s="266" t="s">
        <v>79</v>
      </c>
      <c r="B779" s="265">
        <v>15</v>
      </c>
      <c r="C779" s="265">
        <f>+Parameter!G46</f>
        <v>15</v>
      </c>
      <c r="D779" s="270">
        <f>+C779-B779</f>
        <v>0</v>
      </c>
    </row>
    <row r="780" spans="1:4" x14ac:dyDescent="0.25">
      <c r="A780" s="266"/>
      <c r="B780" s="265"/>
      <c r="C780" s="269"/>
      <c r="D780" s="269"/>
    </row>
    <row r="781" spans="1:4" x14ac:dyDescent="0.25">
      <c r="A781" s="266" t="s">
        <v>1287</v>
      </c>
      <c r="B781" s="271">
        <v>175528.43633333329</v>
      </c>
      <c r="C781" s="271">
        <f>+'Theoretical Reserve'!H812</f>
        <v>928843.51299999992</v>
      </c>
      <c r="D781" s="272">
        <f t="shared" ref="D781:D783" si="102">+C781-B781</f>
        <v>753315.07666666666</v>
      </c>
    </row>
    <row r="782" spans="1:4" x14ac:dyDescent="0.25">
      <c r="A782" s="266" t="s">
        <v>1288</v>
      </c>
      <c r="B782" s="271">
        <v>729056.68</v>
      </c>
      <c r="C782" s="271">
        <f>+'Rate Computation'!E49</f>
        <v>965279.09392999986</v>
      </c>
      <c r="D782" s="272">
        <f t="shared" si="102"/>
        <v>236222.41392999981</v>
      </c>
    </row>
    <row r="783" spans="1:4" x14ac:dyDescent="0.25">
      <c r="A783" s="266" t="s">
        <v>1289</v>
      </c>
      <c r="B783" s="271">
        <f>+B782-B781</f>
        <v>553528.24366666679</v>
      </c>
      <c r="C783" s="271">
        <f>+C782-C781</f>
        <v>36435.580929999938</v>
      </c>
      <c r="D783" s="272">
        <f t="shared" si="102"/>
        <v>-517092.66273666685</v>
      </c>
    </row>
    <row r="784" spans="1:4" x14ac:dyDescent="0.25">
      <c r="A784" s="266"/>
      <c r="B784" s="266"/>
      <c r="C784" s="266"/>
      <c r="D784" s="269"/>
    </row>
    <row r="785" spans="1:4" x14ac:dyDescent="0.25">
      <c r="A785" s="266" t="s">
        <v>50</v>
      </c>
      <c r="B785" s="274">
        <f>+B782/B776</f>
        <v>0.51972271719368368</v>
      </c>
      <c r="C785" s="274">
        <f>+C782/C776</f>
        <v>0.63103591121215452</v>
      </c>
      <c r="D785" s="269"/>
    </row>
    <row r="786" spans="1:4" x14ac:dyDescent="0.25">
      <c r="A786" s="266"/>
      <c r="B786" s="266"/>
      <c r="C786" s="266"/>
      <c r="D786" s="269"/>
    </row>
    <row r="787" spans="1:4" x14ac:dyDescent="0.25">
      <c r="A787" s="266" t="s">
        <v>1290</v>
      </c>
      <c r="B787" s="275">
        <v>0</v>
      </c>
      <c r="C787" s="275">
        <v>0</v>
      </c>
      <c r="D787" s="276">
        <f t="shared" ref="D787:D789" si="103">+C787-B787</f>
        <v>0</v>
      </c>
    </row>
    <row r="788" spans="1:4" x14ac:dyDescent="0.25">
      <c r="A788" s="266" t="s">
        <v>1291</v>
      </c>
      <c r="B788" s="275">
        <v>0</v>
      </c>
      <c r="C788" s="275">
        <f>+Parameter!I42/100</f>
        <v>0</v>
      </c>
      <c r="D788" s="276">
        <f t="shared" si="103"/>
        <v>0</v>
      </c>
    </row>
    <row r="789" spans="1:4" x14ac:dyDescent="0.25">
      <c r="A789" s="266" t="s">
        <v>1292</v>
      </c>
      <c r="B789" s="275">
        <f>+B787-B788</f>
        <v>0</v>
      </c>
      <c r="C789" s="275">
        <f>+C787-C788</f>
        <v>0</v>
      </c>
      <c r="D789" s="276">
        <f t="shared" si="103"/>
        <v>0</v>
      </c>
    </row>
    <row r="790" spans="1:4" x14ac:dyDescent="0.25">
      <c r="A790" s="266"/>
      <c r="B790" s="266"/>
      <c r="C790" s="266"/>
      <c r="D790" s="269"/>
    </row>
    <row r="791" spans="1:4" x14ac:dyDescent="0.25">
      <c r="A791" s="266" t="s">
        <v>1293</v>
      </c>
      <c r="B791" s="274">
        <v>6.7000000000000004E-2</v>
      </c>
      <c r="C791" s="274">
        <f>+'Proposed Accruals'!L56/100</f>
        <v>6.6666666666666666E-2</v>
      </c>
      <c r="D791" s="273">
        <f>+C791-B791</f>
        <v>-3.3333333333333826E-4</v>
      </c>
    </row>
    <row r="792" spans="1:4" x14ac:dyDescent="0.25">
      <c r="A792" s="266" t="s">
        <v>1294</v>
      </c>
      <c r="B792" s="267">
        <f>+B776*B791</f>
        <v>93986.266029999999</v>
      </c>
      <c r="C792" s="267">
        <f>+C776*C791</f>
        <v>101978.25266666665</v>
      </c>
      <c r="D792" s="272">
        <f t="shared" ref="D792" si="104">+C792-B792</f>
        <v>7991.9866366666538</v>
      </c>
    </row>
    <row r="793" spans="1:4" x14ac:dyDescent="0.25">
      <c r="A793" s="266"/>
      <c r="B793" s="266"/>
      <c r="C793" s="266"/>
      <c r="D793" s="269"/>
    </row>
    <row r="794" spans="1:4" x14ac:dyDescent="0.25">
      <c r="A794" s="266" t="s">
        <v>48</v>
      </c>
      <c r="B794" s="278">
        <v>13.082675136200432</v>
      </c>
      <c r="C794" s="278">
        <f>+'Rate Computation'!M49</f>
        <v>5.8917490865813953</v>
      </c>
      <c r="D794" s="277">
        <f t="shared" ref="D794:D796" si="105">+C794-B794</f>
        <v>-7.190926049619037</v>
      </c>
    </row>
    <row r="795" spans="1:4" x14ac:dyDescent="0.25">
      <c r="A795" s="266" t="s">
        <v>1295</v>
      </c>
      <c r="B795" s="274">
        <v>6.7000000000000004E-2</v>
      </c>
      <c r="C795" s="274">
        <f>+'Rate Computation'!Q49</f>
        <v>6.3E-2</v>
      </c>
      <c r="D795" s="273">
        <f t="shared" si="105"/>
        <v>-4.0000000000000036E-3</v>
      </c>
    </row>
    <row r="796" spans="1:4" x14ac:dyDescent="0.25">
      <c r="A796" s="266" t="s">
        <v>1296</v>
      </c>
      <c r="B796" s="267">
        <f>+B776*B795</f>
        <v>93986.266029999999</v>
      </c>
      <c r="C796" s="267">
        <f>+C776*C795</f>
        <v>96369.448769999988</v>
      </c>
      <c r="D796" s="272">
        <f t="shared" si="105"/>
        <v>2383.1827399999893</v>
      </c>
    </row>
    <row r="801" spans="1:4" x14ac:dyDescent="0.25">
      <c r="A801" s="379" t="s">
        <v>1279</v>
      </c>
      <c r="B801" s="380"/>
      <c r="C801" s="380"/>
      <c r="D801" s="381"/>
    </row>
    <row r="802" spans="1:4" x14ac:dyDescent="0.25">
      <c r="A802" s="379" t="s">
        <v>1280</v>
      </c>
      <c r="B802" s="380"/>
      <c r="C802" s="380"/>
      <c r="D802" s="381"/>
    </row>
    <row r="803" spans="1:4" x14ac:dyDescent="0.25">
      <c r="A803" s="373" t="s">
        <v>1331</v>
      </c>
      <c r="B803" s="374"/>
      <c r="C803" s="374"/>
      <c r="D803" s="375"/>
    </row>
    <row r="804" spans="1:4" x14ac:dyDescent="0.25">
      <c r="A804" s="376" t="s">
        <v>114</v>
      </c>
      <c r="B804" s="377"/>
      <c r="C804" s="377"/>
      <c r="D804" s="378"/>
    </row>
    <row r="805" spans="1:4" x14ac:dyDescent="0.25">
      <c r="A805" s="265" t="s">
        <v>1283</v>
      </c>
      <c r="B805" s="265" t="s">
        <v>1284</v>
      </c>
      <c r="C805" s="265">
        <v>2024</v>
      </c>
      <c r="D805" s="265" t="s">
        <v>1266</v>
      </c>
    </row>
    <row r="806" spans="1:4" x14ac:dyDescent="0.25">
      <c r="A806" s="266"/>
      <c r="B806" s="266"/>
      <c r="C806" s="266"/>
      <c r="D806" s="266"/>
    </row>
    <row r="807" spans="1:4" x14ac:dyDescent="0.25">
      <c r="A807" s="266" t="s">
        <v>1285</v>
      </c>
      <c r="B807" s="267">
        <v>1283.3900000000001</v>
      </c>
      <c r="C807" s="268">
        <f>+'Rate Computation'!D54</f>
        <v>1283.3900000000001</v>
      </c>
      <c r="D807" s="268">
        <f>+C807-B807</f>
        <v>0</v>
      </c>
    </row>
    <row r="808" spans="1:4" x14ac:dyDescent="0.25">
      <c r="A808" s="266"/>
      <c r="B808" s="266"/>
      <c r="C808" s="269"/>
      <c r="D808" s="269"/>
    </row>
    <row r="809" spans="1:4" x14ac:dyDescent="0.25">
      <c r="A809" s="266" t="s">
        <v>1286</v>
      </c>
      <c r="B809" s="265" t="s">
        <v>652</v>
      </c>
      <c r="C809" s="265" t="str">
        <f>+Parameter!H47</f>
        <v>SQ</v>
      </c>
      <c r="D809" s="269"/>
    </row>
    <row r="810" spans="1:4" x14ac:dyDescent="0.25">
      <c r="A810" s="266" t="s">
        <v>79</v>
      </c>
      <c r="B810" s="265">
        <v>24</v>
      </c>
      <c r="C810" s="265">
        <f>+Parameter!G47</f>
        <v>24</v>
      </c>
      <c r="D810" s="270">
        <f>+C810-B810</f>
        <v>0</v>
      </c>
    </row>
    <row r="811" spans="1:4" x14ac:dyDescent="0.25">
      <c r="A811" s="266"/>
      <c r="B811" s="265"/>
      <c r="C811" s="269"/>
      <c r="D811" s="269"/>
    </row>
    <row r="812" spans="1:4" x14ac:dyDescent="0.25">
      <c r="A812" s="266" t="s">
        <v>1287</v>
      </c>
      <c r="B812" s="271">
        <v>294.11020833333333</v>
      </c>
      <c r="C812" s="271">
        <f>+'Theoretical Reserve'!H909</f>
        <v>614.95770833333336</v>
      </c>
      <c r="D812" s="272">
        <f t="shared" ref="D812:D814" si="106">+C812-B812</f>
        <v>320.84750000000003</v>
      </c>
    </row>
    <row r="813" spans="1:4" x14ac:dyDescent="0.25">
      <c r="A813" s="266" t="s">
        <v>1288</v>
      </c>
      <c r="B813" s="271">
        <v>430.21</v>
      </c>
      <c r="C813" s="271">
        <f>+'Rate Computation'!E54</f>
        <v>591.86238000006779</v>
      </c>
      <c r="D813" s="272">
        <f t="shared" si="106"/>
        <v>161.65238000006781</v>
      </c>
    </row>
    <row r="814" spans="1:4" x14ac:dyDescent="0.25">
      <c r="A814" s="266" t="s">
        <v>1289</v>
      </c>
      <c r="B814" s="271">
        <f>+B813-B812</f>
        <v>136.09979166666665</v>
      </c>
      <c r="C814" s="271">
        <f>+C813-C812</f>
        <v>-23.09532833326557</v>
      </c>
      <c r="D814" s="272">
        <f t="shared" si="106"/>
        <v>-159.19511999993222</v>
      </c>
    </row>
    <row r="815" spans="1:4" x14ac:dyDescent="0.25">
      <c r="A815" s="266"/>
      <c r="B815" s="266"/>
      <c r="C815" s="266"/>
      <c r="D815" s="269"/>
    </row>
    <row r="816" spans="1:4" x14ac:dyDescent="0.25">
      <c r="A816" s="266" t="s">
        <v>50</v>
      </c>
      <c r="B816" s="274">
        <f>+B813/B807</f>
        <v>0.33521376978159401</v>
      </c>
      <c r="C816" s="274">
        <f>+C813/C807</f>
        <v>0.46117110153582913</v>
      </c>
      <c r="D816" s="269"/>
    </row>
    <row r="817" spans="1:4" x14ac:dyDescent="0.25">
      <c r="A817" s="266"/>
      <c r="B817" s="266"/>
      <c r="C817" s="266"/>
      <c r="D817" s="269"/>
    </row>
    <row r="818" spans="1:4" x14ac:dyDescent="0.25">
      <c r="A818" s="266" t="s">
        <v>1290</v>
      </c>
      <c r="B818" s="275">
        <v>0</v>
      </c>
      <c r="C818" s="275">
        <v>0</v>
      </c>
      <c r="D818" s="276">
        <f t="shared" ref="D818:D820" si="107">+C818-B818</f>
        <v>0</v>
      </c>
    </row>
    <row r="819" spans="1:4" x14ac:dyDescent="0.25">
      <c r="A819" s="266" t="s">
        <v>1291</v>
      </c>
      <c r="B819" s="275">
        <v>0</v>
      </c>
      <c r="C819" s="275">
        <f>+Parameter!I47/100</f>
        <v>0</v>
      </c>
      <c r="D819" s="276">
        <f t="shared" si="107"/>
        <v>0</v>
      </c>
    </row>
    <row r="820" spans="1:4" x14ac:dyDescent="0.25">
      <c r="A820" s="266" t="s">
        <v>1292</v>
      </c>
      <c r="B820" s="275">
        <f>+B818-B819</f>
        <v>0</v>
      </c>
      <c r="C820" s="275">
        <f>+C818-C819</f>
        <v>0</v>
      </c>
      <c r="D820" s="276">
        <f t="shared" si="107"/>
        <v>0</v>
      </c>
    </row>
    <row r="821" spans="1:4" x14ac:dyDescent="0.25">
      <c r="A821" s="266"/>
      <c r="B821" s="266"/>
      <c r="C821" s="266"/>
      <c r="D821" s="269"/>
    </row>
    <row r="822" spans="1:4" x14ac:dyDescent="0.25">
      <c r="A822" s="266" t="s">
        <v>1293</v>
      </c>
      <c r="B822" s="274">
        <v>4.2000000000000003E-2</v>
      </c>
      <c r="C822" s="356">
        <f>+'Proposed Accruals'!L57/100</f>
        <v>4.1666666666666657E-2</v>
      </c>
      <c r="D822" s="273">
        <f>+C822-B822</f>
        <v>-3.3333333333334519E-4</v>
      </c>
    </row>
    <row r="823" spans="1:4" x14ac:dyDescent="0.25">
      <c r="A823" s="266" t="s">
        <v>1294</v>
      </c>
      <c r="B823" s="267">
        <f>+B822*B807</f>
        <v>53.902380000000008</v>
      </c>
      <c r="C823" s="267">
        <f>+C822*C807</f>
        <v>53.474583333333328</v>
      </c>
      <c r="D823" s="272">
        <f t="shared" ref="D823" si="108">+C823-B823</f>
        <v>-0.42779666666667993</v>
      </c>
    </row>
    <row r="824" spans="1:4" x14ac:dyDescent="0.25">
      <c r="A824" s="266"/>
      <c r="B824" s="266"/>
      <c r="C824" s="266"/>
      <c r="D824" s="269"/>
    </row>
    <row r="825" spans="1:4" x14ac:dyDescent="0.25">
      <c r="A825" s="266" t="s">
        <v>48</v>
      </c>
      <c r="B825" s="278">
        <v>18.5</v>
      </c>
      <c r="C825" s="278">
        <f>+'Rate Computation'!M54</f>
        <v>12.5</v>
      </c>
      <c r="D825" s="277">
        <f t="shared" ref="D825:D827" si="109">+C825-B825</f>
        <v>-6</v>
      </c>
    </row>
    <row r="826" spans="1:4" x14ac:dyDescent="0.25">
      <c r="A826" s="266" t="s">
        <v>1295</v>
      </c>
      <c r="B826" s="274">
        <v>4.2000000000000003E-2</v>
      </c>
      <c r="C826" s="274">
        <f>+'Rate Computation'!Q54</f>
        <v>4.2999999999999997E-2</v>
      </c>
      <c r="D826" s="273">
        <f t="shared" si="109"/>
        <v>9.9999999999999395E-4</v>
      </c>
    </row>
    <row r="827" spans="1:4" x14ac:dyDescent="0.25">
      <c r="A827" s="266" t="s">
        <v>1296</v>
      </c>
      <c r="B827" s="267">
        <f>+B807*B826</f>
        <v>53.902380000000008</v>
      </c>
      <c r="C827" s="267">
        <f>+C807*C826</f>
        <v>55.185769999999998</v>
      </c>
      <c r="D827" s="272">
        <f t="shared" si="109"/>
        <v>1.28338999999999</v>
      </c>
    </row>
    <row r="831" spans="1:4" x14ac:dyDescent="0.25">
      <c r="A831" s="379" t="s">
        <v>1279</v>
      </c>
      <c r="B831" s="380"/>
      <c r="C831" s="380"/>
      <c r="D831" s="381"/>
    </row>
    <row r="832" spans="1:4" x14ac:dyDescent="0.25">
      <c r="A832" s="379" t="s">
        <v>1280</v>
      </c>
      <c r="B832" s="380"/>
      <c r="C832" s="380"/>
      <c r="D832" s="381"/>
    </row>
    <row r="833" spans="1:4" x14ac:dyDescent="0.25">
      <c r="A833" s="373" t="s">
        <v>1332</v>
      </c>
      <c r="B833" s="374"/>
      <c r="C833" s="374"/>
      <c r="D833" s="375"/>
    </row>
    <row r="834" spans="1:4" x14ac:dyDescent="0.25">
      <c r="A834" s="376" t="s">
        <v>1333</v>
      </c>
      <c r="B834" s="377"/>
      <c r="C834" s="377"/>
      <c r="D834" s="378"/>
    </row>
    <row r="835" spans="1:4" x14ac:dyDescent="0.25">
      <c r="A835" s="265" t="s">
        <v>1283</v>
      </c>
      <c r="B835" s="265" t="s">
        <v>1284</v>
      </c>
      <c r="C835" s="265">
        <v>2024</v>
      </c>
      <c r="D835" s="265" t="s">
        <v>1266</v>
      </c>
    </row>
    <row r="836" spans="1:4" x14ac:dyDescent="0.25">
      <c r="A836" s="266"/>
      <c r="B836" s="266"/>
      <c r="C836" s="266"/>
      <c r="D836" s="266"/>
    </row>
    <row r="837" spans="1:4" x14ac:dyDescent="0.25">
      <c r="A837" s="266" t="s">
        <v>1285</v>
      </c>
      <c r="B837" s="267">
        <v>7462061.7800000012</v>
      </c>
      <c r="C837" s="268">
        <f>+'Rate Computation'!D55</f>
        <v>8587697.3599999994</v>
      </c>
      <c r="D837" s="268">
        <f>+C837-B837</f>
        <v>1125635.5799999982</v>
      </c>
    </row>
    <row r="838" spans="1:4" x14ac:dyDescent="0.25">
      <c r="A838" s="266"/>
      <c r="B838" s="266"/>
      <c r="C838" s="269"/>
      <c r="D838" s="269"/>
    </row>
    <row r="839" spans="1:4" x14ac:dyDescent="0.25">
      <c r="A839" s="266" t="s">
        <v>1286</v>
      </c>
      <c r="B839" s="265" t="s">
        <v>652</v>
      </c>
      <c r="C839" s="265" t="str">
        <f>+Parameter!H48</f>
        <v>SQ</v>
      </c>
      <c r="D839" s="269"/>
    </row>
    <row r="840" spans="1:4" x14ac:dyDescent="0.25">
      <c r="A840" s="266" t="s">
        <v>79</v>
      </c>
      <c r="B840" s="265">
        <f>Parameter!$C$48</f>
        <v>18</v>
      </c>
      <c r="C840" s="265">
        <f>+Parameter!G48</f>
        <v>18</v>
      </c>
      <c r="D840" s="270">
        <f>+C840-B840</f>
        <v>0</v>
      </c>
    </row>
    <row r="841" spans="1:4" x14ac:dyDescent="0.25">
      <c r="A841" s="266"/>
      <c r="B841" s="265"/>
      <c r="C841" s="269"/>
      <c r="D841" s="269"/>
    </row>
    <row r="842" spans="1:4" x14ac:dyDescent="0.25">
      <c r="A842" s="266" t="s">
        <v>1287</v>
      </c>
      <c r="B842" s="271">
        <v>2784209.8372222227</v>
      </c>
      <c r="C842" s="271">
        <f>+'Theoretical Reserve'!H931</f>
        <v>3741179.8491666662</v>
      </c>
      <c r="D842" s="272">
        <f t="shared" ref="D842:D844" si="110">+C842-B842</f>
        <v>956970.01194444345</v>
      </c>
    </row>
    <row r="843" spans="1:4" x14ac:dyDescent="0.25">
      <c r="A843" s="266" t="s">
        <v>1288</v>
      </c>
      <c r="B843" s="271">
        <v>3426293.7</v>
      </c>
      <c r="C843" s="271">
        <f>+'Rate Computation'!E55</f>
        <v>4420844.3778393846</v>
      </c>
      <c r="D843" s="272">
        <f t="shared" si="110"/>
        <v>994550.67783938441</v>
      </c>
    </row>
    <row r="844" spans="1:4" x14ac:dyDescent="0.25">
      <c r="A844" s="266" t="s">
        <v>1289</v>
      </c>
      <c r="B844" s="271">
        <f>+B843-B842</f>
        <v>642083.86277777748</v>
      </c>
      <c r="C844" s="271">
        <f>+C843-C842</f>
        <v>679664.52867271844</v>
      </c>
      <c r="D844" s="272">
        <f t="shared" si="110"/>
        <v>37580.665894940961</v>
      </c>
    </row>
    <row r="845" spans="1:4" x14ac:dyDescent="0.25">
      <c r="A845" s="266"/>
      <c r="B845" s="266"/>
      <c r="C845" s="266"/>
      <c r="D845" s="269"/>
    </row>
    <row r="846" spans="1:4" x14ac:dyDescent="0.25">
      <c r="A846" s="266" t="s">
        <v>50</v>
      </c>
      <c r="B846" s="274">
        <f>+B843/B837</f>
        <v>0.45916179750524655</v>
      </c>
      <c r="C846" s="274">
        <f>+C843/C837</f>
        <v>0.51478809656601421</v>
      </c>
      <c r="D846" s="269"/>
    </row>
    <row r="847" spans="1:4" x14ac:dyDescent="0.25">
      <c r="A847" s="266"/>
      <c r="B847" s="266"/>
      <c r="C847" s="266"/>
      <c r="D847" s="269"/>
    </row>
    <row r="848" spans="1:4" x14ac:dyDescent="0.25">
      <c r="A848" s="266" t="s">
        <v>1290</v>
      </c>
      <c r="B848" s="275">
        <v>0</v>
      </c>
      <c r="C848" s="275">
        <v>0</v>
      </c>
      <c r="D848" s="276">
        <f t="shared" ref="D848:D850" si="111">+C848-B848</f>
        <v>0</v>
      </c>
    </row>
    <row r="849" spans="1:4" x14ac:dyDescent="0.25">
      <c r="A849" s="266" t="s">
        <v>1291</v>
      </c>
      <c r="B849" s="275">
        <v>0</v>
      </c>
      <c r="C849" s="275">
        <f>+Parameter!I48/100</f>
        <v>0</v>
      </c>
      <c r="D849" s="276">
        <f t="shared" si="111"/>
        <v>0</v>
      </c>
    </row>
    <row r="850" spans="1:4" x14ac:dyDescent="0.25">
      <c r="A850" s="266" t="s">
        <v>1292</v>
      </c>
      <c r="B850" s="275">
        <f>+B848-B849</f>
        <v>0</v>
      </c>
      <c r="C850" s="275">
        <f>+C848-C849</f>
        <v>0</v>
      </c>
      <c r="D850" s="276">
        <f t="shared" si="111"/>
        <v>0</v>
      </c>
    </row>
    <row r="851" spans="1:4" x14ac:dyDescent="0.25">
      <c r="A851" s="266"/>
      <c r="B851" s="266"/>
      <c r="C851" s="266"/>
      <c r="D851" s="269"/>
    </row>
    <row r="852" spans="1:4" x14ac:dyDescent="0.25">
      <c r="A852" s="266" t="s">
        <v>1293</v>
      </c>
      <c r="B852" s="274">
        <f>+'Proposed Rates'!J62</f>
        <v>5.6000000000000001E-2</v>
      </c>
      <c r="C852" s="274">
        <f>+B852</f>
        <v>5.6000000000000001E-2</v>
      </c>
      <c r="D852" s="273">
        <f>+C852-B852</f>
        <v>0</v>
      </c>
    </row>
    <row r="853" spans="1:4" x14ac:dyDescent="0.25">
      <c r="A853" s="266" t="s">
        <v>1294</v>
      </c>
      <c r="B853" s="267">
        <f>+B837*B852</f>
        <v>417875.45968000009</v>
      </c>
      <c r="C853" s="267">
        <f>+C837*C852</f>
        <v>480911.05215999996</v>
      </c>
      <c r="D853" s="272">
        <f t="shared" ref="D853" si="112">+C853-B853</f>
        <v>63035.592479999876</v>
      </c>
    </row>
    <row r="854" spans="1:4" x14ac:dyDescent="0.25">
      <c r="A854" s="266"/>
      <c r="B854" s="266"/>
      <c r="C854" s="266"/>
      <c r="D854" s="269"/>
    </row>
    <row r="855" spans="1:4" x14ac:dyDescent="0.25">
      <c r="A855" s="266" t="s">
        <v>48</v>
      </c>
      <c r="B855" s="278">
        <v>11.43</v>
      </c>
      <c r="C855" s="278">
        <f>+'Rate Computation'!M55</f>
        <v>10.158405861079391</v>
      </c>
      <c r="D855" s="277">
        <f t="shared" ref="D855:D857" si="113">+C855-B855</f>
        <v>-1.2715941389206087</v>
      </c>
    </row>
    <row r="856" spans="1:4" x14ac:dyDescent="0.25">
      <c r="A856" s="266" t="s">
        <v>1295</v>
      </c>
      <c r="B856" s="274">
        <v>0.05</v>
      </c>
      <c r="C856" s="274">
        <f>+'Rate Computation'!Q55</f>
        <v>4.8000000000000001E-2</v>
      </c>
      <c r="D856" s="273">
        <f t="shared" si="113"/>
        <v>-2.0000000000000018E-3</v>
      </c>
    </row>
    <row r="857" spans="1:4" x14ac:dyDescent="0.25">
      <c r="A857" s="266" t="s">
        <v>1296</v>
      </c>
      <c r="B857" s="267">
        <f>+B837*B856</f>
        <v>373103.08900000009</v>
      </c>
      <c r="C857" s="267">
        <f>+C837*C856</f>
        <v>412209.47327999998</v>
      </c>
      <c r="D857" s="272">
        <f t="shared" si="113"/>
        <v>39106.384279999882</v>
      </c>
    </row>
    <row r="861" spans="1:4" x14ac:dyDescent="0.25">
      <c r="A861" s="379" t="s">
        <v>1279</v>
      </c>
      <c r="B861" s="380"/>
      <c r="C861" s="380"/>
      <c r="D861" s="381"/>
    </row>
    <row r="862" spans="1:4" x14ac:dyDescent="0.25">
      <c r="A862" s="379" t="s">
        <v>1280</v>
      </c>
      <c r="B862" s="380"/>
      <c r="C862" s="380"/>
      <c r="D862" s="381"/>
    </row>
    <row r="863" spans="1:4" x14ac:dyDescent="0.25">
      <c r="A863" s="373" t="s">
        <v>1334</v>
      </c>
      <c r="B863" s="374"/>
      <c r="C863" s="374"/>
      <c r="D863" s="375"/>
    </row>
    <row r="864" spans="1:4" x14ac:dyDescent="0.25">
      <c r="A864" s="376" t="s">
        <v>680</v>
      </c>
      <c r="B864" s="377"/>
      <c r="C864" s="377"/>
      <c r="D864" s="378"/>
    </row>
    <row r="865" spans="1:4" x14ac:dyDescent="0.25">
      <c r="A865" s="265" t="s">
        <v>1283</v>
      </c>
      <c r="B865" s="265" t="s">
        <v>1284</v>
      </c>
      <c r="C865" s="265">
        <v>2024</v>
      </c>
      <c r="D865" s="265" t="s">
        <v>1266</v>
      </c>
    </row>
    <row r="866" spans="1:4" x14ac:dyDescent="0.25">
      <c r="A866" s="266"/>
      <c r="B866" s="266"/>
      <c r="C866" s="266"/>
      <c r="D866" s="266"/>
    </row>
    <row r="867" spans="1:4" x14ac:dyDescent="0.25">
      <c r="A867" s="266" t="s">
        <v>1285</v>
      </c>
      <c r="B867" s="267">
        <v>16158263.430000003</v>
      </c>
      <c r="C867" s="268">
        <f>+'Rate Computation'!D56</f>
        <v>3241792.7900000005</v>
      </c>
      <c r="D867" s="272">
        <f>+C867-B867</f>
        <v>-12916470.640000002</v>
      </c>
    </row>
    <row r="868" spans="1:4" x14ac:dyDescent="0.25">
      <c r="A868" s="266"/>
      <c r="B868" s="266"/>
      <c r="C868" s="269"/>
      <c r="D868" s="269"/>
    </row>
    <row r="869" spans="1:4" x14ac:dyDescent="0.25">
      <c r="A869" s="266" t="s">
        <v>1286</v>
      </c>
      <c r="B869" s="265" t="s">
        <v>652</v>
      </c>
      <c r="C869" s="265" t="str">
        <f>+Parameter!H48</f>
        <v>SQ</v>
      </c>
      <c r="D869" s="269"/>
    </row>
    <row r="870" spans="1:4" x14ac:dyDescent="0.25">
      <c r="A870" s="266" t="s">
        <v>79</v>
      </c>
      <c r="B870" s="265">
        <v>20</v>
      </c>
      <c r="C870" s="265">
        <f>+Parameter!G49</f>
        <v>20</v>
      </c>
      <c r="D870" s="270">
        <f>+C870-B870</f>
        <v>0</v>
      </c>
    </row>
    <row r="871" spans="1:4" x14ac:dyDescent="0.25">
      <c r="A871" s="266"/>
      <c r="B871" s="265"/>
      <c r="C871" s="269"/>
      <c r="D871" s="269"/>
    </row>
    <row r="872" spans="1:4" x14ac:dyDescent="0.25">
      <c r="A872" s="266" t="s">
        <v>1287</v>
      </c>
      <c r="B872" s="271">
        <v>2876597.6787499995</v>
      </c>
      <c r="C872" s="271">
        <f>+'Theoretical Reserve'!H940</f>
        <v>821158.67475000001</v>
      </c>
      <c r="D872" s="272">
        <f t="shared" ref="D872:D874" si="114">+C872-B872</f>
        <v>-2055439.0039999995</v>
      </c>
    </row>
    <row r="873" spans="1:4" x14ac:dyDescent="0.25">
      <c r="A873" s="266" t="s">
        <v>1288</v>
      </c>
      <c r="B873" s="271">
        <v>2742085.18</v>
      </c>
      <c r="C873" s="271">
        <f>+'Rate Computation'!E56</f>
        <v>795268.96250000119</v>
      </c>
      <c r="D873" s="272">
        <f t="shared" si="114"/>
        <v>-1946816.2174999989</v>
      </c>
    </row>
    <row r="874" spans="1:4" x14ac:dyDescent="0.25">
      <c r="A874" s="266" t="s">
        <v>1289</v>
      </c>
      <c r="B874" s="271">
        <f>+B873-B872</f>
        <v>-134512.49874999933</v>
      </c>
      <c r="C874" s="271">
        <f>+C873-C872</f>
        <v>-25889.712249998818</v>
      </c>
      <c r="D874" s="272">
        <f t="shared" si="114"/>
        <v>108622.78650000051</v>
      </c>
    </row>
    <row r="875" spans="1:4" x14ac:dyDescent="0.25">
      <c r="A875" s="266"/>
      <c r="B875" s="266"/>
      <c r="C875" s="266"/>
      <c r="D875" s="269"/>
    </row>
    <row r="876" spans="1:4" x14ac:dyDescent="0.25">
      <c r="A876" s="266" t="s">
        <v>50</v>
      </c>
      <c r="B876" s="274">
        <f>+B873/B867</f>
        <v>0.1697017251809961</v>
      </c>
      <c r="C876" s="274">
        <f>+C873/C867</f>
        <v>0.24531764181633617</v>
      </c>
      <c r="D876" s="269"/>
    </row>
    <row r="877" spans="1:4" x14ac:dyDescent="0.25">
      <c r="A877" s="266"/>
      <c r="B877" s="266"/>
      <c r="C877" s="266"/>
      <c r="D877" s="269"/>
    </row>
    <row r="878" spans="1:4" x14ac:dyDescent="0.25">
      <c r="A878" s="266" t="s">
        <v>1290</v>
      </c>
      <c r="B878" s="275">
        <v>0</v>
      </c>
      <c r="C878" s="275">
        <v>0</v>
      </c>
      <c r="D878" s="276">
        <f t="shared" ref="D878:D880" si="115">+C878-B878</f>
        <v>0</v>
      </c>
    </row>
    <row r="879" spans="1:4" x14ac:dyDescent="0.25">
      <c r="A879" s="266" t="s">
        <v>1291</v>
      </c>
      <c r="B879" s="275">
        <v>0</v>
      </c>
      <c r="C879" s="275">
        <f>+Parameter!I49/100</f>
        <v>0</v>
      </c>
      <c r="D879" s="276">
        <f t="shared" si="115"/>
        <v>0</v>
      </c>
    </row>
    <row r="880" spans="1:4" x14ac:dyDescent="0.25">
      <c r="A880" s="266" t="s">
        <v>1292</v>
      </c>
      <c r="B880" s="275">
        <f>+B878-B879</f>
        <v>0</v>
      </c>
      <c r="C880" s="275">
        <f>+C878-C879</f>
        <v>0</v>
      </c>
      <c r="D880" s="276">
        <f t="shared" si="115"/>
        <v>0</v>
      </c>
    </row>
    <row r="881" spans="1:4" x14ac:dyDescent="0.25">
      <c r="A881" s="266"/>
      <c r="B881" s="266"/>
      <c r="C881" s="266"/>
      <c r="D881" s="269"/>
    </row>
    <row r="882" spans="1:4" x14ac:dyDescent="0.25">
      <c r="A882" s="266" t="s">
        <v>1293</v>
      </c>
      <c r="B882" s="274">
        <v>0.05</v>
      </c>
      <c r="C882" s="274">
        <f>+'Proposed Accruals'!L59/100</f>
        <v>0.05</v>
      </c>
      <c r="D882" s="273">
        <f>+C882-B882</f>
        <v>0</v>
      </c>
    </row>
    <row r="883" spans="1:4" x14ac:dyDescent="0.25">
      <c r="A883" s="266" t="s">
        <v>1294</v>
      </c>
      <c r="B883" s="267">
        <f>+B867*B882</f>
        <v>807913.17150000017</v>
      </c>
      <c r="C883" s="267">
        <f>+C867*C882</f>
        <v>162089.63950000005</v>
      </c>
      <c r="D883" s="272">
        <f>+C883-B883</f>
        <v>-645823.53200000012</v>
      </c>
    </row>
    <row r="884" spans="1:4" x14ac:dyDescent="0.25">
      <c r="A884" s="266"/>
      <c r="B884" s="266"/>
      <c r="C884" s="266"/>
      <c r="D884" s="269"/>
    </row>
    <row r="885" spans="1:4" x14ac:dyDescent="0.25">
      <c r="A885" s="266" t="s">
        <v>48</v>
      </c>
      <c r="B885" s="278">
        <v>16.439471740002446</v>
      </c>
      <c r="C885" s="278">
        <f>+'Rate Computation'!M56</f>
        <v>14.933922505577536</v>
      </c>
      <c r="D885" s="277">
        <f t="shared" ref="D885:D887" si="116">+C885-B885</f>
        <v>-1.50554923442491</v>
      </c>
    </row>
    <row r="886" spans="1:4" x14ac:dyDescent="0.25">
      <c r="A886" s="266" t="s">
        <v>1295</v>
      </c>
      <c r="B886" s="274">
        <v>0.05</v>
      </c>
      <c r="C886" s="274">
        <f>+'Rate Computation'!Q56</f>
        <v>5.0999999999999997E-2</v>
      </c>
      <c r="D886" s="273">
        <f t="shared" si="116"/>
        <v>9.9999999999999395E-4</v>
      </c>
    </row>
    <row r="887" spans="1:4" x14ac:dyDescent="0.25">
      <c r="A887" s="266" t="s">
        <v>1296</v>
      </c>
      <c r="B887" s="267">
        <f>+B867*B886</f>
        <v>807913.17150000017</v>
      </c>
      <c r="C887" s="267">
        <f>+C867*C886</f>
        <v>165331.43229000003</v>
      </c>
      <c r="D887" s="272">
        <f t="shared" si="116"/>
        <v>-642581.73921000015</v>
      </c>
    </row>
    <row r="892" spans="1:4" x14ac:dyDescent="0.25">
      <c r="A892" s="379" t="s">
        <v>1279</v>
      </c>
      <c r="B892" s="380"/>
      <c r="C892" s="380"/>
      <c r="D892" s="381"/>
    </row>
    <row r="893" spans="1:4" x14ac:dyDescent="0.25">
      <c r="A893" s="379" t="s">
        <v>1280</v>
      </c>
      <c r="B893" s="380"/>
      <c r="C893" s="380"/>
      <c r="D893" s="381"/>
    </row>
    <row r="894" spans="1:4" x14ac:dyDescent="0.25">
      <c r="A894" s="373" t="s">
        <v>1335</v>
      </c>
      <c r="B894" s="374"/>
      <c r="C894" s="374"/>
      <c r="D894" s="375"/>
    </row>
    <row r="895" spans="1:4" x14ac:dyDescent="0.25">
      <c r="A895" s="376" t="s">
        <v>29</v>
      </c>
      <c r="B895" s="377"/>
      <c r="C895" s="377"/>
      <c r="D895" s="378"/>
    </row>
    <row r="896" spans="1:4" x14ac:dyDescent="0.25">
      <c r="A896" s="265" t="s">
        <v>1283</v>
      </c>
      <c r="B896" s="265" t="s">
        <v>1284</v>
      </c>
      <c r="C896" s="265">
        <v>2024</v>
      </c>
      <c r="D896" s="265" t="s">
        <v>1266</v>
      </c>
    </row>
    <row r="897" spans="1:4" x14ac:dyDescent="0.25">
      <c r="A897" s="266"/>
      <c r="B897" s="266"/>
      <c r="C897" s="266"/>
      <c r="D897" s="266"/>
    </row>
    <row r="898" spans="1:4" x14ac:dyDescent="0.25">
      <c r="A898" s="266" t="s">
        <v>1285</v>
      </c>
      <c r="B898" s="267">
        <v>0</v>
      </c>
      <c r="C898" s="268">
        <v>0</v>
      </c>
      <c r="D898" s="268">
        <f>+C898-B898</f>
        <v>0</v>
      </c>
    </row>
    <row r="899" spans="1:4" x14ac:dyDescent="0.25">
      <c r="A899" s="266"/>
      <c r="B899" s="266"/>
      <c r="C899" s="269"/>
      <c r="D899" s="269"/>
    </row>
    <row r="900" spans="1:4" x14ac:dyDescent="0.25">
      <c r="A900" s="266" t="s">
        <v>1286</v>
      </c>
      <c r="B900" s="265" t="s">
        <v>652</v>
      </c>
      <c r="C900" s="265" t="str">
        <f>+Parameter!H50</f>
        <v>SQ</v>
      </c>
      <c r="D900" s="269"/>
    </row>
    <row r="901" spans="1:4" x14ac:dyDescent="0.25">
      <c r="A901" s="266" t="s">
        <v>79</v>
      </c>
      <c r="B901" s="265">
        <v>20</v>
      </c>
      <c r="C901" s="265">
        <f>+Parameter!G50</f>
        <v>20</v>
      </c>
      <c r="D901" s="270">
        <f>+C901-B901</f>
        <v>0</v>
      </c>
    </row>
    <row r="902" spans="1:4" x14ac:dyDescent="0.25">
      <c r="A902" s="266"/>
      <c r="B902" s="265"/>
      <c r="C902" s="269"/>
      <c r="D902" s="269"/>
    </row>
    <row r="903" spans="1:4" x14ac:dyDescent="0.25">
      <c r="A903" s="266" t="s">
        <v>1287</v>
      </c>
      <c r="B903" s="271">
        <v>0</v>
      </c>
      <c r="C903" s="271">
        <v>0</v>
      </c>
      <c r="D903" s="272">
        <f t="shared" ref="D903:D905" si="117">+C903-B903</f>
        <v>0</v>
      </c>
    </row>
    <row r="904" spans="1:4" x14ac:dyDescent="0.25">
      <c r="A904" s="266" t="s">
        <v>1288</v>
      </c>
      <c r="B904" s="271">
        <v>0</v>
      </c>
      <c r="C904" s="271">
        <v>0</v>
      </c>
      <c r="D904" s="272">
        <f t="shared" si="117"/>
        <v>0</v>
      </c>
    </row>
    <row r="905" spans="1:4" x14ac:dyDescent="0.25">
      <c r="A905" s="266" t="s">
        <v>1289</v>
      </c>
      <c r="B905" s="271">
        <f>+B904-B903</f>
        <v>0</v>
      </c>
      <c r="C905" s="271">
        <f>+C904-C903</f>
        <v>0</v>
      </c>
      <c r="D905" s="272">
        <f t="shared" si="117"/>
        <v>0</v>
      </c>
    </row>
    <row r="906" spans="1:4" x14ac:dyDescent="0.25">
      <c r="A906" s="266"/>
      <c r="B906" s="266"/>
      <c r="C906" s="266"/>
      <c r="D906" s="269"/>
    </row>
    <row r="907" spans="1:4" x14ac:dyDescent="0.25">
      <c r="A907" s="266" t="s">
        <v>50</v>
      </c>
      <c r="B907" s="274">
        <v>0</v>
      </c>
      <c r="C907" s="274">
        <v>0</v>
      </c>
      <c r="D907" s="269"/>
    </row>
    <row r="908" spans="1:4" x14ac:dyDescent="0.25">
      <c r="A908" s="266"/>
      <c r="B908" s="266"/>
      <c r="C908" s="266"/>
      <c r="D908" s="269"/>
    </row>
    <row r="909" spans="1:4" x14ac:dyDescent="0.25">
      <c r="A909" s="266" t="s">
        <v>1290</v>
      </c>
      <c r="B909" s="275">
        <v>0</v>
      </c>
      <c r="C909" s="275">
        <v>0</v>
      </c>
      <c r="D909" s="276">
        <f t="shared" ref="D909:D911" si="118">+C909-B909</f>
        <v>0</v>
      </c>
    </row>
    <row r="910" spans="1:4" x14ac:dyDescent="0.25">
      <c r="A910" s="266" t="s">
        <v>1291</v>
      </c>
      <c r="B910" s="275">
        <v>0</v>
      </c>
      <c r="C910" s="275">
        <f>+Parameter!I50/100</f>
        <v>0</v>
      </c>
      <c r="D910" s="276">
        <f t="shared" si="118"/>
        <v>0</v>
      </c>
    </row>
    <row r="911" spans="1:4" x14ac:dyDescent="0.25">
      <c r="A911" s="266" t="s">
        <v>1292</v>
      </c>
      <c r="B911" s="275">
        <f>+B909-B910</f>
        <v>0</v>
      </c>
      <c r="C911" s="275">
        <f>+C909-C910</f>
        <v>0</v>
      </c>
      <c r="D911" s="276">
        <f t="shared" si="118"/>
        <v>0</v>
      </c>
    </row>
    <row r="912" spans="1:4" x14ac:dyDescent="0.25">
      <c r="A912" s="266"/>
      <c r="B912" s="266"/>
      <c r="C912" s="266"/>
      <c r="D912" s="269"/>
    </row>
    <row r="913" spans="1:4" x14ac:dyDescent="0.25">
      <c r="A913" s="266" t="s">
        <v>1293</v>
      </c>
      <c r="B913" s="274">
        <v>0.05</v>
      </c>
      <c r="C913" s="274">
        <f>+'Proposed Accruals'!L60/100</f>
        <v>0.05</v>
      </c>
      <c r="D913" s="273">
        <f>+C913-B913</f>
        <v>0</v>
      </c>
    </row>
    <row r="914" spans="1:4" x14ac:dyDescent="0.25">
      <c r="A914" s="266" t="s">
        <v>1294</v>
      </c>
      <c r="B914" s="267">
        <v>0</v>
      </c>
      <c r="C914" s="267">
        <v>0</v>
      </c>
      <c r="D914" s="272">
        <f t="shared" ref="D914" si="119">+C914-B914</f>
        <v>0</v>
      </c>
    </row>
    <row r="915" spans="1:4" x14ac:dyDescent="0.25">
      <c r="A915" s="266"/>
      <c r="B915" s="266"/>
      <c r="C915" s="266"/>
      <c r="D915" s="269"/>
    </row>
    <row r="916" spans="1:4" x14ac:dyDescent="0.25">
      <c r="A916" s="266" t="s">
        <v>48</v>
      </c>
      <c r="B916" s="278">
        <v>20</v>
      </c>
      <c r="C916" s="278">
        <v>20</v>
      </c>
      <c r="D916" s="277">
        <f t="shared" ref="D916:D918" si="120">+C916-B916</f>
        <v>0</v>
      </c>
    </row>
    <row r="917" spans="1:4" x14ac:dyDescent="0.25">
      <c r="A917" s="266" t="s">
        <v>1295</v>
      </c>
      <c r="B917" s="274">
        <v>0.05</v>
      </c>
      <c r="C917" s="274">
        <f>+'Proposed Accruals'!P60</f>
        <v>0.05</v>
      </c>
      <c r="D917" s="273">
        <f t="shared" si="120"/>
        <v>0</v>
      </c>
    </row>
    <row r="918" spans="1:4" x14ac:dyDescent="0.25">
      <c r="A918" s="266" t="s">
        <v>1296</v>
      </c>
      <c r="B918" s="267">
        <v>0</v>
      </c>
      <c r="C918" s="267">
        <f>+C898*C917</f>
        <v>0</v>
      </c>
      <c r="D918" s="272">
        <f t="shared" si="120"/>
        <v>0</v>
      </c>
    </row>
    <row r="923" spans="1:4" x14ac:dyDescent="0.25">
      <c r="A923" s="379" t="s">
        <v>1279</v>
      </c>
      <c r="B923" s="380"/>
      <c r="C923" s="380"/>
      <c r="D923" s="381"/>
    </row>
    <row r="924" spans="1:4" x14ac:dyDescent="0.25">
      <c r="A924" s="379" t="s">
        <v>1280</v>
      </c>
      <c r="B924" s="380"/>
      <c r="C924" s="380"/>
      <c r="D924" s="381"/>
    </row>
    <row r="925" spans="1:4" x14ac:dyDescent="0.25">
      <c r="A925" s="373" t="s">
        <v>1336</v>
      </c>
      <c r="B925" s="374"/>
      <c r="C925" s="374"/>
      <c r="D925" s="375"/>
    </row>
    <row r="926" spans="1:4" x14ac:dyDescent="0.25">
      <c r="A926" s="376" t="s">
        <v>32</v>
      </c>
      <c r="B926" s="377"/>
      <c r="C926" s="377"/>
      <c r="D926" s="378"/>
    </row>
    <row r="927" spans="1:4" x14ac:dyDescent="0.25">
      <c r="A927" s="265" t="s">
        <v>1283</v>
      </c>
      <c r="B927" s="265" t="s">
        <v>1284</v>
      </c>
      <c r="C927" s="265">
        <v>2024</v>
      </c>
      <c r="D927" s="265" t="s">
        <v>1266</v>
      </c>
    </row>
    <row r="928" spans="1:4" x14ac:dyDescent="0.25">
      <c r="A928" s="266"/>
      <c r="B928" s="266"/>
      <c r="C928" s="266"/>
      <c r="D928" s="266"/>
    </row>
    <row r="929" spans="1:4" x14ac:dyDescent="0.25">
      <c r="A929" s="266" t="s">
        <v>1285</v>
      </c>
      <c r="B929" s="267">
        <v>3954613.9960000003</v>
      </c>
      <c r="C929" s="268">
        <f>+'Rate Computation'!D58</f>
        <v>3015264.3707999997</v>
      </c>
      <c r="D929" s="272">
        <f>+C929-B929</f>
        <v>-939349.62520000059</v>
      </c>
    </row>
    <row r="930" spans="1:4" x14ac:dyDescent="0.25">
      <c r="A930" s="266"/>
      <c r="B930" s="266"/>
      <c r="C930" s="269"/>
      <c r="D930" s="269"/>
    </row>
    <row r="931" spans="1:4" x14ac:dyDescent="0.25">
      <c r="A931" s="266" t="s">
        <v>1286</v>
      </c>
      <c r="B931" s="265" t="s">
        <v>652</v>
      </c>
      <c r="C931" s="265" t="str">
        <f>+Parameter!H52</f>
        <v>SQ</v>
      </c>
      <c r="D931" s="269"/>
    </row>
    <row r="932" spans="1:4" x14ac:dyDescent="0.25">
      <c r="A932" s="266" t="s">
        <v>79</v>
      </c>
      <c r="B932" s="265">
        <v>13</v>
      </c>
      <c r="C932" s="265">
        <f>+Parameter!G52</f>
        <v>13</v>
      </c>
      <c r="D932" s="270">
        <f>+C932-B932</f>
        <v>0</v>
      </c>
    </row>
    <row r="933" spans="1:4" x14ac:dyDescent="0.25">
      <c r="A933" s="266"/>
      <c r="B933" s="265"/>
      <c r="C933" s="269"/>
      <c r="D933" s="269"/>
    </row>
    <row r="934" spans="1:4" x14ac:dyDescent="0.25">
      <c r="A934" s="266" t="s">
        <v>1287</v>
      </c>
      <c r="B934" s="271">
        <v>2845393.8717692308</v>
      </c>
      <c r="C934" s="271">
        <f>+'Theoretical Reserve'!H986</f>
        <v>2482364.1496461537</v>
      </c>
      <c r="D934" s="272">
        <f t="shared" ref="D934:D936" si="121">+C934-B934</f>
        <v>-363029.72212307714</v>
      </c>
    </row>
    <row r="935" spans="1:4" x14ac:dyDescent="0.25">
      <c r="A935" s="266" t="s">
        <v>1288</v>
      </c>
      <c r="B935" s="271">
        <v>3219658.99</v>
      </c>
      <c r="C935" s="271">
        <f>+'Rate Computation'!E58</f>
        <v>2936319.9008156708</v>
      </c>
      <c r="D935" s="272">
        <f t="shared" si="121"/>
        <v>-283339.08918432938</v>
      </c>
    </row>
    <row r="936" spans="1:4" x14ac:dyDescent="0.25">
      <c r="A936" s="266" t="s">
        <v>1289</v>
      </c>
      <c r="B936" s="271">
        <f>+B935-B934</f>
        <v>374265.11823076941</v>
      </c>
      <c r="C936" s="271">
        <f>+C935-C934</f>
        <v>453955.75116951717</v>
      </c>
      <c r="D936" s="272">
        <f t="shared" si="121"/>
        <v>79690.63293874776</v>
      </c>
    </row>
    <row r="937" spans="1:4" x14ac:dyDescent="0.25">
      <c r="A937" s="266"/>
      <c r="B937" s="266"/>
      <c r="C937" s="266"/>
      <c r="D937" s="269"/>
    </row>
    <row r="938" spans="1:4" x14ac:dyDescent="0.25">
      <c r="A938" s="266" t="s">
        <v>50</v>
      </c>
      <c r="B938" s="274">
        <f>+B935/B929</f>
        <v>0.81415252999574927</v>
      </c>
      <c r="C938" s="274">
        <f>+C935/C929</f>
        <v>0.97381839192979835</v>
      </c>
      <c r="D938" s="269"/>
    </row>
    <row r="939" spans="1:4" x14ac:dyDescent="0.25">
      <c r="A939" s="266"/>
      <c r="B939" s="266"/>
      <c r="C939" s="266"/>
      <c r="D939" s="269"/>
    </row>
    <row r="940" spans="1:4" x14ac:dyDescent="0.25">
      <c r="A940" s="266" t="s">
        <v>1290</v>
      </c>
      <c r="B940" s="275">
        <v>0</v>
      </c>
      <c r="C940" s="275">
        <v>0</v>
      </c>
      <c r="D940" s="276">
        <f t="shared" ref="D940:D942" si="122">+C940-B940</f>
        <v>0</v>
      </c>
    </row>
    <row r="941" spans="1:4" x14ac:dyDescent="0.25">
      <c r="A941" s="266" t="s">
        <v>1291</v>
      </c>
      <c r="B941" s="275">
        <v>0</v>
      </c>
      <c r="C941" s="275">
        <f>+Parameter!I52/100</f>
        <v>0</v>
      </c>
      <c r="D941" s="276">
        <f t="shared" si="122"/>
        <v>0</v>
      </c>
    </row>
    <row r="942" spans="1:4" x14ac:dyDescent="0.25">
      <c r="A942" s="266" t="s">
        <v>1292</v>
      </c>
      <c r="B942" s="275">
        <f>+B940-B941</f>
        <v>0</v>
      </c>
      <c r="C942" s="275">
        <f>+C940-C941</f>
        <v>0</v>
      </c>
      <c r="D942" s="276">
        <f t="shared" si="122"/>
        <v>0</v>
      </c>
    </row>
    <row r="943" spans="1:4" x14ac:dyDescent="0.25">
      <c r="A943" s="266"/>
      <c r="B943" s="266"/>
      <c r="C943" s="266"/>
      <c r="D943" s="269"/>
    </row>
    <row r="944" spans="1:4" x14ac:dyDescent="0.25">
      <c r="A944" s="266" t="s">
        <v>1293</v>
      </c>
      <c r="B944" s="274">
        <v>7.6999999999999999E-2</v>
      </c>
      <c r="C944" s="356">
        <f>+'Proposed Rates'!P66/100</f>
        <v>7.6923076923076927E-2</v>
      </c>
      <c r="D944" s="273">
        <f>+C944-B944</f>
        <v>-7.6923076923071654E-5</v>
      </c>
    </row>
    <row r="945" spans="1:4" x14ac:dyDescent="0.25">
      <c r="A945" s="266" t="s">
        <v>1294</v>
      </c>
      <c r="B945" s="267">
        <f>+B929*B944</f>
        <v>304505.27769200003</v>
      </c>
      <c r="C945" s="267">
        <f>+C929*C944</f>
        <v>231943.41313846153</v>
      </c>
      <c r="D945" s="272">
        <f>+C945-B945</f>
        <v>-72561.8645535385</v>
      </c>
    </row>
    <row r="946" spans="1:4" x14ac:dyDescent="0.25">
      <c r="A946" s="266"/>
      <c r="B946" s="266"/>
      <c r="C946" s="266"/>
      <c r="D946" s="269"/>
    </row>
    <row r="947" spans="1:4" x14ac:dyDescent="0.25">
      <c r="A947" s="266" t="s">
        <v>48</v>
      </c>
      <c r="B947" s="278">
        <v>4.6526349680197931</v>
      </c>
      <c r="C947" s="278">
        <f>+'Rate Computation'!M58</f>
        <v>2.2975441032926631</v>
      </c>
      <c r="D947" s="277">
        <f t="shared" ref="D947:D949" si="123">+C947-B947</f>
        <v>-2.35509086472713</v>
      </c>
    </row>
    <row r="948" spans="1:4" x14ac:dyDescent="0.25">
      <c r="A948" s="266" t="s">
        <v>1295</v>
      </c>
      <c r="B948" s="274">
        <v>7.6999999999999999E-2</v>
      </c>
      <c r="C948" s="274">
        <v>0</v>
      </c>
      <c r="D948" s="273">
        <f t="shared" si="123"/>
        <v>-7.6999999999999999E-2</v>
      </c>
    </row>
    <row r="949" spans="1:4" x14ac:dyDescent="0.25">
      <c r="A949" s="266" t="s">
        <v>1296</v>
      </c>
      <c r="B949" s="267">
        <f>+B929*B948</f>
        <v>304505.27769200003</v>
      </c>
      <c r="C949" s="267">
        <v>0</v>
      </c>
      <c r="D949" s="272">
        <f t="shared" si="123"/>
        <v>-304505.27769200003</v>
      </c>
    </row>
    <row r="950" spans="1:4" x14ac:dyDescent="0.25">
      <c r="A950" s="280" t="s">
        <v>1364</v>
      </c>
      <c r="C950" s="90">
        <f>+C944</f>
        <v>7.6923076923076927E-2</v>
      </c>
    </row>
    <row r="953" spans="1:4" x14ac:dyDescent="0.25">
      <c r="A953" s="379" t="s">
        <v>1279</v>
      </c>
      <c r="B953" s="380"/>
      <c r="C953" s="380"/>
      <c r="D953" s="381"/>
    </row>
    <row r="954" spans="1:4" x14ac:dyDescent="0.25">
      <c r="A954" s="379" t="s">
        <v>1280</v>
      </c>
      <c r="B954" s="380"/>
      <c r="C954" s="380"/>
      <c r="D954" s="381"/>
    </row>
    <row r="955" spans="1:4" x14ac:dyDescent="0.25">
      <c r="A955" s="373" t="s">
        <v>1337</v>
      </c>
      <c r="B955" s="374"/>
      <c r="C955" s="374"/>
      <c r="D955" s="375"/>
    </row>
    <row r="956" spans="1:4" x14ac:dyDescent="0.25">
      <c r="A956" s="376" t="s">
        <v>33</v>
      </c>
      <c r="B956" s="377"/>
      <c r="C956" s="377"/>
      <c r="D956" s="378"/>
    </row>
    <row r="957" spans="1:4" x14ac:dyDescent="0.25">
      <c r="A957" s="265" t="s">
        <v>1283</v>
      </c>
      <c r="B957" s="265" t="s">
        <v>1284</v>
      </c>
      <c r="C957" s="265">
        <v>2024</v>
      </c>
      <c r="D957" s="265" t="s">
        <v>1266</v>
      </c>
    </row>
    <row r="958" spans="1:4" x14ac:dyDescent="0.25">
      <c r="A958" s="266"/>
      <c r="B958" s="266"/>
      <c r="C958" s="266"/>
      <c r="D958" s="266"/>
    </row>
    <row r="959" spans="1:4" x14ac:dyDescent="0.25">
      <c r="A959" s="266" t="s">
        <v>1285</v>
      </c>
      <c r="B959" s="267">
        <v>798818.0120000001</v>
      </c>
      <c r="C959" s="268">
        <f>+'Rate Computation'!D59</f>
        <v>749276.97410000011</v>
      </c>
      <c r="D959" s="268">
        <f>+C959-B959</f>
        <v>-49541.037899999996</v>
      </c>
    </row>
    <row r="960" spans="1:4" x14ac:dyDescent="0.25">
      <c r="A960" s="266"/>
      <c r="B960" s="266"/>
      <c r="C960" s="269"/>
      <c r="D960" s="269"/>
    </row>
    <row r="961" spans="1:4" x14ac:dyDescent="0.25">
      <c r="A961" s="266" t="s">
        <v>1286</v>
      </c>
      <c r="B961" s="265" t="s">
        <v>652</v>
      </c>
      <c r="C961" s="265" t="str">
        <f>+Parameter!H53</f>
        <v>SQ</v>
      </c>
      <c r="D961" s="269"/>
    </row>
    <row r="962" spans="1:4" x14ac:dyDescent="0.25">
      <c r="A962" s="266" t="s">
        <v>79</v>
      </c>
      <c r="B962" s="265">
        <v>20</v>
      </c>
      <c r="C962" s="265">
        <f>+Parameter!G53</f>
        <v>20</v>
      </c>
      <c r="D962" s="270">
        <f>+C962-B962</f>
        <v>0</v>
      </c>
    </row>
    <row r="963" spans="1:4" x14ac:dyDescent="0.25">
      <c r="A963" s="266"/>
      <c r="B963" s="265"/>
      <c r="C963" s="269"/>
      <c r="D963" s="269"/>
    </row>
    <row r="964" spans="1:4" x14ac:dyDescent="0.25">
      <c r="A964" s="266" t="s">
        <v>1287</v>
      </c>
      <c r="B964" s="271">
        <v>128270.1338</v>
      </c>
      <c r="C964" s="271">
        <f>+'Theoretical Reserve'!H1002</f>
        <v>128498.92635250001</v>
      </c>
      <c r="D964" s="272">
        <f t="shared" ref="D964:D966" si="124">+C964-B964</f>
        <v>228.79255250001734</v>
      </c>
    </row>
    <row r="965" spans="1:4" x14ac:dyDescent="0.25">
      <c r="A965" s="266" t="s">
        <v>1288</v>
      </c>
      <c r="B965" s="271">
        <v>-86156.12</v>
      </c>
      <c r="C965" s="271">
        <f>+'Rate Computation'!E59</f>
        <v>211978.84817832068</v>
      </c>
      <c r="D965" s="272">
        <f t="shared" si="124"/>
        <v>298134.96817832068</v>
      </c>
    </row>
    <row r="966" spans="1:4" x14ac:dyDescent="0.25">
      <c r="A966" s="266" t="s">
        <v>1289</v>
      </c>
      <c r="B966" s="271">
        <f>+B965-B964</f>
        <v>-214426.25380000001</v>
      </c>
      <c r="C966" s="271">
        <f>+C965-C964</f>
        <v>83479.921825820667</v>
      </c>
      <c r="D966" s="272">
        <f t="shared" si="124"/>
        <v>297906.17562582064</v>
      </c>
    </row>
    <row r="967" spans="1:4" x14ac:dyDescent="0.25">
      <c r="A967" s="266"/>
      <c r="B967" s="266"/>
      <c r="C967" s="266"/>
      <c r="D967" s="269"/>
    </row>
    <row r="968" spans="1:4" x14ac:dyDescent="0.25">
      <c r="A968" s="266" t="s">
        <v>50</v>
      </c>
      <c r="B968" s="274">
        <f>+B965/B959</f>
        <v>-0.10785450341097214</v>
      </c>
      <c r="C968" s="274">
        <f>+C965/C959</f>
        <v>0.28291120040481788</v>
      </c>
      <c r="D968" s="269"/>
    </row>
    <row r="969" spans="1:4" x14ac:dyDescent="0.25">
      <c r="A969" s="266"/>
      <c r="B969" s="266"/>
      <c r="C969" s="266"/>
      <c r="D969" s="269"/>
    </row>
    <row r="970" spans="1:4" x14ac:dyDescent="0.25">
      <c r="A970" s="266" t="s">
        <v>1290</v>
      </c>
      <c r="B970" s="275">
        <v>0</v>
      </c>
      <c r="C970" s="275">
        <v>0</v>
      </c>
      <c r="D970" s="276">
        <f t="shared" ref="D970:D972" si="125">+C970-B970</f>
        <v>0</v>
      </c>
    </row>
    <row r="971" spans="1:4" x14ac:dyDescent="0.25">
      <c r="A971" s="266" t="s">
        <v>1291</v>
      </c>
      <c r="B971" s="275">
        <v>0</v>
      </c>
      <c r="C971" s="275">
        <f>+Parameter!I53/100</f>
        <v>0</v>
      </c>
      <c r="D971" s="276">
        <f t="shared" si="125"/>
        <v>0</v>
      </c>
    </row>
    <row r="972" spans="1:4" x14ac:dyDescent="0.25">
      <c r="A972" s="266" t="s">
        <v>1292</v>
      </c>
      <c r="B972" s="275">
        <f>+B970-B971</f>
        <v>0</v>
      </c>
      <c r="C972" s="275">
        <f>+C970-C971</f>
        <v>0</v>
      </c>
      <c r="D972" s="276">
        <f t="shared" si="125"/>
        <v>0</v>
      </c>
    </row>
    <row r="973" spans="1:4" x14ac:dyDescent="0.25">
      <c r="A973" s="266"/>
      <c r="B973" s="266"/>
      <c r="C973" s="266"/>
      <c r="D973" s="269"/>
    </row>
    <row r="974" spans="1:4" x14ac:dyDescent="0.25">
      <c r="A974" s="266" t="s">
        <v>1293</v>
      </c>
      <c r="B974" s="274">
        <v>0.05</v>
      </c>
      <c r="C974" s="274">
        <f>+'Proposed Accruals'!L63/100</f>
        <v>0.05</v>
      </c>
      <c r="D974" s="273">
        <f>+C974-B974</f>
        <v>0</v>
      </c>
    </row>
    <row r="975" spans="1:4" x14ac:dyDescent="0.25">
      <c r="A975" s="266" t="s">
        <v>1294</v>
      </c>
      <c r="B975" s="267">
        <f>+B959*B974</f>
        <v>39940.900600000008</v>
      </c>
      <c r="C975" s="267">
        <f>+C959*C974</f>
        <v>37463.848705000004</v>
      </c>
      <c r="D975" s="272">
        <f t="shared" ref="D975" si="126">+C975-B975</f>
        <v>-2477.0518950000042</v>
      </c>
    </row>
    <row r="976" spans="1:4" x14ac:dyDescent="0.25">
      <c r="A976" s="266"/>
      <c r="B976" s="266"/>
      <c r="C976" s="266"/>
      <c r="D976" s="269"/>
    </row>
    <row r="977" spans="1:4" x14ac:dyDescent="0.25">
      <c r="A977" s="266" t="s">
        <v>48</v>
      </c>
      <c r="B977" s="278">
        <v>16.788501714455581</v>
      </c>
      <c r="C977" s="278">
        <f>+'Rate Computation'!M59</f>
        <v>16.570055378871142</v>
      </c>
      <c r="D977" s="277">
        <f t="shared" ref="D977:D979" si="127">+C977-B977</f>
        <v>-0.2184463355844386</v>
      </c>
    </row>
    <row r="978" spans="1:4" x14ac:dyDescent="0.25">
      <c r="A978" s="266" t="s">
        <v>1295</v>
      </c>
      <c r="B978" s="274">
        <v>0.05</v>
      </c>
      <c r="C978" s="274">
        <f>+'Rate Computation'!Q59</f>
        <v>4.2999999999999997E-2</v>
      </c>
      <c r="D978" s="273">
        <f>+C978-B978</f>
        <v>-7.0000000000000062E-3</v>
      </c>
    </row>
    <row r="979" spans="1:4" x14ac:dyDescent="0.25">
      <c r="A979" s="266" t="s">
        <v>1296</v>
      </c>
      <c r="B979" s="267">
        <f>+B959*B978</f>
        <v>39940.900600000008</v>
      </c>
      <c r="C979" s="267">
        <f>+C959*C978</f>
        <v>32218.909886300004</v>
      </c>
      <c r="D979" s="272">
        <f t="shared" si="127"/>
        <v>-7721.9907137000046</v>
      </c>
    </row>
    <row r="984" spans="1:4" x14ac:dyDescent="0.25">
      <c r="A984" s="379" t="s">
        <v>1279</v>
      </c>
      <c r="B984" s="380"/>
      <c r="C984" s="380"/>
      <c r="D984" s="381"/>
    </row>
    <row r="985" spans="1:4" x14ac:dyDescent="0.25">
      <c r="A985" s="379" t="s">
        <v>1280</v>
      </c>
      <c r="B985" s="380"/>
      <c r="C985" s="380"/>
      <c r="D985" s="381"/>
    </row>
    <row r="986" spans="1:4" x14ac:dyDescent="0.25">
      <c r="A986" s="373" t="s">
        <v>1338</v>
      </c>
      <c r="B986" s="374"/>
      <c r="C986" s="374"/>
      <c r="D986" s="375"/>
    </row>
    <row r="987" spans="1:4" x14ac:dyDescent="0.25">
      <c r="A987" s="376" t="s">
        <v>1339</v>
      </c>
      <c r="B987" s="377"/>
      <c r="C987" s="377"/>
      <c r="D987" s="378"/>
    </row>
    <row r="988" spans="1:4" x14ac:dyDescent="0.25">
      <c r="A988" s="265" t="s">
        <v>1283</v>
      </c>
      <c r="B988" s="265" t="s">
        <v>1284</v>
      </c>
      <c r="C988" s="265">
        <v>2024</v>
      </c>
      <c r="D988" s="265" t="s">
        <v>1266</v>
      </c>
    </row>
    <row r="989" spans="1:4" x14ac:dyDescent="0.25">
      <c r="A989" s="266"/>
      <c r="B989" s="266"/>
      <c r="C989" s="266"/>
      <c r="D989" s="266"/>
    </row>
    <row r="990" spans="1:4" x14ac:dyDescent="0.25">
      <c r="A990" s="266" t="s">
        <v>1285</v>
      </c>
      <c r="B990" s="267">
        <v>0</v>
      </c>
      <c r="C990" s="268">
        <f>+'Rate Computation'!D66</f>
        <v>16109646.340000002</v>
      </c>
      <c r="D990" s="268">
        <f>+C990-B990</f>
        <v>16109646.340000002</v>
      </c>
    </row>
    <row r="991" spans="1:4" x14ac:dyDescent="0.25">
      <c r="A991" s="266"/>
      <c r="B991" s="266"/>
      <c r="C991" s="269"/>
      <c r="D991" s="269"/>
    </row>
    <row r="992" spans="1:4" x14ac:dyDescent="0.25">
      <c r="A992" s="266" t="s">
        <v>1286</v>
      </c>
      <c r="B992" s="265" t="s">
        <v>26</v>
      </c>
      <c r="C992" s="265" t="str">
        <f>+Parameter!H55</f>
        <v>R2</v>
      </c>
      <c r="D992" s="269"/>
    </row>
    <row r="993" spans="1:4" x14ac:dyDescent="0.25">
      <c r="A993" s="266" t="s">
        <v>79</v>
      </c>
      <c r="B993" s="265">
        <v>30</v>
      </c>
      <c r="C993" s="265">
        <f>+Parameter!G55</f>
        <v>30</v>
      </c>
      <c r="D993" s="270">
        <f>+C993-B993</f>
        <v>0</v>
      </c>
    </row>
    <row r="994" spans="1:4" x14ac:dyDescent="0.25">
      <c r="A994" s="266"/>
      <c r="B994" s="265"/>
      <c r="C994" s="269"/>
      <c r="D994" s="269"/>
    </row>
    <row r="995" spans="1:4" x14ac:dyDescent="0.25">
      <c r="A995" s="266" t="s">
        <v>1287</v>
      </c>
      <c r="B995" s="271">
        <v>0</v>
      </c>
      <c r="C995" s="268">
        <f>+'Theoretical Reserve'!H1005</f>
        <v>254998.94753000568</v>
      </c>
      <c r="D995" s="272">
        <f t="shared" ref="D995:D997" si="128">+C995-B995</f>
        <v>254998.94753000568</v>
      </c>
    </row>
    <row r="996" spans="1:4" x14ac:dyDescent="0.25">
      <c r="A996" s="266" t="s">
        <v>1288</v>
      </c>
      <c r="B996" s="271">
        <v>0</v>
      </c>
      <c r="C996" s="268">
        <f>+'Rate Computation'!E66</f>
        <v>515471.1447375</v>
      </c>
      <c r="D996" s="272">
        <f t="shared" si="128"/>
        <v>515471.1447375</v>
      </c>
    </row>
    <row r="997" spans="1:4" x14ac:dyDescent="0.25">
      <c r="A997" s="266" t="s">
        <v>1289</v>
      </c>
      <c r="B997" s="271">
        <v>0</v>
      </c>
      <c r="C997" s="271">
        <f>+C996-C995</f>
        <v>260472.19720749432</v>
      </c>
      <c r="D997" s="272">
        <f t="shared" si="128"/>
        <v>260472.19720749432</v>
      </c>
    </row>
    <row r="998" spans="1:4" x14ac:dyDescent="0.25">
      <c r="A998" s="266"/>
      <c r="B998" s="266"/>
      <c r="C998" s="266"/>
      <c r="D998" s="269"/>
    </row>
    <row r="999" spans="1:4" x14ac:dyDescent="0.25">
      <c r="A999" s="266" t="s">
        <v>50</v>
      </c>
      <c r="B999" s="274">
        <v>0</v>
      </c>
      <c r="C999" s="274">
        <f>+C996/C990</f>
        <v>3.1997669834476328E-2</v>
      </c>
      <c r="D999" s="269"/>
    </row>
    <row r="1000" spans="1:4" x14ac:dyDescent="0.25">
      <c r="A1000" s="266"/>
      <c r="B1000" s="266"/>
      <c r="C1000" s="266"/>
      <c r="D1000" s="269"/>
    </row>
    <row r="1001" spans="1:4" x14ac:dyDescent="0.25">
      <c r="A1001" s="266" t="s">
        <v>1290</v>
      </c>
      <c r="B1001" s="275">
        <v>0</v>
      </c>
      <c r="C1001" s="275">
        <v>0</v>
      </c>
      <c r="D1001" s="276">
        <f t="shared" ref="D1001:D1003" si="129">+C1001-B1001</f>
        <v>0</v>
      </c>
    </row>
    <row r="1002" spans="1:4" x14ac:dyDescent="0.25">
      <c r="A1002" s="266" t="s">
        <v>1291</v>
      </c>
      <c r="B1002" s="275">
        <v>0.05</v>
      </c>
      <c r="C1002" s="275">
        <f>-+Parameter!I55/100</f>
        <v>0.05</v>
      </c>
      <c r="D1002" s="276">
        <f t="shared" si="129"/>
        <v>0</v>
      </c>
    </row>
    <row r="1003" spans="1:4" x14ac:dyDescent="0.25">
      <c r="A1003" s="266" t="s">
        <v>1292</v>
      </c>
      <c r="B1003" s="275">
        <f>+B1001-B1002</f>
        <v>-0.05</v>
      </c>
      <c r="C1003" s="275">
        <f>+C1001-C1002</f>
        <v>-0.05</v>
      </c>
      <c r="D1003" s="276">
        <f t="shared" si="129"/>
        <v>0</v>
      </c>
    </row>
    <row r="1004" spans="1:4" x14ac:dyDescent="0.25">
      <c r="A1004" s="266"/>
      <c r="B1004" s="266"/>
      <c r="C1004" s="266"/>
      <c r="D1004" s="269"/>
    </row>
    <row r="1005" spans="1:4" x14ac:dyDescent="0.25">
      <c r="A1005" s="266" t="s">
        <v>1293</v>
      </c>
      <c r="B1005" s="274">
        <v>3.5000000000000003E-2</v>
      </c>
      <c r="C1005" s="274">
        <f>+'Proposed Accruals'!L67/100</f>
        <v>3.5000000000000003E-2</v>
      </c>
      <c r="D1005" s="273">
        <f>+C1005-B1005</f>
        <v>0</v>
      </c>
    </row>
    <row r="1006" spans="1:4" x14ac:dyDescent="0.25">
      <c r="A1006" s="266" t="s">
        <v>1294</v>
      </c>
      <c r="B1006" s="267">
        <v>0</v>
      </c>
      <c r="C1006" s="267">
        <f>+C1005*C990</f>
        <v>563837.62190000014</v>
      </c>
      <c r="D1006" s="272">
        <f t="shared" ref="D1006" si="130">+C1006-B1006</f>
        <v>563837.62190000014</v>
      </c>
    </row>
    <row r="1007" spans="1:4" x14ac:dyDescent="0.25">
      <c r="A1007" s="266"/>
      <c r="B1007" s="266"/>
      <c r="C1007" s="266"/>
      <c r="D1007" s="269"/>
    </row>
    <row r="1008" spans="1:4" x14ac:dyDescent="0.25">
      <c r="A1008" s="266" t="s">
        <v>48</v>
      </c>
      <c r="B1008" s="278">
        <v>30</v>
      </c>
      <c r="C1008" s="278">
        <f>+'Rate Computation'!M66</f>
        <v>29.547744000000002</v>
      </c>
      <c r="D1008" s="277">
        <f t="shared" ref="D1008:D1010" si="131">+C1008-B1008</f>
        <v>-0.45225599999999844</v>
      </c>
    </row>
    <row r="1009" spans="1:4" x14ac:dyDescent="0.25">
      <c r="A1009" s="266" t="s">
        <v>1295</v>
      </c>
      <c r="B1009" s="274">
        <v>3.5000000000000003E-2</v>
      </c>
      <c r="C1009" s="274">
        <f>+'Rate Computation'!Q66</f>
        <v>3.4000000000000002E-2</v>
      </c>
      <c r="D1009" s="273">
        <f>+C1009-B1009</f>
        <v>-1.0000000000000009E-3</v>
      </c>
    </row>
    <row r="1010" spans="1:4" x14ac:dyDescent="0.25">
      <c r="A1010" s="266" t="s">
        <v>1296</v>
      </c>
      <c r="B1010" s="267">
        <v>0</v>
      </c>
      <c r="C1010" s="267">
        <f>+C990*C1009</f>
        <v>547727.97556000005</v>
      </c>
      <c r="D1010" s="272">
        <f t="shared" si="131"/>
        <v>547727.97556000005</v>
      </c>
    </row>
    <row r="1015" spans="1:4" x14ac:dyDescent="0.25">
      <c r="A1015" s="379" t="s">
        <v>1279</v>
      </c>
      <c r="B1015" s="380"/>
      <c r="C1015" s="380"/>
      <c r="D1015" s="381"/>
    </row>
    <row r="1016" spans="1:4" x14ac:dyDescent="0.25">
      <c r="A1016" s="379" t="s">
        <v>1280</v>
      </c>
      <c r="B1016" s="380"/>
      <c r="C1016" s="380"/>
      <c r="D1016" s="381"/>
    </row>
    <row r="1017" spans="1:4" x14ac:dyDescent="0.25">
      <c r="A1017" s="382" t="s">
        <v>1349</v>
      </c>
      <c r="B1017" s="374"/>
      <c r="C1017" s="374"/>
      <c r="D1017" s="375"/>
    </row>
    <row r="1018" spans="1:4" x14ac:dyDescent="0.25">
      <c r="A1018" s="383" t="s">
        <v>1358</v>
      </c>
      <c r="B1018" s="377"/>
      <c r="C1018" s="377"/>
      <c r="D1018" s="378"/>
    </row>
    <row r="1019" spans="1:4" x14ac:dyDescent="0.25">
      <c r="A1019" s="265" t="s">
        <v>1283</v>
      </c>
      <c r="B1019" s="265" t="s">
        <v>1284</v>
      </c>
      <c r="C1019" s="265">
        <v>2024</v>
      </c>
      <c r="D1019" s="265" t="s">
        <v>1266</v>
      </c>
    </row>
    <row r="1020" spans="1:4" x14ac:dyDescent="0.25">
      <c r="A1020" s="266"/>
      <c r="B1020" s="266"/>
      <c r="C1020" s="266"/>
      <c r="D1020" s="266"/>
    </row>
    <row r="1021" spans="1:4" x14ac:dyDescent="0.25">
      <c r="A1021" s="266" t="s">
        <v>1285</v>
      </c>
      <c r="B1021" s="267">
        <v>0</v>
      </c>
      <c r="C1021" s="268">
        <f>+'Plant &amp; Reserve'!E64</f>
        <v>35668591.620000005</v>
      </c>
      <c r="D1021" s="268">
        <f>+C1021-B1021</f>
        <v>35668591.620000005</v>
      </c>
    </row>
    <row r="1022" spans="1:4" x14ac:dyDescent="0.25">
      <c r="A1022" s="266"/>
      <c r="B1022" s="266"/>
      <c r="C1022" s="269"/>
      <c r="D1022" s="269"/>
    </row>
    <row r="1023" spans="1:4" x14ac:dyDescent="0.25">
      <c r="A1023" s="266" t="s">
        <v>1286</v>
      </c>
      <c r="B1023" s="279" t="s">
        <v>652</v>
      </c>
      <c r="C1023" s="279" t="s">
        <v>652</v>
      </c>
      <c r="D1023" s="269"/>
    </row>
    <row r="1024" spans="1:4" x14ac:dyDescent="0.25">
      <c r="A1024" s="266" t="s">
        <v>79</v>
      </c>
      <c r="B1024" s="279">
        <v>15</v>
      </c>
      <c r="C1024" s="265">
        <v>15</v>
      </c>
      <c r="D1024" s="270">
        <f>+C1024-B1024</f>
        <v>0</v>
      </c>
    </row>
    <row r="1025" spans="1:4" x14ac:dyDescent="0.25">
      <c r="A1025" s="266"/>
      <c r="B1025" s="265"/>
      <c r="C1025" s="269"/>
      <c r="D1025" s="269"/>
    </row>
    <row r="1026" spans="1:4" x14ac:dyDescent="0.25">
      <c r="A1026" s="266" t="s">
        <v>1287</v>
      </c>
      <c r="B1026" s="271">
        <v>0</v>
      </c>
      <c r="C1026" s="268">
        <f>+'Reserve Allocation'!H66</f>
        <v>1188953.054</v>
      </c>
      <c r="D1026" s="272">
        <f t="shared" ref="D1026:D1028" si="132">+C1026-B1026</f>
        <v>1188953.054</v>
      </c>
    </row>
    <row r="1027" spans="1:4" x14ac:dyDescent="0.25">
      <c r="A1027" s="266" t="s">
        <v>1288</v>
      </c>
      <c r="B1027" s="271">
        <v>0</v>
      </c>
      <c r="C1027" s="268">
        <f>+'Reserve Allocation'!F66</f>
        <v>1961772.5391000002</v>
      </c>
      <c r="D1027" s="272">
        <f t="shared" si="132"/>
        <v>1961772.5391000002</v>
      </c>
    </row>
    <row r="1028" spans="1:4" x14ac:dyDescent="0.25">
      <c r="A1028" s="266" t="s">
        <v>1289</v>
      </c>
      <c r="B1028" s="271">
        <v>0</v>
      </c>
      <c r="C1028" s="271">
        <f>+C1027-C1026</f>
        <v>772819.48510000017</v>
      </c>
      <c r="D1028" s="272">
        <f t="shared" si="132"/>
        <v>772819.48510000017</v>
      </c>
    </row>
    <row r="1029" spans="1:4" x14ac:dyDescent="0.25">
      <c r="A1029" s="266"/>
      <c r="B1029" s="266"/>
      <c r="C1029" s="266"/>
      <c r="D1029" s="269"/>
    </row>
    <row r="1030" spans="1:4" x14ac:dyDescent="0.25">
      <c r="A1030" s="266" t="s">
        <v>50</v>
      </c>
      <c r="B1030" s="274">
        <v>0</v>
      </c>
      <c r="C1030" s="274">
        <f>+C1027/C1021</f>
        <v>5.5E-2</v>
      </c>
      <c r="D1030" s="269"/>
    </row>
    <row r="1031" spans="1:4" x14ac:dyDescent="0.25">
      <c r="A1031" s="266"/>
      <c r="B1031" s="266"/>
      <c r="C1031" s="266"/>
      <c r="D1031" s="269"/>
    </row>
    <row r="1032" spans="1:4" x14ac:dyDescent="0.25">
      <c r="A1032" s="266" t="s">
        <v>1290</v>
      </c>
      <c r="B1032" s="282">
        <v>0</v>
      </c>
      <c r="C1032" s="275">
        <v>0</v>
      </c>
      <c r="D1032" s="276" t="s">
        <v>651</v>
      </c>
    </row>
    <row r="1033" spans="1:4" x14ac:dyDescent="0.25">
      <c r="A1033" s="266" t="s">
        <v>1291</v>
      </c>
      <c r="B1033" s="282">
        <v>0</v>
      </c>
      <c r="C1033" s="275">
        <f>-+Parameter!I87/100</f>
        <v>0</v>
      </c>
      <c r="D1033" s="276" t="s">
        <v>651</v>
      </c>
    </row>
    <row r="1034" spans="1:4" x14ac:dyDescent="0.25">
      <c r="A1034" s="266" t="s">
        <v>1292</v>
      </c>
      <c r="B1034" s="282">
        <v>0</v>
      </c>
      <c r="C1034" s="275">
        <f>+C1032-C1033</f>
        <v>0</v>
      </c>
      <c r="D1034" s="276" t="s">
        <v>651</v>
      </c>
    </row>
    <row r="1035" spans="1:4" x14ac:dyDescent="0.25">
      <c r="A1035" s="266"/>
      <c r="B1035" s="266"/>
      <c r="C1035" s="266"/>
      <c r="D1035" s="269"/>
    </row>
    <row r="1036" spans="1:4" x14ac:dyDescent="0.25">
      <c r="A1036" s="266" t="s">
        <v>1293</v>
      </c>
      <c r="B1036" s="274">
        <v>6.7000000000000004E-2</v>
      </c>
      <c r="C1036" s="274">
        <f>'Proposed Rates'!$P$72/100</f>
        <v>6.7000000000000004E-2</v>
      </c>
      <c r="D1036" s="273">
        <f>+C1036-B1036</f>
        <v>0</v>
      </c>
    </row>
    <row r="1037" spans="1:4" x14ac:dyDescent="0.25">
      <c r="A1037" s="266" t="s">
        <v>1294</v>
      </c>
      <c r="B1037" s="267">
        <v>0</v>
      </c>
      <c r="C1037" s="267">
        <f>+C1036*C1021</f>
        <v>2389795.6385400007</v>
      </c>
      <c r="D1037" s="272">
        <f t="shared" ref="D1037" si="133">+C1037-B1037</f>
        <v>2389795.6385400007</v>
      </c>
    </row>
    <row r="1038" spans="1:4" x14ac:dyDescent="0.25">
      <c r="A1038" s="266"/>
      <c r="B1038" s="266"/>
      <c r="C1038" s="266"/>
      <c r="D1038" s="269"/>
    </row>
    <row r="1039" spans="1:4" x14ac:dyDescent="0.25">
      <c r="A1039" s="266" t="s">
        <v>48</v>
      </c>
      <c r="B1039" s="278">
        <v>15</v>
      </c>
      <c r="C1039" s="351">
        <v>14.5</v>
      </c>
      <c r="D1039" s="277">
        <f t="shared" ref="D1039" si="134">+C1039-B1039</f>
        <v>-0.5</v>
      </c>
    </row>
    <row r="1040" spans="1:4" x14ac:dyDescent="0.25">
      <c r="A1040" s="266" t="s">
        <v>1295</v>
      </c>
      <c r="B1040" s="274">
        <v>6.7000000000000004E-2</v>
      </c>
      <c r="C1040" s="274">
        <v>6.7000000000000004E-2</v>
      </c>
      <c r="D1040" s="273">
        <f>+C1040-B1040</f>
        <v>0</v>
      </c>
    </row>
    <row r="1041" spans="1:4" x14ac:dyDescent="0.25">
      <c r="A1041" s="266" t="s">
        <v>1296</v>
      </c>
      <c r="B1041" s="267">
        <v>0</v>
      </c>
      <c r="C1041" s="267">
        <f>+C1021*C1040</f>
        <v>2389795.6385400007</v>
      </c>
      <c r="D1041" s="272">
        <f t="shared" ref="D1041" si="135">+C1041-B1041</f>
        <v>2389795.6385400007</v>
      </c>
    </row>
    <row r="1054" spans="1:4" x14ac:dyDescent="0.25">
      <c r="A1054" s="379" t="s">
        <v>1279</v>
      </c>
      <c r="B1054" s="380"/>
      <c r="C1054" s="380"/>
      <c r="D1054" s="381"/>
    </row>
    <row r="1055" spans="1:4" x14ac:dyDescent="0.25">
      <c r="A1055" s="379" t="s">
        <v>1280</v>
      </c>
      <c r="B1055" s="380"/>
      <c r="C1055" s="380"/>
      <c r="D1055" s="381"/>
    </row>
    <row r="1056" spans="1:4" x14ac:dyDescent="0.25">
      <c r="A1056" s="373" t="s">
        <v>1340</v>
      </c>
      <c r="B1056" s="374"/>
      <c r="C1056" s="374"/>
      <c r="D1056" s="375"/>
    </row>
    <row r="1057" spans="1:4" x14ac:dyDescent="0.25">
      <c r="A1057" s="376" t="s">
        <v>1269</v>
      </c>
      <c r="B1057" s="377"/>
      <c r="C1057" s="377"/>
      <c r="D1057" s="378"/>
    </row>
    <row r="1058" spans="1:4" x14ac:dyDescent="0.25">
      <c r="A1058" s="265" t="s">
        <v>1283</v>
      </c>
      <c r="B1058" s="265" t="s">
        <v>1284</v>
      </c>
      <c r="C1058" s="265">
        <v>2024</v>
      </c>
      <c r="D1058" s="265" t="s">
        <v>1266</v>
      </c>
    </row>
    <row r="1059" spans="1:4" x14ac:dyDescent="0.25">
      <c r="A1059" s="266"/>
      <c r="B1059" s="266"/>
      <c r="C1059" s="266"/>
      <c r="D1059" s="266"/>
    </row>
    <row r="1060" spans="1:4" x14ac:dyDescent="0.25">
      <c r="A1060" s="266" t="s">
        <v>1285</v>
      </c>
      <c r="B1060" s="267">
        <v>0</v>
      </c>
      <c r="C1060" s="268">
        <f>+'Rate Computation'!D68</f>
        <v>1485380.05</v>
      </c>
      <c r="D1060" s="268">
        <f>+C1060-B1060</f>
        <v>1485380.05</v>
      </c>
    </row>
    <row r="1061" spans="1:4" x14ac:dyDescent="0.25">
      <c r="A1061" s="266"/>
      <c r="B1061" s="266"/>
      <c r="C1061" s="269"/>
      <c r="D1061" s="269"/>
    </row>
    <row r="1062" spans="1:4" x14ac:dyDescent="0.25">
      <c r="A1062" s="266" t="s">
        <v>1286</v>
      </c>
      <c r="B1062" s="265" t="s">
        <v>26</v>
      </c>
      <c r="C1062" s="265" t="str">
        <f>+Parameter!H57</f>
        <v>R2</v>
      </c>
      <c r="D1062" s="269"/>
    </row>
    <row r="1063" spans="1:4" x14ac:dyDescent="0.25">
      <c r="A1063" s="266" t="s">
        <v>79</v>
      </c>
      <c r="B1063" s="265">
        <v>30</v>
      </c>
      <c r="C1063" s="265">
        <f>+Parameter!G57</f>
        <v>30</v>
      </c>
      <c r="D1063" s="270">
        <f>+C1063-B1063</f>
        <v>0</v>
      </c>
    </row>
    <row r="1064" spans="1:4" x14ac:dyDescent="0.25">
      <c r="A1064" s="266"/>
      <c r="B1064" s="265"/>
      <c r="C1064" s="269"/>
      <c r="D1064" s="269"/>
    </row>
    <row r="1065" spans="1:4" x14ac:dyDescent="0.25">
      <c r="A1065" s="266" t="s">
        <v>1287</v>
      </c>
      <c r="B1065" s="271">
        <v>0</v>
      </c>
      <c r="C1065" s="349">
        <f>'Theoretical Reserve'!$H$1008</f>
        <v>23512.021396247932</v>
      </c>
      <c r="D1065" s="272">
        <f t="shared" ref="D1065:D1067" si="136">+C1065-B1065</f>
        <v>23512.021396247932</v>
      </c>
    </row>
    <row r="1066" spans="1:4" x14ac:dyDescent="0.25">
      <c r="A1066" s="266" t="s">
        <v>1288</v>
      </c>
      <c r="B1066" s="271">
        <v>0</v>
      </c>
      <c r="C1066" s="348">
        <f>'Reserve Allocation'!$F$67</f>
        <v>25561.084675000002</v>
      </c>
      <c r="D1066" s="272">
        <f t="shared" si="136"/>
        <v>25561.084675000002</v>
      </c>
    </row>
    <row r="1067" spans="1:4" x14ac:dyDescent="0.25">
      <c r="A1067" s="266" t="s">
        <v>1289</v>
      </c>
      <c r="B1067" s="271">
        <f>+B1066-B1065</f>
        <v>0</v>
      </c>
      <c r="C1067" s="271">
        <f>+C1066-C1065</f>
        <v>2049.0632787520699</v>
      </c>
      <c r="D1067" s="272">
        <f t="shared" si="136"/>
        <v>2049.0632787520699</v>
      </c>
    </row>
    <row r="1068" spans="1:4" x14ac:dyDescent="0.25">
      <c r="A1068" s="266"/>
      <c r="B1068" s="266"/>
      <c r="C1068" s="266"/>
      <c r="D1068" s="269"/>
    </row>
    <row r="1069" spans="1:4" x14ac:dyDescent="0.25">
      <c r="A1069" s="266" t="s">
        <v>50</v>
      </c>
      <c r="B1069" s="274">
        <v>0</v>
      </c>
      <c r="C1069" s="350">
        <f>+C1066/C1060</f>
        <v>1.7208447545124898E-2</v>
      </c>
      <c r="D1069" s="269"/>
    </row>
    <row r="1070" spans="1:4" x14ac:dyDescent="0.25">
      <c r="A1070" s="266"/>
      <c r="B1070" s="266"/>
      <c r="C1070" s="266"/>
      <c r="D1070" s="269"/>
    </row>
    <row r="1071" spans="1:4" x14ac:dyDescent="0.25">
      <c r="A1071" s="266" t="s">
        <v>1290</v>
      </c>
      <c r="B1071" s="275">
        <v>0</v>
      </c>
      <c r="C1071" s="275">
        <v>0</v>
      </c>
      <c r="D1071" s="276">
        <f t="shared" ref="D1071:D1073" si="137">+C1071-B1071</f>
        <v>0</v>
      </c>
    </row>
    <row r="1072" spans="1:4" x14ac:dyDescent="0.25">
      <c r="A1072" s="266" t="s">
        <v>1291</v>
      </c>
      <c r="B1072" s="275">
        <v>0.05</v>
      </c>
      <c r="C1072" s="275">
        <f>-+Parameter!I57/100</f>
        <v>0.05</v>
      </c>
      <c r="D1072" s="276">
        <f t="shared" si="137"/>
        <v>0</v>
      </c>
    </row>
    <row r="1073" spans="1:4" x14ac:dyDescent="0.25">
      <c r="A1073" s="266" t="s">
        <v>1292</v>
      </c>
      <c r="B1073" s="275">
        <f>+B1071-B1072</f>
        <v>-0.05</v>
      </c>
      <c r="C1073" s="275">
        <f>+C1071-C1072</f>
        <v>-0.05</v>
      </c>
      <c r="D1073" s="276">
        <f t="shared" si="137"/>
        <v>0</v>
      </c>
    </row>
    <row r="1074" spans="1:4" x14ac:dyDescent="0.25">
      <c r="A1074" s="266"/>
      <c r="B1074" s="266"/>
      <c r="C1074" s="266"/>
      <c r="D1074" s="269"/>
    </row>
    <row r="1075" spans="1:4" x14ac:dyDescent="0.25">
      <c r="A1075" s="266" t="s">
        <v>1293</v>
      </c>
      <c r="B1075" s="274">
        <v>3.5000000000000003E-2</v>
      </c>
      <c r="C1075" s="274">
        <f>+'Proposed Accruals'!L69/100</f>
        <v>3.5000000000000003E-2</v>
      </c>
      <c r="D1075" s="274">
        <f t="shared" ref="D1075:D1076" si="138">+C1075-B1075</f>
        <v>0</v>
      </c>
    </row>
    <row r="1076" spans="1:4" x14ac:dyDescent="0.25">
      <c r="A1076" s="266" t="s">
        <v>1294</v>
      </c>
      <c r="B1076" s="267">
        <v>0</v>
      </c>
      <c r="C1076" s="267">
        <f>+C1075*C1060</f>
        <v>51988.301750000006</v>
      </c>
      <c r="D1076" s="272">
        <f t="shared" si="138"/>
        <v>51988.301750000006</v>
      </c>
    </row>
    <row r="1077" spans="1:4" x14ac:dyDescent="0.25">
      <c r="A1077" s="266"/>
      <c r="B1077" s="266"/>
      <c r="C1077" s="266"/>
      <c r="D1077" s="269"/>
    </row>
    <row r="1078" spans="1:4" x14ac:dyDescent="0.25">
      <c r="A1078" s="266" t="s">
        <v>48</v>
      </c>
      <c r="B1078" s="278">
        <v>30</v>
      </c>
      <c r="C1078" s="278">
        <f>+'Rate Computation'!M68</f>
        <v>29.547744000000005</v>
      </c>
      <c r="D1078" s="277">
        <f t="shared" ref="D1078:D1080" si="139">+C1078-B1078</f>
        <v>-0.45225599999999488</v>
      </c>
    </row>
    <row r="1079" spans="1:4" x14ac:dyDescent="0.25">
      <c r="A1079" s="266" t="s">
        <v>1295</v>
      </c>
      <c r="B1079" s="274">
        <v>3.5000000000000003E-2</v>
      </c>
      <c r="C1079" s="274">
        <f>+'Rate Computation'!Q68</f>
        <v>3.5000000000000003E-2</v>
      </c>
      <c r="D1079" s="273">
        <f>+C1079-B1079</f>
        <v>0</v>
      </c>
    </row>
    <row r="1080" spans="1:4" x14ac:dyDescent="0.25">
      <c r="A1080" s="266" t="s">
        <v>1296</v>
      </c>
      <c r="B1080" s="267">
        <v>0</v>
      </c>
      <c r="C1080" s="267">
        <f>+C1060*C1079</f>
        <v>51988.301750000006</v>
      </c>
      <c r="D1080" s="272">
        <f t="shared" si="139"/>
        <v>51988.301750000006</v>
      </c>
    </row>
    <row r="1084" spans="1:4" x14ac:dyDescent="0.25">
      <c r="A1084" s="379" t="s">
        <v>1279</v>
      </c>
      <c r="B1084" s="380"/>
      <c r="C1084" s="380"/>
      <c r="D1084" s="381"/>
    </row>
    <row r="1085" spans="1:4" x14ac:dyDescent="0.25">
      <c r="A1085" s="379" t="s">
        <v>1280</v>
      </c>
      <c r="B1085" s="380"/>
      <c r="C1085" s="380"/>
      <c r="D1085" s="381"/>
    </row>
    <row r="1086" spans="1:4" x14ac:dyDescent="0.25">
      <c r="A1086" s="373" t="s">
        <v>1341</v>
      </c>
      <c r="B1086" s="374"/>
      <c r="C1086" s="374"/>
      <c r="D1086" s="375"/>
    </row>
    <row r="1087" spans="1:4" x14ac:dyDescent="0.25">
      <c r="A1087" s="376" t="s">
        <v>1342</v>
      </c>
      <c r="B1087" s="377"/>
      <c r="C1087" s="377"/>
      <c r="D1087" s="378"/>
    </row>
    <row r="1088" spans="1:4" x14ac:dyDescent="0.25">
      <c r="A1088" s="265" t="s">
        <v>1283</v>
      </c>
      <c r="B1088" s="265" t="s">
        <v>1284</v>
      </c>
      <c r="C1088" s="265">
        <v>2024</v>
      </c>
      <c r="D1088" s="265" t="s">
        <v>1266</v>
      </c>
    </row>
    <row r="1089" spans="1:4" x14ac:dyDescent="0.25">
      <c r="A1089" s="266"/>
      <c r="B1089" s="266"/>
      <c r="C1089" s="266"/>
      <c r="D1089" s="266"/>
    </row>
    <row r="1090" spans="1:4" x14ac:dyDescent="0.25">
      <c r="A1090" s="266" t="s">
        <v>1285</v>
      </c>
      <c r="B1090" s="267">
        <v>0</v>
      </c>
      <c r="C1090" s="268">
        <f>'Rate Computation'!$D$25</f>
        <v>19187297.899999999</v>
      </c>
      <c r="D1090" s="268">
        <f>+C1090-B1090</f>
        <v>19187297.899999999</v>
      </c>
    </row>
    <row r="1091" spans="1:4" x14ac:dyDescent="0.25">
      <c r="A1091" s="266"/>
      <c r="B1091" s="266"/>
      <c r="C1091" s="269"/>
      <c r="D1091" s="269"/>
    </row>
    <row r="1092" spans="1:4" x14ac:dyDescent="0.25">
      <c r="A1092" s="266" t="s">
        <v>1286</v>
      </c>
      <c r="B1092" s="265" t="s">
        <v>26</v>
      </c>
      <c r="C1092" s="232" t="str">
        <f>+Parameter!H19</f>
        <v>R2</v>
      </c>
      <c r="D1092" s="269"/>
    </row>
    <row r="1093" spans="1:4" x14ac:dyDescent="0.25">
      <c r="A1093" s="266" t="s">
        <v>79</v>
      </c>
      <c r="B1093" s="265">
        <v>35</v>
      </c>
      <c r="C1093" s="265">
        <f>+Parameter!G19</f>
        <v>35</v>
      </c>
      <c r="D1093" s="270">
        <f>+C1093-B1093</f>
        <v>0</v>
      </c>
    </row>
    <row r="1094" spans="1:4" x14ac:dyDescent="0.25">
      <c r="A1094" s="266"/>
      <c r="B1094" s="265"/>
      <c r="C1094" s="269"/>
      <c r="D1094" s="269"/>
    </row>
    <row r="1095" spans="1:4" x14ac:dyDescent="0.25">
      <c r="A1095" s="266" t="s">
        <v>1287</v>
      </c>
      <c r="B1095" s="271">
        <v>0</v>
      </c>
      <c r="C1095" s="271">
        <f>+'Theoretical Reserve'!H235</f>
        <v>1227936.4875034716</v>
      </c>
      <c r="D1095" s="272">
        <f t="shared" ref="D1095:D1097" si="140">+C1095-B1095</f>
        <v>1227936.4875034716</v>
      </c>
    </row>
    <row r="1096" spans="1:4" x14ac:dyDescent="0.25">
      <c r="A1096" s="266" t="s">
        <v>1288</v>
      </c>
      <c r="B1096" s="271">
        <v>0</v>
      </c>
      <c r="C1096" s="271">
        <f>+'Rate Computation'!E25</f>
        <v>1319479.5011633653</v>
      </c>
      <c r="D1096" s="272">
        <f t="shared" si="140"/>
        <v>1319479.5011633653</v>
      </c>
    </row>
    <row r="1097" spans="1:4" x14ac:dyDescent="0.25">
      <c r="A1097" s="266" t="s">
        <v>1289</v>
      </c>
      <c r="B1097" s="271">
        <f>+B1096-B1095</f>
        <v>0</v>
      </c>
      <c r="C1097" s="271">
        <f>+C1096-C1095</f>
        <v>91543.013659893768</v>
      </c>
      <c r="D1097" s="272">
        <f t="shared" si="140"/>
        <v>91543.013659893768</v>
      </c>
    </row>
    <row r="1098" spans="1:4" x14ac:dyDescent="0.25">
      <c r="A1098" s="266"/>
      <c r="B1098" s="266"/>
      <c r="C1098" s="266"/>
      <c r="D1098" s="269"/>
    </row>
    <row r="1099" spans="1:4" x14ac:dyDescent="0.25">
      <c r="A1099" s="266" t="s">
        <v>50</v>
      </c>
      <c r="B1099" s="274">
        <v>0</v>
      </c>
      <c r="C1099" s="274">
        <f>+C1096/C1090</f>
        <v>6.8768385628878229E-2</v>
      </c>
      <c r="D1099" s="269"/>
    </row>
    <row r="1100" spans="1:4" x14ac:dyDescent="0.25">
      <c r="A1100" s="266"/>
      <c r="B1100" s="266"/>
      <c r="C1100" s="266"/>
      <c r="D1100" s="269"/>
    </row>
    <row r="1101" spans="1:4" x14ac:dyDescent="0.25">
      <c r="A1101" s="266" t="s">
        <v>1290</v>
      </c>
      <c r="B1101" s="275">
        <v>0</v>
      </c>
      <c r="C1101" s="275">
        <v>0</v>
      </c>
      <c r="D1101" s="276">
        <f t="shared" ref="D1101:D1103" si="141">+C1101-B1101</f>
        <v>0</v>
      </c>
    </row>
    <row r="1102" spans="1:4" x14ac:dyDescent="0.25">
      <c r="A1102" s="266" t="s">
        <v>1291</v>
      </c>
      <c r="B1102" s="275">
        <v>0.05</v>
      </c>
      <c r="C1102" s="275">
        <f>-+Parameter!I19/100</f>
        <v>0.05</v>
      </c>
      <c r="D1102" s="276">
        <f t="shared" si="141"/>
        <v>0</v>
      </c>
    </row>
    <row r="1103" spans="1:4" x14ac:dyDescent="0.25">
      <c r="A1103" s="266" t="s">
        <v>1292</v>
      </c>
      <c r="B1103" s="275">
        <f>+B1101-B1102</f>
        <v>-0.05</v>
      </c>
      <c r="C1103" s="275">
        <f>+C1101-C1102</f>
        <v>-0.05</v>
      </c>
      <c r="D1103" s="276">
        <f t="shared" si="141"/>
        <v>0</v>
      </c>
    </row>
    <row r="1104" spans="1:4" x14ac:dyDescent="0.25">
      <c r="A1104" s="266"/>
      <c r="B1104" s="266"/>
      <c r="C1104" s="266"/>
      <c r="D1104" s="269"/>
    </row>
    <row r="1105" spans="1:4" x14ac:dyDescent="0.25">
      <c r="A1105" s="266" t="s">
        <v>1293</v>
      </c>
      <c r="B1105" s="274">
        <v>0.03</v>
      </c>
      <c r="C1105" s="274">
        <f>+'Proposed Accruals'!L20/100</f>
        <v>3.0000000000000006E-2</v>
      </c>
      <c r="D1105" s="273">
        <f>+C1105-B1105</f>
        <v>0</v>
      </c>
    </row>
    <row r="1106" spans="1:4" x14ac:dyDescent="0.25">
      <c r="A1106" s="266" t="s">
        <v>1294</v>
      </c>
      <c r="B1106" s="267">
        <v>0</v>
      </c>
      <c r="C1106" s="267">
        <f>+C1090*C1105</f>
        <v>575618.93700000003</v>
      </c>
      <c r="D1106" s="272">
        <f t="shared" ref="D1106" si="142">+C1106-B1106</f>
        <v>575618.93700000003</v>
      </c>
    </row>
    <row r="1107" spans="1:4" x14ac:dyDescent="0.25">
      <c r="A1107" s="266"/>
      <c r="B1107" s="266"/>
      <c r="C1107" s="266"/>
      <c r="D1107" s="269"/>
    </row>
    <row r="1108" spans="1:4" x14ac:dyDescent="0.25">
      <c r="A1108" s="266" t="s">
        <v>48</v>
      </c>
      <c r="B1108" s="278">
        <v>35</v>
      </c>
      <c r="C1108" s="278">
        <f>+'Rate Computation'!M25</f>
        <v>32.760092260691827</v>
      </c>
      <c r="D1108" s="277">
        <f t="shared" ref="D1108:D1110" si="143">+C1108-B1108</f>
        <v>-2.2399077393081726</v>
      </c>
    </row>
    <row r="1109" spans="1:4" x14ac:dyDescent="0.25">
      <c r="A1109" s="266" t="s">
        <v>1295</v>
      </c>
      <c r="B1109" s="274">
        <v>0.03</v>
      </c>
      <c r="C1109" s="274">
        <f>+'Rate Computation'!Q25</f>
        <v>0.03</v>
      </c>
      <c r="D1109" s="273">
        <f>+C1109-B1109</f>
        <v>0</v>
      </c>
    </row>
    <row r="1110" spans="1:4" x14ac:dyDescent="0.25">
      <c r="A1110" s="266" t="s">
        <v>1296</v>
      </c>
      <c r="B1110" s="267">
        <v>0</v>
      </c>
      <c r="C1110" s="267">
        <f>+C1090*C1109</f>
        <v>575618.93699999992</v>
      </c>
      <c r="D1110" s="272">
        <f t="shared" si="143"/>
        <v>575618.93699999992</v>
      </c>
    </row>
  </sheetData>
  <mergeCells count="144">
    <mergeCell ref="A1:D1"/>
    <mergeCell ref="A2:D2"/>
    <mergeCell ref="A3:D3"/>
    <mergeCell ref="A4:D4"/>
    <mergeCell ref="A33:D33"/>
    <mergeCell ref="A34:D34"/>
    <mergeCell ref="A94:D94"/>
    <mergeCell ref="A95:D95"/>
    <mergeCell ref="A96:D96"/>
    <mergeCell ref="A97:D97"/>
    <mergeCell ref="A124:D124"/>
    <mergeCell ref="A125:D125"/>
    <mergeCell ref="A35:D35"/>
    <mergeCell ref="A36:D36"/>
    <mergeCell ref="A63:D63"/>
    <mergeCell ref="A64:D64"/>
    <mergeCell ref="A65:D65"/>
    <mergeCell ref="A66:D66"/>
    <mergeCell ref="A185:D185"/>
    <mergeCell ref="A186:D186"/>
    <mergeCell ref="A187:D187"/>
    <mergeCell ref="A188:D188"/>
    <mergeCell ref="A216:D216"/>
    <mergeCell ref="A217:D217"/>
    <mergeCell ref="A126:D126"/>
    <mergeCell ref="A127:D127"/>
    <mergeCell ref="A154:D154"/>
    <mergeCell ref="A155:D155"/>
    <mergeCell ref="A156:D156"/>
    <mergeCell ref="A157:D157"/>
    <mergeCell ref="A277:D277"/>
    <mergeCell ref="A278:D278"/>
    <mergeCell ref="A279:D279"/>
    <mergeCell ref="A280:D280"/>
    <mergeCell ref="A307:D307"/>
    <mergeCell ref="A308:D308"/>
    <mergeCell ref="A218:D218"/>
    <mergeCell ref="A219:D219"/>
    <mergeCell ref="A245:D245"/>
    <mergeCell ref="A246:D246"/>
    <mergeCell ref="A247:D247"/>
    <mergeCell ref="A248:D248"/>
    <mergeCell ref="A368:D368"/>
    <mergeCell ref="A369:D369"/>
    <mergeCell ref="A370:D370"/>
    <mergeCell ref="A371:D371"/>
    <mergeCell ref="A398:D398"/>
    <mergeCell ref="A399:D399"/>
    <mergeCell ref="A309:D309"/>
    <mergeCell ref="A310:D310"/>
    <mergeCell ref="A338:D338"/>
    <mergeCell ref="A339:D339"/>
    <mergeCell ref="A340:D340"/>
    <mergeCell ref="A341:D341"/>
    <mergeCell ref="A460:D460"/>
    <mergeCell ref="A461:D461"/>
    <mergeCell ref="A462:D462"/>
    <mergeCell ref="A463:D463"/>
    <mergeCell ref="A493:D493"/>
    <mergeCell ref="A494:D494"/>
    <mergeCell ref="A400:D400"/>
    <mergeCell ref="A401:D401"/>
    <mergeCell ref="A429:D429"/>
    <mergeCell ref="A430:D430"/>
    <mergeCell ref="A431:D431"/>
    <mergeCell ref="A432:D432"/>
    <mergeCell ref="A555:D555"/>
    <mergeCell ref="A556:D556"/>
    <mergeCell ref="A557:D557"/>
    <mergeCell ref="A558:D558"/>
    <mergeCell ref="A586:D586"/>
    <mergeCell ref="A587:D587"/>
    <mergeCell ref="A495:D495"/>
    <mergeCell ref="A496:D496"/>
    <mergeCell ref="A525:D525"/>
    <mergeCell ref="A526:D526"/>
    <mergeCell ref="A527:D527"/>
    <mergeCell ref="A528:D528"/>
    <mergeCell ref="A646:D646"/>
    <mergeCell ref="A647:D647"/>
    <mergeCell ref="A648:D648"/>
    <mergeCell ref="A649:D649"/>
    <mergeCell ref="A677:D677"/>
    <mergeCell ref="A678:D678"/>
    <mergeCell ref="A588:D588"/>
    <mergeCell ref="A589:D589"/>
    <mergeCell ref="A616:D616"/>
    <mergeCell ref="A617:D617"/>
    <mergeCell ref="A618:D618"/>
    <mergeCell ref="A619:D619"/>
    <mergeCell ref="A740:D740"/>
    <mergeCell ref="A741:D741"/>
    <mergeCell ref="A742:D742"/>
    <mergeCell ref="A743:D743"/>
    <mergeCell ref="A770:D770"/>
    <mergeCell ref="A771:D771"/>
    <mergeCell ref="A679:D679"/>
    <mergeCell ref="A680:D680"/>
    <mergeCell ref="A708:D708"/>
    <mergeCell ref="A709:D709"/>
    <mergeCell ref="A710:D710"/>
    <mergeCell ref="A711:D711"/>
    <mergeCell ref="A831:D831"/>
    <mergeCell ref="A832:D832"/>
    <mergeCell ref="A833:D833"/>
    <mergeCell ref="A834:D834"/>
    <mergeCell ref="A861:D861"/>
    <mergeCell ref="A862:D862"/>
    <mergeCell ref="A772:D772"/>
    <mergeCell ref="A773:D773"/>
    <mergeCell ref="A801:D801"/>
    <mergeCell ref="A802:D802"/>
    <mergeCell ref="A803:D803"/>
    <mergeCell ref="A804:D804"/>
    <mergeCell ref="A923:D923"/>
    <mergeCell ref="A924:D924"/>
    <mergeCell ref="A925:D925"/>
    <mergeCell ref="A926:D926"/>
    <mergeCell ref="A953:D953"/>
    <mergeCell ref="A954:D954"/>
    <mergeCell ref="A863:D863"/>
    <mergeCell ref="A864:D864"/>
    <mergeCell ref="A892:D892"/>
    <mergeCell ref="A893:D893"/>
    <mergeCell ref="A894:D894"/>
    <mergeCell ref="A895:D895"/>
    <mergeCell ref="A1086:D1086"/>
    <mergeCell ref="A1087:D1087"/>
    <mergeCell ref="A1054:D1054"/>
    <mergeCell ref="A1055:D1055"/>
    <mergeCell ref="A1056:D1056"/>
    <mergeCell ref="A1057:D1057"/>
    <mergeCell ref="A1084:D1084"/>
    <mergeCell ref="A1085:D1085"/>
    <mergeCell ref="A955:D955"/>
    <mergeCell ref="A956:D956"/>
    <mergeCell ref="A984:D984"/>
    <mergeCell ref="A985:D985"/>
    <mergeCell ref="A986:D986"/>
    <mergeCell ref="A987:D987"/>
    <mergeCell ref="A1015:D1015"/>
    <mergeCell ref="A1016:D1016"/>
    <mergeCell ref="A1017:D1017"/>
    <mergeCell ref="A1018:D1018"/>
  </mergeCells>
  <pageMargins left="0.7" right="0.7" top="0.75" bottom="0.75" header="0.3" footer="0.3"/>
  <pageSetup orientation="portrait" horizontalDpi="1200" verticalDpi="1200" r:id="rId1"/>
  <customProperties>
    <customPr name="EpmWorksheetKeyString_GU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66"/>
  <sheetViews>
    <sheetView topLeftCell="E10" workbookViewId="0">
      <selection activeCell="W32" sqref="W32"/>
    </sheetView>
  </sheetViews>
  <sheetFormatPr defaultRowHeight="12.5" x14ac:dyDescent="0.25"/>
  <cols>
    <col min="3" max="3" width="44" customWidth="1"/>
    <col min="4" max="4" width="17.453125" customWidth="1"/>
    <col min="5" max="5" width="4.26953125" customWidth="1"/>
    <col min="7" max="7" width="7" customWidth="1"/>
    <col min="8" max="8" width="15.453125" customWidth="1"/>
    <col min="9" max="9" width="1.54296875" customWidth="1"/>
    <col min="11" max="11" width="11" customWidth="1"/>
    <col min="12" max="12" width="20.26953125" customWidth="1"/>
    <col min="13" max="13" width="1.1796875" customWidth="1"/>
    <col min="14" max="14" width="16" customWidth="1"/>
    <col min="15" max="15" width="9.7265625" bestFit="1" customWidth="1"/>
    <col min="16" max="16" width="20" customWidth="1"/>
    <col min="18" max="18" width="9.1796875" style="212"/>
  </cols>
  <sheetData>
    <row r="1" spans="1:18" x14ac:dyDescent="0.25">
      <c r="A1" s="372" t="s">
        <v>1211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</row>
    <row r="2" spans="1:18" x14ac:dyDescent="0.25">
      <c r="A2" t="s">
        <v>1229</v>
      </c>
    </row>
    <row r="3" spans="1:18" x14ac:dyDescent="0.25">
      <c r="A3" s="372" t="s">
        <v>1242</v>
      </c>
      <c r="B3" s="372"/>
      <c r="C3" s="372"/>
      <c r="D3" s="372"/>
      <c r="E3" s="372"/>
      <c r="F3" s="372"/>
      <c r="G3" s="372"/>
      <c r="H3" s="372"/>
      <c r="I3" s="372"/>
      <c r="J3" s="372"/>
      <c r="K3" s="372"/>
      <c r="L3" s="372"/>
      <c r="M3" s="372"/>
      <c r="N3" s="372"/>
    </row>
    <row r="4" spans="1:18" x14ac:dyDescent="0.25">
      <c r="A4" s="372" t="s">
        <v>1210</v>
      </c>
      <c r="B4" s="372"/>
      <c r="C4" s="372"/>
      <c r="D4" s="372"/>
      <c r="E4" s="372"/>
      <c r="F4" s="372"/>
      <c r="G4" s="372"/>
      <c r="H4" s="372"/>
      <c r="I4" s="372"/>
      <c r="J4" s="372"/>
      <c r="K4" s="372"/>
      <c r="L4" s="372"/>
      <c r="M4" s="372"/>
      <c r="N4" s="372"/>
    </row>
    <row r="5" spans="1:18" x14ac:dyDescent="0.25">
      <c r="A5" s="372" t="s">
        <v>1365</v>
      </c>
      <c r="B5" s="372"/>
      <c r="C5" s="372"/>
      <c r="D5" s="372"/>
      <c r="E5" s="372"/>
      <c r="F5" s="372"/>
      <c r="G5" s="372"/>
      <c r="H5" s="372"/>
      <c r="I5" s="372"/>
      <c r="J5" s="372"/>
      <c r="K5" s="372"/>
      <c r="L5" s="372"/>
      <c r="M5" s="372"/>
      <c r="N5" s="372"/>
    </row>
    <row r="6" spans="1:1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8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235" t="s">
        <v>1229</v>
      </c>
    </row>
    <row r="8" spans="1:18" x14ac:dyDescent="0.25">
      <c r="A8" s="1"/>
      <c r="B8" s="1"/>
      <c r="C8" s="1"/>
      <c r="D8" s="1"/>
      <c r="E8" s="1"/>
      <c r="F8" s="1" t="s">
        <v>1232</v>
      </c>
      <c r="G8" s="1"/>
      <c r="H8" s="1" t="s">
        <v>1234</v>
      </c>
      <c r="I8" s="1"/>
      <c r="J8" s="1" t="s">
        <v>1237</v>
      </c>
      <c r="K8" s="1"/>
      <c r="L8" s="1" t="s">
        <v>1216</v>
      </c>
      <c r="M8" s="1"/>
      <c r="N8" s="1" t="s">
        <v>1239</v>
      </c>
    </row>
    <row r="9" spans="1:18" x14ac:dyDescent="0.25">
      <c r="A9" s="1"/>
      <c r="B9" s="1"/>
      <c r="C9" s="1"/>
      <c r="D9" s="1" t="s">
        <v>1246</v>
      </c>
      <c r="E9" s="1"/>
      <c r="F9" s="1" t="s">
        <v>1233</v>
      </c>
      <c r="G9" s="1"/>
      <c r="H9" s="1" t="s">
        <v>1235</v>
      </c>
      <c r="I9" s="1"/>
      <c r="J9" s="1" t="s">
        <v>1233</v>
      </c>
      <c r="K9" s="1"/>
      <c r="L9" s="1" t="s">
        <v>1238</v>
      </c>
      <c r="M9" s="1"/>
      <c r="N9" s="1" t="s">
        <v>1240</v>
      </c>
      <c r="P9" s="1" t="s">
        <v>46</v>
      </c>
      <c r="Q9" s="1"/>
      <c r="R9" s="232" t="s">
        <v>1363</v>
      </c>
    </row>
    <row r="10" spans="1:18" x14ac:dyDescent="0.25">
      <c r="A10" s="1"/>
      <c r="B10" s="1"/>
      <c r="C10" s="1"/>
      <c r="D10" s="1" t="s">
        <v>59</v>
      </c>
      <c r="E10" s="1"/>
      <c r="F10" s="1" t="s">
        <v>21</v>
      </c>
      <c r="G10" s="1"/>
      <c r="H10" s="1" t="s">
        <v>1236</v>
      </c>
      <c r="I10" s="1"/>
      <c r="J10" s="1" t="s">
        <v>21</v>
      </c>
      <c r="K10" s="1"/>
      <c r="L10" s="1" t="s">
        <v>1236</v>
      </c>
      <c r="M10" s="1"/>
      <c r="N10" s="1" t="s">
        <v>1241</v>
      </c>
      <c r="P10" s="1" t="s">
        <v>1215</v>
      </c>
      <c r="Q10" s="1"/>
      <c r="R10" s="232" t="s">
        <v>11</v>
      </c>
    </row>
    <row r="11" spans="1:18" x14ac:dyDescent="0.25">
      <c r="A11" s="244" t="s">
        <v>9</v>
      </c>
      <c r="B11" s="244"/>
      <c r="C11" s="244" t="s">
        <v>1212</v>
      </c>
      <c r="D11" s="244" t="s">
        <v>1218</v>
      </c>
      <c r="E11" s="244"/>
      <c r="F11" s="244" t="s">
        <v>1219</v>
      </c>
      <c r="G11" s="244"/>
      <c r="H11" s="247" t="s">
        <v>1259</v>
      </c>
      <c r="I11" s="244"/>
      <c r="J11" s="247" t="s">
        <v>1243</v>
      </c>
      <c r="K11" s="244"/>
      <c r="L11" s="247" t="s">
        <v>1244</v>
      </c>
      <c r="M11" s="244"/>
      <c r="N11" s="247" t="s">
        <v>1245</v>
      </c>
      <c r="P11" s="244" t="s">
        <v>16</v>
      </c>
      <c r="Q11" s="244"/>
      <c r="R11" s="243" t="s">
        <v>16</v>
      </c>
    </row>
    <row r="12" spans="1:18" x14ac:dyDescent="0.25">
      <c r="A12" s="77" t="str">
        <f>'Rate Computation'!A14</f>
        <v>Intangible Plant</v>
      </c>
      <c r="C12" s="77"/>
      <c r="D12" s="232"/>
    </row>
    <row r="13" spans="1:18" x14ac:dyDescent="0.25">
      <c r="A13" s="77">
        <f>'Rate Computation'!A15</f>
        <v>30300</v>
      </c>
      <c r="C13" s="77" t="str">
        <f>'Rate Computation'!C15</f>
        <v>Misc Intangible Plant</v>
      </c>
      <c r="D13" s="246">
        <f>'Rate Computation'!D15</f>
        <v>815325.07000000007</v>
      </c>
      <c r="F13" s="234">
        <f>+'Proposed Rates'!J47</f>
        <v>0.04</v>
      </c>
      <c r="H13" s="246">
        <v>0</v>
      </c>
      <c r="J13" s="234">
        <v>0.04</v>
      </c>
      <c r="K13" s="281" t="s">
        <v>1353</v>
      </c>
      <c r="L13" s="246">
        <v>0</v>
      </c>
      <c r="M13" s="246"/>
      <c r="N13" s="246">
        <f>+L13-H13</f>
        <v>0</v>
      </c>
      <c r="P13">
        <v>0.5</v>
      </c>
      <c r="R13" s="212">
        <v>0</v>
      </c>
    </row>
    <row r="14" spans="1:18" x14ac:dyDescent="0.25">
      <c r="A14" s="77">
        <f>'Rate Computation'!A16</f>
        <v>30301</v>
      </c>
      <c r="C14" s="77" t="str">
        <f>'Rate Computation'!C16</f>
        <v>Custom Intangible Plant</v>
      </c>
      <c r="D14" s="246">
        <f>'Rate Computation'!D16</f>
        <v>110526643.99000001</v>
      </c>
      <c r="F14" s="234">
        <f>+'Proposed Rates'!J48</f>
        <v>6.6000000000000003E-2</v>
      </c>
      <c r="H14" s="246">
        <f t="shared" ref="H14:H47" si="0">+F14*D14</f>
        <v>7294758.5033400012</v>
      </c>
      <c r="J14" s="234">
        <f>ROUND('Rate Computation'!Q16,3)</f>
        <v>6.6000000000000003E-2</v>
      </c>
      <c r="L14" s="246">
        <f t="shared" ref="L14:L47" si="1">+D14*J14</f>
        <v>7294758.5033400012</v>
      </c>
      <c r="M14" s="246"/>
      <c r="N14" s="246">
        <f t="shared" ref="N14:N47" si="2">+L14-H14</f>
        <v>0</v>
      </c>
      <c r="P14">
        <v>9.6999999999999993</v>
      </c>
      <c r="R14" s="212">
        <v>10.534336762284255</v>
      </c>
    </row>
    <row r="15" spans="1:18" x14ac:dyDescent="0.25">
      <c r="A15" s="77"/>
      <c r="C15" s="77"/>
      <c r="D15" s="246"/>
      <c r="F15" s="234"/>
      <c r="H15" s="246"/>
      <c r="J15" s="234"/>
      <c r="L15" s="246"/>
      <c r="M15" s="246"/>
      <c r="N15" s="246"/>
      <c r="P15" s="212"/>
    </row>
    <row r="16" spans="1:18" x14ac:dyDescent="0.25">
      <c r="A16" s="77" t="str">
        <f>'Rate Computation'!A20</f>
        <v>Distribution</v>
      </c>
      <c r="D16" s="246"/>
      <c r="F16" s="234"/>
      <c r="H16" s="246"/>
      <c r="J16" s="234"/>
      <c r="L16" s="246"/>
      <c r="M16" s="246"/>
      <c r="N16" s="246"/>
      <c r="P16" s="212"/>
    </row>
    <row r="17" spans="1:18" x14ac:dyDescent="0.25">
      <c r="A17">
        <f>'Rate Computation'!A21</f>
        <v>37402</v>
      </c>
      <c r="C17" t="str">
        <f>'Rate Computation'!C21</f>
        <v>Land Rights</v>
      </c>
      <c r="D17" s="246">
        <f>'Rate Computation'!D21</f>
        <v>4268872.66</v>
      </c>
      <c r="F17" s="234">
        <f>+'Proposed Rates'!J16</f>
        <v>1.2999999999999999E-2</v>
      </c>
      <c r="G17" s="90"/>
      <c r="H17" s="246">
        <f t="shared" si="0"/>
        <v>55495.344579999997</v>
      </c>
      <c r="J17" s="234">
        <f>ROUND('Rate Computation'!Q21,3)</f>
        <v>1.2999999999999999E-2</v>
      </c>
      <c r="L17" s="246">
        <f t="shared" si="1"/>
        <v>55495.344579999997</v>
      </c>
      <c r="M17" s="246"/>
      <c r="N17" s="246">
        <f t="shared" si="2"/>
        <v>0</v>
      </c>
      <c r="P17">
        <v>59.86</v>
      </c>
      <c r="R17" s="212">
        <v>55.861004813856397</v>
      </c>
    </row>
    <row r="18" spans="1:18" x14ac:dyDescent="0.25">
      <c r="A18">
        <f>'Rate Computation'!A22</f>
        <v>37500</v>
      </c>
      <c r="C18" t="str">
        <f>'Rate Computation'!C22</f>
        <v>Structures &amp; Improvements</v>
      </c>
      <c r="D18" s="246">
        <f>'Rate Computation'!D22</f>
        <v>31386680.029999983</v>
      </c>
      <c r="F18" s="234">
        <f>+'Proposed Rates'!J17</f>
        <v>2.8000000000000001E-2</v>
      </c>
      <c r="G18" s="90"/>
      <c r="H18" s="246">
        <f t="shared" si="0"/>
        <v>878827.04083999956</v>
      </c>
      <c r="J18" s="234">
        <f>ROUND('Rate Computation'!Q22,3)</f>
        <v>2.8000000000000001E-2</v>
      </c>
      <c r="L18" s="246">
        <f t="shared" si="1"/>
        <v>878827.04083999956</v>
      </c>
      <c r="M18" s="246"/>
      <c r="N18" s="246">
        <f t="shared" si="2"/>
        <v>0</v>
      </c>
      <c r="P18">
        <v>25.9</v>
      </c>
      <c r="R18" s="212">
        <v>27.84390288172925</v>
      </c>
    </row>
    <row r="19" spans="1:18" x14ac:dyDescent="0.25">
      <c r="A19">
        <f>'Rate Computation'!A23</f>
        <v>37600</v>
      </c>
      <c r="C19" t="str">
        <f>'Rate Computation'!C23</f>
        <v>Mains Steel</v>
      </c>
      <c r="D19" s="246">
        <f>'Rate Computation'!D23</f>
        <v>826292081.17000031</v>
      </c>
      <c r="F19" s="234">
        <f>+'Proposed Rates'!J18</f>
        <v>2.1000000000000001E-2</v>
      </c>
      <c r="G19" s="90"/>
      <c r="H19" s="246">
        <f t="shared" si="0"/>
        <v>17352133.704570007</v>
      </c>
      <c r="J19" s="234">
        <f>ROUND('Rate Computation'!Q23,3)</f>
        <v>2.4E-2</v>
      </c>
      <c r="L19" s="246">
        <f t="shared" si="1"/>
        <v>19831009.948080007</v>
      </c>
      <c r="M19" s="246"/>
      <c r="N19" s="246">
        <f t="shared" si="2"/>
        <v>2478876.2435100004</v>
      </c>
      <c r="P19">
        <v>53.2</v>
      </c>
      <c r="R19" s="212">
        <v>54.669563555170619</v>
      </c>
    </row>
    <row r="20" spans="1:18" x14ac:dyDescent="0.25">
      <c r="A20">
        <f>'Rate Computation'!A24</f>
        <v>37602</v>
      </c>
      <c r="C20" t="str">
        <f>'Rate Computation'!C24</f>
        <v>Mains Plastic</v>
      </c>
      <c r="D20" s="246">
        <f>'Rate Computation'!D24</f>
        <v>961474232.54999995</v>
      </c>
      <c r="F20" s="234">
        <f>+'Proposed Rates'!J19</f>
        <v>1.6E-2</v>
      </c>
      <c r="G20" s="90"/>
      <c r="H20" s="246">
        <f t="shared" si="0"/>
        <v>15383587.720799999</v>
      </c>
      <c r="J20" s="234">
        <f>ROUND('Rate Computation'!Q24,3)</f>
        <v>1.7999999999999999E-2</v>
      </c>
      <c r="L20" s="246">
        <f t="shared" si="1"/>
        <v>17306536.185899999</v>
      </c>
      <c r="M20" s="246"/>
      <c r="N20" s="246">
        <f t="shared" si="2"/>
        <v>1922948.4650999997</v>
      </c>
      <c r="P20">
        <v>65.7</v>
      </c>
      <c r="R20" s="212">
        <v>67.333982178474372</v>
      </c>
    </row>
    <row r="21" spans="1:18" x14ac:dyDescent="0.25">
      <c r="A21">
        <f>'Rate Computation'!A25</f>
        <v>37700</v>
      </c>
      <c r="C21" t="str">
        <f>'Rate Computation'!C25</f>
        <v>Compressor Equipment</v>
      </c>
      <c r="D21" s="246">
        <f>'Rate Computation'!D25</f>
        <v>19187297.899999999</v>
      </c>
      <c r="F21" s="234">
        <f>+'Proposed Rates'!J20</f>
        <v>0.03</v>
      </c>
      <c r="G21" s="90"/>
      <c r="H21" s="246">
        <f t="shared" ref="H21" si="3">+F21*D21</f>
        <v>575618.93699999992</v>
      </c>
      <c r="J21" s="234">
        <f>ROUND('Rate Computation'!Q25,3)</f>
        <v>0.03</v>
      </c>
      <c r="L21" s="246">
        <f t="shared" ref="L21" si="4">+D21*J21</f>
        <v>575618.93699999992</v>
      </c>
      <c r="M21" s="246"/>
      <c r="N21" s="246">
        <f t="shared" ref="N21" si="5">+L21-H21</f>
        <v>0</v>
      </c>
      <c r="P21">
        <v>35</v>
      </c>
      <c r="R21" s="212">
        <v>31.875409199669306</v>
      </c>
    </row>
    <row r="22" spans="1:18" x14ac:dyDescent="0.25">
      <c r="A22">
        <f>'Rate Computation'!A26</f>
        <v>37800</v>
      </c>
      <c r="C22" t="str">
        <f>'Rate Computation'!C26</f>
        <v>Meas &amp; Reg Station Eqp Gen</v>
      </c>
      <c r="D22" s="246">
        <f>'Rate Computation'!D26</f>
        <v>22151056.50999999</v>
      </c>
      <c r="F22" s="234">
        <f>+'Proposed Rates'!J21</f>
        <v>2.7E-2</v>
      </c>
      <c r="G22" s="90"/>
      <c r="H22" s="246">
        <f t="shared" si="0"/>
        <v>598078.52576999972</v>
      </c>
      <c r="J22" s="234">
        <f>ROUND('Rate Computation'!Q26,3)</f>
        <v>0.03</v>
      </c>
      <c r="L22" s="246">
        <f t="shared" si="1"/>
        <v>664531.69529999967</v>
      </c>
      <c r="M22" s="246"/>
      <c r="N22" s="246">
        <f t="shared" si="2"/>
        <v>66453.169529999956</v>
      </c>
      <c r="P22">
        <v>32.1</v>
      </c>
      <c r="R22" s="212">
        <v>30.823834421347936</v>
      </c>
    </row>
    <row r="23" spans="1:18" x14ac:dyDescent="0.25">
      <c r="A23">
        <f>'Rate Computation'!A27</f>
        <v>37900</v>
      </c>
      <c r="C23" t="str">
        <f>'Rate Computation'!C27</f>
        <v>Meas &amp; Reg Station Eqp City</v>
      </c>
      <c r="D23" s="246">
        <f>'Rate Computation'!D27</f>
        <v>116022316.77999997</v>
      </c>
      <c r="F23" s="234">
        <f>+'Proposed Rates'!J22</f>
        <v>2.1000000000000001E-2</v>
      </c>
      <c r="G23" s="90"/>
      <c r="H23" s="246">
        <f t="shared" si="0"/>
        <v>2436468.6523799994</v>
      </c>
      <c r="J23" s="234">
        <f>ROUND('Rate Computation'!Q27,3)</f>
        <v>2.1999999999999999E-2</v>
      </c>
      <c r="L23" s="246">
        <f t="shared" si="1"/>
        <v>2552490.9691599994</v>
      </c>
      <c r="M23" s="246"/>
      <c r="N23" s="246">
        <f t="shared" si="2"/>
        <v>116022.31677999999</v>
      </c>
      <c r="P23">
        <v>45.5</v>
      </c>
      <c r="R23" s="212">
        <v>45.90457784266907</v>
      </c>
    </row>
    <row r="24" spans="1:18" x14ac:dyDescent="0.25">
      <c r="A24">
        <f>'Rate Computation'!A28</f>
        <v>38000</v>
      </c>
      <c r="C24" t="str">
        <f>'Rate Computation'!C28</f>
        <v>Services Steel</v>
      </c>
      <c r="D24" s="246">
        <f>'Rate Computation'!D28</f>
        <v>68085342.289999977</v>
      </c>
      <c r="F24" s="234">
        <f>+'Proposed Rates'!J23</f>
        <v>0.04</v>
      </c>
      <c r="G24" s="90"/>
      <c r="H24" s="246">
        <f t="shared" si="0"/>
        <v>2723413.6915999991</v>
      </c>
      <c r="J24" s="234">
        <f>ROUND('Rate Computation'!Q28,3)</f>
        <v>4.2999999999999997E-2</v>
      </c>
      <c r="L24" s="246">
        <f t="shared" si="1"/>
        <v>2927669.7184699988</v>
      </c>
      <c r="M24" s="246"/>
      <c r="N24" s="246">
        <f t="shared" si="2"/>
        <v>204256.02686999971</v>
      </c>
      <c r="P24">
        <v>38.299999999999997</v>
      </c>
      <c r="R24" s="212">
        <v>38.747125865709364</v>
      </c>
    </row>
    <row r="25" spans="1:18" x14ac:dyDescent="0.25">
      <c r="A25">
        <f>'Rate Computation'!A29</f>
        <v>38002</v>
      </c>
      <c r="C25" t="str">
        <f>'Rate Computation'!C29</f>
        <v>Services Plastic</v>
      </c>
      <c r="D25" s="246">
        <f>'Rate Computation'!D29</f>
        <v>610080538.33000004</v>
      </c>
      <c r="F25" s="234">
        <f>+'Proposed Rates'!J24</f>
        <v>2.7E-2</v>
      </c>
      <c r="G25" s="90"/>
      <c r="H25" s="246">
        <f t="shared" si="0"/>
        <v>16472174.534910001</v>
      </c>
      <c r="J25" s="234">
        <f>ROUND('Rate Computation'!Q29,3)</f>
        <v>3.1E-2</v>
      </c>
      <c r="L25" s="246">
        <f t="shared" si="1"/>
        <v>18912496.68823</v>
      </c>
      <c r="M25" s="246"/>
      <c r="N25" s="246">
        <f t="shared" si="2"/>
        <v>2440322.1533199996</v>
      </c>
      <c r="P25">
        <v>46</v>
      </c>
      <c r="R25" s="212">
        <v>46.257022570121585</v>
      </c>
    </row>
    <row r="26" spans="1:18" x14ac:dyDescent="0.25">
      <c r="A26">
        <f>'Rate Computation'!A30</f>
        <v>38100</v>
      </c>
      <c r="C26" t="str">
        <f>'Rate Computation'!C30</f>
        <v>Meters</v>
      </c>
      <c r="D26" s="246">
        <f>'Rate Computation'!D30</f>
        <v>99270694.280000001</v>
      </c>
      <c r="F26" s="234">
        <f>+'Proposed Rates'!J25</f>
        <v>0.05</v>
      </c>
      <c r="G26" s="90"/>
      <c r="H26" s="246">
        <f t="shared" si="0"/>
        <v>4963534.7140000006</v>
      </c>
      <c r="J26" s="234">
        <f>ROUND('Rate Computation'!Q30,3)</f>
        <v>4.7E-2</v>
      </c>
      <c r="L26" s="246">
        <f t="shared" si="1"/>
        <v>4665722.6311600003</v>
      </c>
      <c r="M26" s="246"/>
      <c r="N26" s="246">
        <f t="shared" si="2"/>
        <v>-297812.08284000028</v>
      </c>
      <c r="P26">
        <v>11.7</v>
      </c>
      <c r="R26" s="212">
        <v>12.80616217522196</v>
      </c>
    </row>
    <row r="27" spans="1:18" x14ac:dyDescent="0.25">
      <c r="A27">
        <f>'Rate Computation'!A31</f>
        <v>38200</v>
      </c>
      <c r="C27" t="str">
        <f>'Rate Computation'!C31</f>
        <v>Meter Installations</v>
      </c>
      <c r="D27" s="246">
        <f>'Rate Computation'!D31</f>
        <v>105820491.27000003</v>
      </c>
      <c r="F27" s="234">
        <f>+'Proposed Rates'!J26</f>
        <v>2.1999999999999999E-2</v>
      </c>
      <c r="G27" s="90"/>
      <c r="H27" s="246">
        <f t="shared" si="0"/>
        <v>2328050.8079400002</v>
      </c>
      <c r="J27" s="234">
        <f>ROUND('Rate Computation'!Q31,3)</f>
        <v>2.5999999999999999E-2</v>
      </c>
      <c r="L27" s="246">
        <f t="shared" si="1"/>
        <v>2751332.7730200007</v>
      </c>
      <c r="M27" s="246"/>
      <c r="N27" s="246">
        <f t="shared" si="2"/>
        <v>423281.96508000046</v>
      </c>
      <c r="P27">
        <v>35.6</v>
      </c>
      <c r="R27" s="212">
        <v>37.422411158016857</v>
      </c>
    </row>
    <row r="28" spans="1:18" x14ac:dyDescent="0.25">
      <c r="A28">
        <f>'Rate Computation'!A32</f>
        <v>38300</v>
      </c>
      <c r="C28" t="str">
        <f>'Rate Computation'!C32</f>
        <v>House Regulators</v>
      </c>
      <c r="D28" s="246">
        <f>'Rate Computation'!D32</f>
        <v>20766817.199999996</v>
      </c>
      <c r="F28" s="234">
        <f>+'Proposed Rates'!J27</f>
        <v>1.7999999999999999E-2</v>
      </c>
      <c r="G28" s="90"/>
      <c r="H28" s="246">
        <f t="shared" si="0"/>
        <v>373802.70959999989</v>
      </c>
      <c r="J28" s="234">
        <f>ROUND('Rate Computation'!Q32,3)</f>
        <v>0.02</v>
      </c>
      <c r="L28" s="246">
        <f t="shared" si="1"/>
        <v>415336.34399999992</v>
      </c>
      <c r="M28" s="246"/>
      <c r="N28" s="246">
        <f t="shared" si="2"/>
        <v>41533.634400000039</v>
      </c>
      <c r="P28">
        <v>28.9</v>
      </c>
      <c r="R28" s="212">
        <v>28.141857448609773</v>
      </c>
    </row>
    <row r="29" spans="1:18" x14ac:dyDescent="0.25">
      <c r="A29">
        <f>'Rate Computation'!A33</f>
        <v>38400</v>
      </c>
      <c r="C29" t="str">
        <f>'Rate Computation'!C33</f>
        <v>House Regulator Installs</v>
      </c>
      <c r="D29" s="246">
        <f>'Rate Computation'!D33</f>
        <v>38677154.929999985</v>
      </c>
      <c r="F29" s="234">
        <f>+'Proposed Rates'!J28</f>
        <v>1.9E-2</v>
      </c>
      <c r="G29" s="90"/>
      <c r="H29" s="246">
        <f t="shared" si="0"/>
        <v>734865.94366999972</v>
      </c>
      <c r="J29" s="234">
        <f>ROUND('Rate Computation'!Q33,3)</f>
        <v>2.4E-2</v>
      </c>
      <c r="L29" s="246">
        <f t="shared" si="1"/>
        <v>928251.71831999964</v>
      </c>
      <c r="M29" s="246"/>
      <c r="N29" s="246">
        <f t="shared" si="2"/>
        <v>193385.77464999992</v>
      </c>
      <c r="P29">
        <v>37.299999999999997</v>
      </c>
      <c r="R29" s="212">
        <v>37.147776723231274</v>
      </c>
    </row>
    <row r="30" spans="1:18" x14ac:dyDescent="0.25">
      <c r="A30">
        <f>'Rate Computation'!A34</f>
        <v>38500</v>
      </c>
      <c r="C30" t="str">
        <f>'Rate Computation'!C34</f>
        <v>Meas &amp; Reg Station Eqp Ind</v>
      </c>
      <c r="D30" s="246">
        <f>'Rate Computation'!D34</f>
        <v>15196826.639999999</v>
      </c>
      <c r="F30" s="234">
        <f>+'Proposed Rates'!J29</f>
        <v>2.3E-2</v>
      </c>
      <c r="G30" s="90"/>
      <c r="H30" s="246">
        <f t="shared" si="0"/>
        <v>349527.01271999994</v>
      </c>
      <c r="J30" s="234">
        <f>ROUND('Rate Computation'!Q34,3)</f>
        <v>2.1999999999999999E-2</v>
      </c>
      <c r="L30" s="246">
        <f t="shared" si="1"/>
        <v>334330.18607999996</v>
      </c>
      <c r="M30" s="246"/>
      <c r="N30" s="246">
        <f t="shared" si="2"/>
        <v>-15196.826639999985</v>
      </c>
      <c r="P30">
        <v>20</v>
      </c>
      <c r="R30" s="212">
        <v>23.493268546577429</v>
      </c>
    </row>
    <row r="31" spans="1:18" x14ac:dyDescent="0.25">
      <c r="A31">
        <f>'Rate Computation'!A35</f>
        <v>38700</v>
      </c>
      <c r="C31" t="str">
        <f>'Rate Computation'!C35</f>
        <v>Other Equipment</v>
      </c>
      <c r="D31" s="246">
        <f>'Rate Computation'!D35</f>
        <v>13431843.029999996</v>
      </c>
      <c r="F31" s="234">
        <f>+'Proposed Rates'!J31</f>
        <v>0.03</v>
      </c>
      <c r="G31" s="90"/>
      <c r="H31" s="246">
        <f t="shared" si="0"/>
        <v>402955.29089999985</v>
      </c>
      <c r="J31" s="234">
        <f>ROUND('Rate Computation'!Q35,3)</f>
        <v>0.03</v>
      </c>
      <c r="L31" s="246">
        <f t="shared" si="1"/>
        <v>402955.29089999985</v>
      </c>
      <c r="M31" s="246"/>
      <c r="N31" s="246">
        <f t="shared" si="2"/>
        <v>0</v>
      </c>
      <c r="P31">
        <v>17.100000000000001</v>
      </c>
      <c r="R31" s="212">
        <v>19.25358481757295</v>
      </c>
    </row>
    <row r="32" spans="1:18" x14ac:dyDescent="0.25">
      <c r="A32" s="77"/>
      <c r="C32" s="77"/>
      <c r="D32" s="246">
        <f>SUM(D17:D31)</f>
        <v>2952112245.5700002</v>
      </c>
      <c r="E32" s="246"/>
      <c r="F32" s="246"/>
      <c r="G32" s="246"/>
      <c r="H32" s="246"/>
      <c r="I32" s="246"/>
      <c r="J32" s="246"/>
      <c r="K32" s="246"/>
      <c r="L32" s="246"/>
      <c r="M32" s="246"/>
      <c r="N32" s="246"/>
      <c r="O32" s="246"/>
    </row>
    <row r="33" spans="1:18" x14ac:dyDescent="0.25">
      <c r="A33" s="77" t="str">
        <f>'Rate Computation'!A45</f>
        <v>General</v>
      </c>
      <c r="D33" s="246"/>
      <c r="F33" s="234"/>
      <c r="H33" s="246"/>
      <c r="J33" s="234"/>
      <c r="L33" s="246"/>
      <c r="M33" s="246"/>
      <c r="N33" s="246"/>
      <c r="P33" s="212"/>
    </row>
    <row r="34" spans="1:18" x14ac:dyDescent="0.25">
      <c r="A34">
        <f>'Rate Computation'!A46</f>
        <v>39000</v>
      </c>
      <c r="C34" t="str">
        <f>'Rate Computation'!C46</f>
        <v>Structures &amp; Improvements</v>
      </c>
      <c r="D34" s="246">
        <f>'Rate Computation'!D46</f>
        <v>663068.9</v>
      </c>
      <c r="F34" s="234">
        <f>+'Proposed Rates'!J54</f>
        <v>2.4E-2</v>
      </c>
      <c r="G34" s="90"/>
      <c r="H34" s="246">
        <f t="shared" si="0"/>
        <v>15913.653600000001</v>
      </c>
      <c r="J34" s="234">
        <f>'Rate Computation'!Q46</f>
        <v>4.1000000000000002E-2</v>
      </c>
      <c r="L34" s="246">
        <f t="shared" si="1"/>
        <v>27185.824900000003</v>
      </c>
      <c r="M34" s="246"/>
      <c r="N34" s="246">
        <f t="shared" si="2"/>
        <v>11272.171300000002</v>
      </c>
      <c r="P34">
        <v>20.9</v>
      </c>
      <c r="R34" s="212">
        <v>22.876068219495995</v>
      </c>
    </row>
    <row r="35" spans="1:18" x14ac:dyDescent="0.25">
      <c r="A35">
        <f>'Rate Computation'!A47</f>
        <v>39100</v>
      </c>
      <c r="C35" t="str">
        <f>'Rate Computation'!C47</f>
        <v>Office Furniture</v>
      </c>
      <c r="D35" s="246">
        <f>'Rate Computation'!D47</f>
        <v>2151949.7299999995</v>
      </c>
      <c r="F35" s="234">
        <f>+'Proposed Rates'!J55</f>
        <v>5.8999999999999997E-2</v>
      </c>
      <c r="G35" s="90"/>
      <c r="H35" s="246">
        <f t="shared" si="0"/>
        <v>126965.03406999997</v>
      </c>
      <c r="J35" s="234">
        <f>'Rate Computation'!Q47</f>
        <v>5.0999999999999997E-2</v>
      </c>
      <c r="L35" s="246">
        <f t="shared" si="1"/>
        <v>109749.43622999996</v>
      </c>
      <c r="M35" s="246"/>
      <c r="N35" s="246">
        <f t="shared" si="2"/>
        <v>-17215.597840000002</v>
      </c>
      <c r="P35">
        <v>14.5</v>
      </c>
      <c r="R35" s="212">
        <v>8.6281685737898286</v>
      </c>
    </row>
    <row r="36" spans="1:18" x14ac:dyDescent="0.25">
      <c r="A36">
        <f>'Rate Computation'!A48</f>
        <v>39101</v>
      </c>
      <c r="C36" t="str">
        <f>'Rate Computation'!C48</f>
        <v>Computer Equipment</v>
      </c>
      <c r="D36" s="246">
        <f>'Rate Computation'!D48</f>
        <v>5932305.8570000008</v>
      </c>
      <c r="F36" s="234">
        <f>+'Proposed Rates'!J56</f>
        <v>0.111</v>
      </c>
      <c r="G36" s="90"/>
      <c r="H36" s="246">
        <f t="shared" si="0"/>
        <v>658485.95012700011</v>
      </c>
      <c r="J36" s="234">
        <f>'Rate Computation'!Q48</f>
        <v>7.8E-2</v>
      </c>
      <c r="L36" s="246">
        <f t="shared" si="1"/>
        <v>462719.85684600007</v>
      </c>
      <c r="M36" s="246"/>
      <c r="N36" s="246">
        <f t="shared" si="2"/>
        <v>-195766.09328100004</v>
      </c>
      <c r="P36">
        <v>5.2</v>
      </c>
      <c r="R36" s="212">
        <v>4.8612938925527258</v>
      </c>
    </row>
    <row r="37" spans="1:18" x14ac:dyDescent="0.25">
      <c r="A37">
        <f>'Rate Computation'!A49</f>
        <v>39102</v>
      </c>
      <c r="C37" t="str">
        <f>'Rate Computation'!C49</f>
        <v>Office Equipment</v>
      </c>
      <c r="D37" s="246">
        <f>'Rate Computation'!D49</f>
        <v>1529673.7899999998</v>
      </c>
      <c r="F37" s="234">
        <f>+'Proposed Rates'!J57</f>
        <v>6.7000000000000004E-2</v>
      </c>
      <c r="G37" s="90"/>
      <c r="H37" s="246">
        <f t="shared" si="0"/>
        <v>102488.14392999999</v>
      </c>
      <c r="J37" s="234">
        <f>'Rate Computation'!Q49</f>
        <v>6.3E-2</v>
      </c>
      <c r="L37" s="246">
        <f t="shared" si="1"/>
        <v>96369.448769999988</v>
      </c>
      <c r="M37" s="246"/>
      <c r="N37" s="246">
        <f t="shared" si="2"/>
        <v>-6118.6951600000029</v>
      </c>
      <c r="P37">
        <v>13.1</v>
      </c>
      <c r="R37" s="212">
        <v>5.0181124467066933</v>
      </c>
    </row>
    <row r="38" spans="1:18" x14ac:dyDescent="0.25">
      <c r="A38">
        <f>'Rate Computation'!A50</f>
        <v>39201</v>
      </c>
      <c r="C38" t="str">
        <f>'Rate Computation'!C50</f>
        <v>Vehicles up to 1/2 Tons</v>
      </c>
      <c r="D38" s="246">
        <f>'Rate Computation'!D50</f>
        <v>15381575.261000002</v>
      </c>
      <c r="F38" s="234">
        <f>+'Proposed Rates'!J38</f>
        <v>7.0000000000000007E-2</v>
      </c>
      <c r="G38" s="90"/>
      <c r="H38" s="246">
        <f t="shared" si="0"/>
        <v>1076710.2682700001</v>
      </c>
      <c r="J38" s="234">
        <f>ROUND('Rate Computation'!Q50,3)</f>
        <v>9.5000000000000001E-2</v>
      </c>
      <c r="L38" s="246">
        <f t="shared" si="1"/>
        <v>1461249.6497950002</v>
      </c>
      <c r="M38" s="246"/>
      <c r="N38" s="246">
        <f t="shared" si="2"/>
        <v>384539.38152500009</v>
      </c>
      <c r="P38">
        <v>5.6</v>
      </c>
      <c r="R38" s="212">
        <v>5.3913796326334404</v>
      </c>
    </row>
    <row r="39" spans="1:18" x14ac:dyDescent="0.25">
      <c r="A39">
        <f>'Rate Computation'!A51</f>
        <v>39202</v>
      </c>
      <c r="C39" t="str">
        <f>'Rate Computation'!C51</f>
        <v>Vehicles from 1/2 - 1 Tons</v>
      </c>
      <c r="D39" s="246">
        <f>'Rate Computation'!D51</f>
        <v>17803654.689999994</v>
      </c>
      <c r="F39" s="234">
        <f>+'Proposed Rates'!J39</f>
        <v>5.6000000000000001E-2</v>
      </c>
      <c r="G39" s="90"/>
      <c r="H39" s="246">
        <f t="shared" si="0"/>
        <v>997004.66263999965</v>
      </c>
      <c r="J39" s="234">
        <f>ROUND('Rate Computation'!Q51,3)</f>
        <v>7.4999999999999997E-2</v>
      </c>
      <c r="L39" s="246">
        <f t="shared" si="1"/>
        <v>1335274.1017499994</v>
      </c>
      <c r="M39" s="246"/>
      <c r="N39" s="246">
        <f t="shared" si="2"/>
        <v>338269.4391099998</v>
      </c>
      <c r="P39">
        <v>6.2</v>
      </c>
      <c r="R39" s="212">
        <v>4.8959083213442938</v>
      </c>
    </row>
    <row r="40" spans="1:18" x14ac:dyDescent="0.25">
      <c r="A40">
        <f>'Rate Computation'!A52</f>
        <v>39204</v>
      </c>
      <c r="C40" t="str">
        <f>'Rate Computation'!C52</f>
        <v>Trailers &amp; Other</v>
      </c>
      <c r="D40" s="246">
        <f>'Rate Computation'!D52</f>
        <v>4611626.0700000012</v>
      </c>
      <c r="F40" s="234">
        <f>+'Proposed Rates'!J40</f>
        <v>2.9000000000000001E-2</v>
      </c>
      <c r="G40" s="90"/>
      <c r="H40" s="246">
        <f t="shared" si="0"/>
        <v>133737.15603000004</v>
      </c>
      <c r="J40" s="234">
        <f>ROUND('Rate Computation'!Q52,3)</f>
        <v>2.4E-2</v>
      </c>
      <c r="L40" s="246">
        <f t="shared" si="1"/>
        <v>110679.02568000004</v>
      </c>
      <c r="M40" s="246"/>
      <c r="N40" s="246">
        <f t="shared" si="2"/>
        <v>-23058.130350000007</v>
      </c>
      <c r="P40">
        <v>22.6</v>
      </c>
      <c r="R40" s="212">
        <v>25.152054599291752</v>
      </c>
    </row>
    <row r="41" spans="1:18" x14ac:dyDescent="0.25">
      <c r="A41">
        <f>'Rate Computation'!A53</f>
        <v>39205</v>
      </c>
      <c r="C41" t="str">
        <f>'Rate Computation'!C53</f>
        <v>Vehicles over 1 Ton</v>
      </c>
      <c r="D41" s="246">
        <f>'Rate Computation'!D53</f>
        <v>2564139.23</v>
      </c>
      <c r="F41" s="234">
        <f>+'Proposed Rates'!J41</f>
        <v>6.6000000000000003E-2</v>
      </c>
      <c r="G41" s="90"/>
      <c r="H41" s="246">
        <f t="shared" si="0"/>
        <v>169233.18918000002</v>
      </c>
      <c r="J41" s="234">
        <f>ROUND('Rate Computation'!Q53,3)</f>
        <v>5.8000000000000003E-2</v>
      </c>
      <c r="L41" s="246">
        <f t="shared" si="1"/>
        <v>148720.07534000001</v>
      </c>
      <c r="M41" s="246"/>
      <c r="N41" s="246">
        <f t="shared" si="2"/>
        <v>-20513.113840000005</v>
      </c>
      <c r="P41">
        <v>6.6</v>
      </c>
      <c r="R41" s="212">
        <v>6.9471357509861367</v>
      </c>
    </row>
    <row r="42" spans="1:18" x14ac:dyDescent="0.25">
      <c r="A42">
        <f>'Rate Computation'!A54</f>
        <v>39300</v>
      </c>
      <c r="C42" t="str">
        <f>'Rate Computation'!C54</f>
        <v>Stores Equipment</v>
      </c>
      <c r="D42" s="246">
        <f>'Rate Computation'!D54</f>
        <v>1283.3900000000001</v>
      </c>
      <c r="F42" s="234">
        <f>+'Proposed Rates'!J61</f>
        <v>4.2000000000000003E-2</v>
      </c>
      <c r="G42" s="90"/>
      <c r="H42" s="246">
        <f t="shared" si="0"/>
        <v>53.902380000000008</v>
      </c>
      <c r="J42" s="234">
        <f>ROUND('Rate Computation'!Q54,3)</f>
        <v>4.2999999999999997E-2</v>
      </c>
      <c r="L42" s="246">
        <f t="shared" si="1"/>
        <v>55.185769999999998</v>
      </c>
      <c r="M42" s="246"/>
      <c r="N42" s="246">
        <f t="shared" si="2"/>
        <v>1.28338999999999</v>
      </c>
      <c r="P42">
        <v>18.5</v>
      </c>
      <c r="R42" s="212">
        <v>11.5</v>
      </c>
    </row>
    <row r="43" spans="1:18" x14ac:dyDescent="0.25">
      <c r="A43">
        <f>'Rate Computation'!A55</f>
        <v>39400</v>
      </c>
      <c r="C43" t="str">
        <f>'Rate Computation'!C55</f>
        <v>Tools, Shop &amp; Garage Equip</v>
      </c>
      <c r="D43" s="246">
        <f>'Rate Computation'!D55</f>
        <v>8587697.3599999994</v>
      </c>
      <c r="F43" s="234">
        <f>+'Proposed Rates'!J62</f>
        <v>5.6000000000000001E-2</v>
      </c>
      <c r="G43" s="90"/>
      <c r="H43" s="246">
        <f t="shared" si="0"/>
        <v>480911.05215999996</v>
      </c>
      <c r="J43" s="234">
        <f>ROUND('Rate Computation'!Q55,3)</f>
        <v>4.8000000000000001E-2</v>
      </c>
      <c r="L43" s="246">
        <f t="shared" si="1"/>
        <v>412209.47327999998</v>
      </c>
      <c r="M43" s="246"/>
      <c r="N43" s="246">
        <f t="shared" si="2"/>
        <v>-68701.578879999986</v>
      </c>
      <c r="P43">
        <v>11.4</v>
      </c>
      <c r="R43" s="212">
        <v>9.9824180096380797</v>
      </c>
    </row>
    <row r="44" spans="1:18" x14ac:dyDescent="0.25">
      <c r="A44">
        <f>'Rate Computation'!A56</f>
        <v>39401</v>
      </c>
      <c r="C44" t="str">
        <f>'Rate Computation'!C56</f>
        <v>CNG Station Equipment</v>
      </c>
      <c r="D44" s="246">
        <f>'Rate Computation'!D56</f>
        <v>3241792.7900000005</v>
      </c>
      <c r="F44" s="234">
        <f>+'Proposed Rates'!J63</f>
        <v>0.05</v>
      </c>
      <c r="G44" s="90"/>
      <c r="H44" s="246">
        <f t="shared" si="0"/>
        <v>162089.63950000005</v>
      </c>
      <c r="J44" s="234">
        <f>ROUND('Rate Computation'!Q56,3)</f>
        <v>5.0999999999999997E-2</v>
      </c>
      <c r="L44" s="246">
        <f t="shared" si="1"/>
        <v>165331.43229000003</v>
      </c>
      <c r="M44" s="246"/>
      <c r="N44" s="246">
        <f t="shared" si="2"/>
        <v>3241.7927899999777</v>
      </c>
      <c r="P44">
        <v>16.399999999999999</v>
      </c>
      <c r="R44" s="212">
        <v>13.935983084532676</v>
      </c>
    </row>
    <row r="45" spans="1:18" x14ac:dyDescent="0.25">
      <c r="A45">
        <f>'Rate Computation'!A57</f>
        <v>39600</v>
      </c>
      <c r="C45" t="str">
        <f>'Rate Computation'!C57</f>
        <v>Power Operated Equipment</v>
      </c>
      <c r="D45" s="246">
        <f>'Rate Computation'!D57</f>
        <v>3562012.9878999991</v>
      </c>
      <c r="F45" s="234">
        <f>'Proposed Rates'!J65</f>
        <v>2.7E-2</v>
      </c>
      <c r="G45" s="90"/>
      <c r="H45" s="246">
        <f t="shared" si="0"/>
        <v>96174.350673299981</v>
      </c>
      <c r="J45" s="234">
        <f>ROUND('Rate Computation'!Q57,3)</f>
        <v>2.9000000000000001E-2</v>
      </c>
      <c r="L45" s="246">
        <f t="shared" si="1"/>
        <v>103298.37664909998</v>
      </c>
      <c r="M45" s="246"/>
      <c r="N45" s="246">
        <f t="shared" si="2"/>
        <v>7124.0259758000029</v>
      </c>
      <c r="P45">
        <v>11.2</v>
      </c>
      <c r="R45" s="212">
        <v>11.50286458051837</v>
      </c>
    </row>
    <row r="46" spans="1:18" x14ac:dyDescent="0.25">
      <c r="A46">
        <f>'Rate Computation'!A58</f>
        <v>39700</v>
      </c>
      <c r="C46" t="str">
        <f>'Rate Computation'!C58</f>
        <v>Communication Equipment</v>
      </c>
      <c r="D46" s="246">
        <f>'Rate Computation'!D58</f>
        <v>3015264.3707999997</v>
      </c>
      <c r="F46" s="234">
        <f>'Proposed Rates'!J66</f>
        <v>7.6999999999999999E-2</v>
      </c>
      <c r="G46" s="90"/>
      <c r="H46" s="246">
        <v>0</v>
      </c>
      <c r="J46" s="234">
        <v>7.6999999999999999E-2</v>
      </c>
      <c r="K46" s="281" t="s">
        <v>1354</v>
      </c>
      <c r="L46" s="246">
        <v>0</v>
      </c>
      <c r="M46" s="246"/>
      <c r="N46" s="246">
        <f t="shared" si="2"/>
        <v>0</v>
      </c>
      <c r="P46">
        <v>4.7</v>
      </c>
      <c r="R46" s="212">
        <v>1.6712045651452556</v>
      </c>
    </row>
    <row r="47" spans="1:18" x14ac:dyDescent="0.25">
      <c r="A47">
        <f>'Rate Computation'!A59</f>
        <v>39800</v>
      </c>
      <c r="C47" t="str">
        <f>'Rate Computation'!C59</f>
        <v>Miscellaneous Equipment</v>
      </c>
      <c r="D47" s="246">
        <f>'Rate Computation'!D59</f>
        <v>749276.97410000011</v>
      </c>
      <c r="F47" s="234">
        <f>'Proposed Rates'!J67</f>
        <v>0.05</v>
      </c>
      <c r="G47" s="90"/>
      <c r="H47" s="246">
        <f t="shared" si="0"/>
        <v>37463.848705000004</v>
      </c>
      <c r="J47" s="234">
        <f>ROUND('Rate Computation'!Q59,3)</f>
        <v>4.2999999999999997E-2</v>
      </c>
      <c r="L47" s="246">
        <f t="shared" si="1"/>
        <v>32218.909886300004</v>
      </c>
      <c r="M47" s="246"/>
      <c r="N47" s="246">
        <f t="shared" si="2"/>
        <v>-5244.9388187000004</v>
      </c>
      <c r="P47">
        <v>16.8</v>
      </c>
      <c r="R47" s="212">
        <v>16.508388916867876</v>
      </c>
    </row>
    <row r="48" spans="1:18" x14ac:dyDescent="0.25">
      <c r="D48" s="246"/>
      <c r="F48" s="246"/>
      <c r="G48" s="246"/>
      <c r="H48" s="246"/>
      <c r="I48" s="246"/>
      <c r="J48" s="246"/>
      <c r="K48" s="246"/>
      <c r="L48" s="246"/>
      <c r="M48" s="246"/>
      <c r="N48" s="246"/>
      <c r="O48" s="246"/>
    </row>
    <row r="49" spans="1:18" x14ac:dyDescent="0.25">
      <c r="D49" s="246"/>
      <c r="F49" s="234"/>
      <c r="G49" s="90"/>
      <c r="H49" s="246"/>
      <c r="J49" s="234"/>
      <c r="L49" s="246"/>
      <c r="M49" s="246"/>
      <c r="N49" s="246"/>
      <c r="P49" s="212"/>
    </row>
    <row r="50" spans="1:18" x14ac:dyDescent="0.25">
      <c r="A50">
        <f>'Rate Computation'!A66</f>
        <v>33600</v>
      </c>
      <c r="C50" t="str">
        <f>'Rate Computation'!C66</f>
        <v>Renewable Natural Gas (RNG)</v>
      </c>
      <c r="D50" s="246">
        <f>'Rate Computation'!D66</f>
        <v>16109646.340000002</v>
      </c>
      <c r="F50" s="234">
        <f>'Proposed Rates'!J71</f>
        <v>3.5000000000000003E-2</v>
      </c>
      <c r="H50" s="246">
        <f t="shared" ref="H50:H52" si="6">+F50*D50</f>
        <v>563837.62190000014</v>
      </c>
      <c r="J50" s="234">
        <f>ROUND('Rate Computation'!Q66,3)</f>
        <v>3.4000000000000002E-2</v>
      </c>
      <c r="L50" s="246">
        <f t="shared" ref="L50:L52" si="7">+D50*J50</f>
        <v>547727.97556000005</v>
      </c>
      <c r="M50" s="246"/>
      <c r="N50" s="246">
        <f t="shared" ref="N50:N52" si="8">+L50-H50</f>
        <v>-16109.646340000094</v>
      </c>
      <c r="P50">
        <v>30</v>
      </c>
      <c r="R50" s="212">
        <v>28.649208999999999</v>
      </c>
    </row>
    <row r="51" spans="1:18" x14ac:dyDescent="0.25">
      <c r="A51">
        <v>33601</v>
      </c>
      <c r="C51" t="s">
        <v>1357</v>
      </c>
      <c r="D51" s="246">
        <f>'Rate Computation'!D79</f>
        <v>35668591.620000005</v>
      </c>
      <c r="F51" s="234">
        <v>6.7000000000000004E-2</v>
      </c>
      <c r="H51" s="246">
        <f t="shared" ref="H51" si="9">+F51*D51</f>
        <v>2389795.6385400007</v>
      </c>
      <c r="J51" s="234">
        <f>+F51</f>
        <v>6.7000000000000004E-2</v>
      </c>
      <c r="K51" s="281" t="s">
        <v>1362</v>
      </c>
      <c r="L51" s="246">
        <f t="shared" ref="L51" si="10">+D51*J51</f>
        <v>2389795.6385400007</v>
      </c>
      <c r="M51" s="246"/>
      <c r="N51" s="246">
        <f t="shared" ref="N51" si="11">+L51-H51</f>
        <v>0</v>
      </c>
      <c r="P51">
        <v>15</v>
      </c>
      <c r="R51" s="212">
        <v>13.5</v>
      </c>
    </row>
    <row r="52" spans="1:18" x14ac:dyDescent="0.25">
      <c r="A52">
        <f>'Rate Computation'!A68</f>
        <v>36400</v>
      </c>
      <c r="C52" t="str">
        <f>'Rate Computation'!C68</f>
        <v>Liquified Natural Gas (LNG)</v>
      </c>
      <c r="D52" s="246">
        <f>'Rate Computation'!D68</f>
        <v>1485380.05</v>
      </c>
      <c r="F52" s="234">
        <f>'Proposed Rates'!J73</f>
        <v>3.5000000000000003E-2</v>
      </c>
      <c r="H52" s="246">
        <f t="shared" si="6"/>
        <v>51988.301750000006</v>
      </c>
      <c r="J52" s="234">
        <f>ROUND('Rate Computation'!Q68,3)</f>
        <v>3.5000000000000003E-2</v>
      </c>
      <c r="L52" s="246">
        <f t="shared" si="7"/>
        <v>51988.301750000006</v>
      </c>
      <c r="M52" s="246"/>
      <c r="N52" s="246">
        <f t="shared" si="8"/>
        <v>0</v>
      </c>
      <c r="P52">
        <v>30</v>
      </c>
      <c r="R52" s="212">
        <v>28.659952957917831</v>
      </c>
    </row>
    <row r="53" spans="1:18" ht="13" thickBot="1" x14ac:dyDescent="0.3">
      <c r="C53" s="77" t="s">
        <v>34</v>
      </c>
      <c r="D53" s="248">
        <f>SUM(D13:D52)</f>
        <v>6138625399.6107988</v>
      </c>
      <c r="E53" s="249"/>
      <c r="F53" s="249"/>
      <c r="G53" s="249"/>
      <c r="H53" s="248">
        <f>SUM(H13:H52)</f>
        <v>79986145.548075363</v>
      </c>
      <c r="I53" s="248"/>
      <c r="J53" s="248"/>
      <c r="K53" s="250" t="s">
        <v>1229</v>
      </c>
      <c r="L53" s="248">
        <f>SUM(L13:L52)</f>
        <v>87951936.687416419</v>
      </c>
      <c r="M53" s="250" t="s">
        <v>1229</v>
      </c>
      <c r="N53" s="248">
        <f>SUM(N13:N52)</f>
        <v>7965791.1393411001</v>
      </c>
      <c r="P53" s="212"/>
    </row>
    <row r="54" spans="1:18" ht="13" thickTop="1" x14ac:dyDescent="0.25">
      <c r="P54" s="212"/>
    </row>
    <row r="55" spans="1:18" x14ac:dyDescent="0.25">
      <c r="A55" s="77" t="s">
        <v>1355</v>
      </c>
      <c r="C55" t="str">
        <f>'Report Table'!A60</f>
        <v xml:space="preserve">Account is fully accrued.  If assets are added, the Company proposes a rate of </v>
      </c>
      <c r="J55" s="234">
        <f>'Report Table'!C60</f>
        <v>0.04</v>
      </c>
      <c r="P55" s="212"/>
    </row>
    <row r="56" spans="1:18" x14ac:dyDescent="0.25">
      <c r="A56" s="77" t="s">
        <v>1356</v>
      </c>
      <c r="C56" t="s">
        <v>1352</v>
      </c>
      <c r="J56" s="234">
        <f>+'Report Table'!C950</f>
        <v>7.6923076923076927E-2</v>
      </c>
      <c r="L56" s="246"/>
      <c r="P56" s="212"/>
    </row>
    <row r="57" spans="1:18" x14ac:dyDescent="0.25">
      <c r="A57" s="77" t="s">
        <v>1359</v>
      </c>
      <c r="C57" s="77" t="s">
        <v>1360</v>
      </c>
      <c r="D57" s="4"/>
      <c r="P57" s="212"/>
    </row>
    <row r="58" spans="1:18" x14ac:dyDescent="0.25">
      <c r="P58" s="212"/>
    </row>
    <row r="59" spans="1:18" x14ac:dyDescent="0.25">
      <c r="H59" s="246"/>
      <c r="L59" s="246"/>
      <c r="P59" s="212"/>
    </row>
    <row r="60" spans="1:18" x14ac:dyDescent="0.25">
      <c r="P60" s="212"/>
    </row>
    <row r="61" spans="1:18" x14ac:dyDescent="0.25">
      <c r="H61" s="246"/>
      <c r="L61" s="246"/>
      <c r="M61" s="246"/>
      <c r="N61" s="246"/>
      <c r="P61" s="212"/>
    </row>
    <row r="62" spans="1:18" x14ac:dyDescent="0.25">
      <c r="D62" s="4"/>
      <c r="P62" s="212"/>
    </row>
    <row r="63" spans="1:18" x14ac:dyDescent="0.25">
      <c r="L63" s="246"/>
      <c r="P63" s="212"/>
    </row>
    <row r="64" spans="1:18" x14ac:dyDescent="0.25">
      <c r="P64" s="212"/>
    </row>
    <row r="65" spans="16:16" x14ac:dyDescent="0.25">
      <c r="P65" s="212"/>
    </row>
    <row r="66" spans="16:16" x14ac:dyDescent="0.25">
      <c r="P66" s="212"/>
    </row>
  </sheetData>
  <mergeCells count="4">
    <mergeCell ref="A1:N1"/>
    <mergeCell ref="A3:N3"/>
    <mergeCell ref="A4:N4"/>
    <mergeCell ref="A5:N5"/>
  </mergeCells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A1:AG89"/>
  <sheetViews>
    <sheetView topLeftCell="A4" zoomScaleNormal="100" workbookViewId="0">
      <selection activeCell="L16" sqref="L16"/>
    </sheetView>
  </sheetViews>
  <sheetFormatPr defaultRowHeight="12.5" x14ac:dyDescent="0.25"/>
  <cols>
    <col min="1" max="1" width="8.26953125" style="11" bestFit="1" customWidth="1"/>
    <col min="2" max="2" width="1.7265625" customWidth="1"/>
    <col min="3" max="3" width="31" bestFit="1" customWidth="1"/>
    <col min="4" max="4" width="1.7265625" customWidth="1"/>
    <col min="5" max="5" width="14.1796875" bestFit="1" customWidth="1"/>
    <col min="6" max="6" width="13" bestFit="1" customWidth="1"/>
    <col min="7" max="7" width="2.26953125" customWidth="1"/>
    <col min="8" max="8" width="6.81640625" bestFit="1" customWidth="1"/>
    <col min="9" max="9" width="11.453125" bestFit="1" customWidth="1"/>
    <col min="10" max="11" width="1.7265625" customWidth="1"/>
    <col min="12" max="12" width="6.81640625" bestFit="1" customWidth="1"/>
    <col min="13" max="13" width="11.453125" bestFit="1" customWidth="1"/>
    <col min="14" max="14" width="12.1796875" bestFit="1" customWidth="1"/>
    <col min="15" max="15" width="1" customWidth="1"/>
    <col min="16" max="16" width="17" style="101" customWidth="1"/>
    <col min="17" max="17" width="16.26953125" customWidth="1"/>
    <col min="18" max="18" width="13.7265625" bestFit="1" customWidth="1"/>
    <col min="19" max="19" width="3.26953125" customWidth="1"/>
    <col min="20" max="20" width="17.54296875" customWidth="1"/>
    <col min="33" max="33" width="12.81640625" style="257" bestFit="1" customWidth="1"/>
  </cols>
  <sheetData>
    <row r="1" spans="1:21" ht="16.5" x14ac:dyDescent="0.25">
      <c r="A1" s="129" t="s">
        <v>88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290"/>
      <c r="Q1" s="129"/>
      <c r="R1" s="129"/>
      <c r="S1" s="25"/>
    </row>
    <row r="2" spans="1:21" ht="16.5" x14ac:dyDescent="0.25">
      <c r="A2" s="129" t="str">
        <f>'Proposed Rates'!$A2</f>
        <v>2022 Depreciation Rate Review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290"/>
      <c r="Q2" s="129"/>
      <c r="R2" s="129"/>
      <c r="S2" s="25"/>
    </row>
    <row r="3" spans="1:21" ht="16.5" x14ac:dyDescent="0.25">
      <c r="A3" s="129" t="s">
        <v>63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290"/>
      <c r="Q3" s="129"/>
      <c r="R3" s="129"/>
      <c r="S3" s="25"/>
    </row>
    <row r="4" spans="1:21" ht="13" x14ac:dyDescent="0.25">
      <c r="A4" s="131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291"/>
      <c r="Q4" s="141"/>
      <c r="R4" s="141"/>
      <c r="S4" s="25"/>
    </row>
    <row r="5" spans="1:21" ht="13.5" thickBot="1" x14ac:dyDescent="0.3">
      <c r="A5" s="131"/>
      <c r="B5" s="141"/>
      <c r="C5" s="141"/>
      <c r="D5" s="141"/>
      <c r="E5" s="173" t="str">
        <f>'Proposed Rates'!$E5</f>
        <v>Settlement Proposed - Effective 1/1/2021</v>
      </c>
      <c r="F5" s="173"/>
      <c r="G5" s="173"/>
      <c r="H5" s="173"/>
      <c r="I5" s="173"/>
      <c r="J5" s="141"/>
      <c r="K5" s="141"/>
      <c r="L5" s="173" t="str">
        <f>'Proposed Rates'!M5</f>
        <v>Company Proposed - Effective 1/1/2023</v>
      </c>
      <c r="M5" s="173"/>
      <c r="N5" s="173"/>
      <c r="O5" s="173"/>
      <c r="P5" s="292"/>
      <c r="Q5" s="173"/>
      <c r="R5" s="173"/>
      <c r="S5" s="25"/>
    </row>
    <row r="6" spans="1:21" ht="13" x14ac:dyDescent="0.25">
      <c r="A6" s="174"/>
      <c r="B6" s="141"/>
      <c r="C6" s="141"/>
      <c r="D6" s="141"/>
      <c r="E6" s="141"/>
      <c r="F6" s="141"/>
      <c r="G6" s="141"/>
      <c r="H6" s="141"/>
      <c r="I6" s="141"/>
      <c r="J6" s="175"/>
      <c r="K6" s="141"/>
      <c r="L6" s="141"/>
      <c r="M6" s="141"/>
      <c r="N6" s="141"/>
      <c r="O6" s="141"/>
      <c r="P6" s="291"/>
      <c r="Q6" s="141"/>
      <c r="R6" s="141"/>
      <c r="S6" s="25"/>
    </row>
    <row r="7" spans="1:21" ht="13" x14ac:dyDescent="0.25">
      <c r="A7" s="174"/>
      <c r="B7" s="141"/>
      <c r="C7" s="141"/>
      <c r="D7" s="141"/>
      <c r="E7" s="141"/>
      <c r="F7" s="141"/>
      <c r="G7" s="141"/>
      <c r="H7" s="141"/>
      <c r="I7" s="141"/>
      <c r="J7" s="175"/>
      <c r="K7" s="141"/>
      <c r="L7" s="176" t="s">
        <v>1</v>
      </c>
      <c r="M7" s="176"/>
      <c r="N7" s="176"/>
      <c r="O7" s="141"/>
      <c r="P7" s="293" t="s">
        <v>2</v>
      </c>
      <c r="Q7" s="176"/>
      <c r="R7" s="176"/>
      <c r="S7" s="25"/>
    </row>
    <row r="8" spans="1:21" ht="13" x14ac:dyDescent="0.25">
      <c r="A8" s="174"/>
      <c r="B8" s="141"/>
      <c r="C8" s="141"/>
      <c r="D8" s="141"/>
      <c r="E8" s="141"/>
      <c r="F8" s="133"/>
      <c r="G8" s="141"/>
      <c r="H8" s="141"/>
      <c r="I8" s="141"/>
      <c r="J8" s="175"/>
      <c r="K8" s="141"/>
      <c r="L8" s="141"/>
      <c r="M8" s="141"/>
      <c r="N8" s="141"/>
      <c r="O8" s="141"/>
      <c r="P8" s="291"/>
      <c r="Q8" s="141"/>
      <c r="R8" s="141"/>
      <c r="S8" s="25"/>
    </row>
    <row r="9" spans="1:21" ht="13" x14ac:dyDescent="0.25">
      <c r="A9" s="174"/>
      <c r="B9" s="133"/>
      <c r="C9" s="133"/>
      <c r="D9" s="133"/>
      <c r="E9" s="133" t="s">
        <v>34</v>
      </c>
      <c r="F9" s="133" t="s">
        <v>71</v>
      </c>
      <c r="G9" s="133"/>
      <c r="H9" s="195" t="s">
        <v>7</v>
      </c>
      <c r="I9" s="133" t="s">
        <v>7</v>
      </c>
      <c r="J9" s="177"/>
      <c r="K9" s="133"/>
      <c r="L9" s="195" t="s">
        <v>7</v>
      </c>
      <c r="M9" s="133" t="s">
        <v>7</v>
      </c>
      <c r="N9" s="133" t="s">
        <v>35</v>
      </c>
      <c r="O9" s="133"/>
      <c r="P9" s="294" t="s">
        <v>7</v>
      </c>
      <c r="Q9" s="133" t="s">
        <v>7</v>
      </c>
      <c r="R9" s="133" t="s">
        <v>35</v>
      </c>
      <c r="S9" s="25"/>
    </row>
    <row r="10" spans="1:21" ht="13" x14ac:dyDescent="0.25">
      <c r="A10" s="133" t="s">
        <v>9</v>
      </c>
      <c r="B10" s="133"/>
      <c r="C10" s="133"/>
      <c r="D10" s="133"/>
      <c r="E10" s="133" t="s">
        <v>72</v>
      </c>
      <c r="F10" s="133" t="s">
        <v>6</v>
      </c>
      <c r="G10" s="133"/>
      <c r="H10" s="195" t="s">
        <v>15</v>
      </c>
      <c r="I10" s="133" t="s">
        <v>15</v>
      </c>
      <c r="J10" s="177"/>
      <c r="K10" s="133"/>
      <c r="L10" s="195" t="s">
        <v>15</v>
      </c>
      <c r="M10" s="133" t="s">
        <v>15</v>
      </c>
      <c r="N10" s="133" t="s">
        <v>36</v>
      </c>
      <c r="O10" s="133"/>
      <c r="P10" s="294" t="s">
        <v>15</v>
      </c>
      <c r="Q10" s="133" t="s">
        <v>15</v>
      </c>
      <c r="R10" s="133" t="s">
        <v>36</v>
      </c>
      <c r="S10" s="25"/>
    </row>
    <row r="11" spans="1:21" ht="13.5" thickBot="1" x14ac:dyDescent="0.3">
      <c r="A11" s="139" t="s">
        <v>17</v>
      </c>
      <c r="B11" s="133"/>
      <c r="C11" s="139" t="s">
        <v>18</v>
      </c>
      <c r="D11" s="133"/>
      <c r="E11" s="140">
        <f>'Plant &amp; Reserve'!$E11</f>
        <v>45657</v>
      </c>
      <c r="F11" s="140">
        <f>'Plant &amp; Reserve'!$E11</f>
        <v>45657</v>
      </c>
      <c r="G11" s="133"/>
      <c r="H11" s="196" t="s">
        <v>21</v>
      </c>
      <c r="I11" s="139" t="s">
        <v>37</v>
      </c>
      <c r="J11" s="177"/>
      <c r="K11" s="133"/>
      <c r="L11" s="196" t="s">
        <v>21</v>
      </c>
      <c r="M11" s="139" t="s">
        <v>37</v>
      </c>
      <c r="N11" s="139" t="s">
        <v>37</v>
      </c>
      <c r="O11" s="133"/>
      <c r="P11" s="295" t="s">
        <v>21</v>
      </c>
      <c r="Q11" s="139" t="s">
        <v>37</v>
      </c>
      <c r="R11" s="139" t="s">
        <v>37</v>
      </c>
      <c r="S11" s="25"/>
    </row>
    <row r="12" spans="1:21" ht="13.5" thickTop="1" x14ac:dyDescent="0.25">
      <c r="A12" s="134"/>
      <c r="B12" s="132"/>
      <c r="C12" s="132"/>
      <c r="D12" s="133"/>
      <c r="E12" s="135" t="s">
        <v>38</v>
      </c>
      <c r="F12" s="135" t="s">
        <v>38</v>
      </c>
      <c r="G12" s="133"/>
      <c r="H12" s="197" t="s">
        <v>24</v>
      </c>
      <c r="I12" s="135" t="s">
        <v>38</v>
      </c>
      <c r="J12" s="177"/>
      <c r="K12" s="133"/>
      <c r="L12" s="197" t="s">
        <v>24</v>
      </c>
      <c r="M12" s="135" t="s">
        <v>38</v>
      </c>
      <c r="N12" s="135" t="s">
        <v>38</v>
      </c>
      <c r="O12" s="133"/>
      <c r="P12" s="296" t="s">
        <v>24</v>
      </c>
      <c r="Q12" s="135" t="s">
        <v>38</v>
      </c>
      <c r="R12" s="135" t="s">
        <v>38</v>
      </c>
      <c r="S12" s="25"/>
    </row>
    <row r="13" spans="1:21" ht="13" x14ac:dyDescent="0.25">
      <c r="A13" s="134"/>
      <c r="B13" s="132"/>
      <c r="C13" s="132"/>
      <c r="D13" s="133"/>
      <c r="E13" s="179"/>
      <c r="F13" s="198"/>
      <c r="G13" s="133"/>
      <c r="H13" s="199"/>
      <c r="I13" s="148"/>
      <c r="J13" s="177"/>
      <c r="K13" s="133"/>
      <c r="L13" s="199"/>
      <c r="M13" s="145"/>
      <c r="N13" s="132"/>
      <c r="O13" s="133"/>
      <c r="P13" s="297"/>
      <c r="Q13" s="145"/>
      <c r="R13" s="145"/>
      <c r="S13" s="25"/>
    </row>
    <row r="14" spans="1:21" ht="13" x14ac:dyDescent="0.25">
      <c r="A14" s="134"/>
      <c r="B14" s="132"/>
      <c r="C14" s="150" t="str">
        <f>'Proposed Rates'!$C14</f>
        <v>Distribution Plant</v>
      </c>
      <c r="D14" s="133"/>
      <c r="E14" s="157"/>
      <c r="F14" s="157"/>
      <c r="G14" s="133"/>
      <c r="H14" s="199"/>
      <c r="I14" s="151"/>
      <c r="J14" s="177"/>
      <c r="K14" s="133"/>
      <c r="L14" s="199"/>
      <c r="M14" s="151"/>
      <c r="N14" s="151"/>
      <c r="O14" s="133"/>
      <c r="P14" s="297"/>
      <c r="Q14" s="151"/>
      <c r="R14" s="151"/>
      <c r="S14" s="25"/>
    </row>
    <row r="15" spans="1:21" ht="13" x14ac:dyDescent="0.25">
      <c r="A15" s="134"/>
      <c r="B15" s="132"/>
      <c r="C15" s="132"/>
      <c r="D15" s="133"/>
      <c r="E15" s="157"/>
      <c r="F15" s="157"/>
      <c r="G15" s="133"/>
      <c r="H15" s="199"/>
      <c r="I15" s="151"/>
      <c r="J15" s="177"/>
      <c r="K15" s="133"/>
      <c r="L15" s="199"/>
      <c r="M15" s="151"/>
      <c r="N15" s="151"/>
      <c r="O15" s="133"/>
      <c r="P15" s="297"/>
      <c r="Q15" s="151"/>
      <c r="R15" s="151"/>
      <c r="S15" s="25"/>
    </row>
    <row r="16" spans="1:21" ht="13" x14ac:dyDescent="0.25">
      <c r="A16" s="154">
        <f>'Plant &amp; Reserve'!A16</f>
        <v>37402</v>
      </c>
      <c r="B16" s="180"/>
      <c r="C16" s="179" t="str">
        <f>'Plant &amp; Reserve'!C16</f>
        <v>Land Rights</v>
      </c>
      <c r="D16" s="133"/>
      <c r="E16" s="157">
        <f>'Plant &amp; Reserve'!E16</f>
        <v>4268872.66</v>
      </c>
      <c r="F16" s="157">
        <f>'Plant &amp; Reserve'!F16</f>
        <v>1080752.3138336299</v>
      </c>
      <c r="G16" s="133"/>
      <c r="H16" s="231">
        <f>'Proposed Rates'!J16</f>
        <v>1.2999999999999999E-2</v>
      </c>
      <c r="I16" s="151">
        <f>ROUND(E16*H16,0)</f>
        <v>55495</v>
      </c>
      <c r="J16" s="177"/>
      <c r="K16" s="133"/>
      <c r="L16" s="199">
        <f>'Proposed Rates'!P16</f>
        <v>1.3333333333333335</v>
      </c>
      <c r="M16" s="151">
        <f>ROUND($E16*L16/100,0)</f>
        <v>56918</v>
      </c>
      <c r="N16" s="151">
        <f>M16-$I16</f>
        <v>1423</v>
      </c>
      <c r="O16" s="133"/>
      <c r="P16" s="298">
        <f>'Proposed Rates'!X16</f>
        <v>1.3000000000000001E-2</v>
      </c>
      <c r="Q16" s="151">
        <f>ROUND(E16*P16,0)</f>
        <v>55495</v>
      </c>
      <c r="R16" s="151">
        <f>Q16-$I16</f>
        <v>0</v>
      </c>
      <c r="S16" s="25"/>
      <c r="U16" s="10"/>
    </row>
    <row r="17" spans="1:21" ht="13" x14ac:dyDescent="0.25">
      <c r="A17" s="154">
        <f>'Plant &amp; Reserve'!A17</f>
        <v>37500</v>
      </c>
      <c r="B17" s="180"/>
      <c r="C17" s="179" t="str">
        <f>'Plant &amp; Reserve'!C17</f>
        <v>Structures &amp; Improvements</v>
      </c>
      <c r="D17" s="133"/>
      <c r="E17" s="157">
        <f>'Plant &amp; Reserve'!E17</f>
        <v>31386680.029999983</v>
      </c>
      <c r="F17" s="157">
        <f>'Plant &amp; Reserve'!F17</f>
        <v>8366521.0855701342</v>
      </c>
      <c r="G17" s="133"/>
      <c r="H17" s="231">
        <f>'Proposed Rates'!J17</f>
        <v>2.8000000000000001E-2</v>
      </c>
      <c r="I17" s="151">
        <f t="shared" ref="I17:I31" si="0">ROUND(E17*H17,0)</f>
        <v>878827</v>
      </c>
      <c r="J17" s="177"/>
      <c r="K17" s="133"/>
      <c r="L17" s="199">
        <f>'Proposed Rates'!P17</f>
        <v>3.0303030303030303</v>
      </c>
      <c r="M17" s="151">
        <f>ROUND($E17*L17/100,0)</f>
        <v>951112</v>
      </c>
      <c r="N17" s="151">
        <f>M17-$I17</f>
        <v>72285</v>
      </c>
      <c r="O17" s="133"/>
      <c r="P17" s="298">
        <f>'Proposed Rates'!X17</f>
        <v>2.7999999999999997E-2</v>
      </c>
      <c r="Q17" s="151">
        <f t="shared" ref="Q17:Q31" si="1">ROUND(E17*P17,0)</f>
        <v>878827</v>
      </c>
      <c r="R17" s="151">
        <f t="shared" ref="R17:R31" si="2">Q17-$I17</f>
        <v>0</v>
      </c>
      <c r="S17" s="25"/>
      <c r="U17" s="10"/>
    </row>
    <row r="18" spans="1:21" ht="13" x14ac:dyDescent="0.25">
      <c r="A18" s="154">
        <f>'Plant &amp; Reserve'!A18</f>
        <v>37600</v>
      </c>
      <c r="B18" s="180"/>
      <c r="C18" s="179" t="str">
        <f>'Plant &amp; Reserve'!C18</f>
        <v>Mains Steel</v>
      </c>
      <c r="D18" s="133"/>
      <c r="E18" s="157">
        <f>'Plant &amp; Reserve'!E18</f>
        <v>826292081.17000031</v>
      </c>
      <c r="F18" s="157">
        <f>'Plant &amp; Reserve'!F18</f>
        <v>235380987.81307572</v>
      </c>
      <c r="G18" s="133"/>
      <c r="H18" s="231">
        <f>'Proposed Rates'!J18</f>
        <v>2.1000000000000001E-2</v>
      </c>
      <c r="I18" s="151">
        <f t="shared" si="0"/>
        <v>17352134</v>
      </c>
      <c r="J18" s="177"/>
      <c r="K18" s="133"/>
      <c r="L18" s="199">
        <f>'Proposed Rates'!P18</f>
        <v>2.4615384615384617</v>
      </c>
      <c r="M18" s="151">
        <f t="shared" ref="M18:M31" si="3">ROUND($E18*L18/100,0)</f>
        <v>20339497</v>
      </c>
      <c r="N18" s="151">
        <f t="shared" ref="N18:N31" si="4">M18-$I18</f>
        <v>2987363</v>
      </c>
      <c r="O18" s="133"/>
      <c r="P18" s="298">
        <f>'Proposed Rates'!X18</f>
        <v>2.4E-2</v>
      </c>
      <c r="Q18" s="151">
        <f t="shared" si="1"/>
        <v>19831010</v>
      </c>
      <c r="R18" s="255">
        <f t="shared" si="2"/>
        <v>2478876</v>
      </c>
      <c r="S18" s="25"/>
      <c r="U18" s="10"/>
    </row>
    <row r="19" spans="1:21" ht="13" x14ac:dyDescent="0.25">
      <c r="A19" s="154">
        <f>'Plant &amp; Reserve'!A19</f>
        <v>37602</v>
      </c>
      <c r="B19" s="180"/>
      <c r="C19" s="179" t="str">
        <f>'Plant &amp; Reserve'!C19</f>
        <v>Mains Plastic</v>
      </c>
      <c r="D19" s="133"/>
      <c r="E19" s="157">
        <f>'Plant &amp; Reserve'!E19</f>
        <v>961474232.54999995</v>
      </c>
      <c r="F19" s="157">
        <f>'Plant &amp; Reserve'!F19</f>
        <v>195926801.30512688</v>
      </c>
      <c r="G19" s="133"/>
      <c r="H19" s="231">
        <f>'Proposed Rates'!J19</f>
        <v>1.6E-2</v>
      </c>
      <c r="I19" s="151">
        <f t="shared" si="0"/>
        <v>15383588</v>
      </c>
      <c r="J19" s="177"/>
      <c r="K19" s="133"/>
      <c r="L19" s="199">
        <f>'Proposed Rates'!P19</f>
        <v>1.8666666666666665</v>
      </c>
      <c r="M19" s="151">
        <f t="shared" si="3"/>
        <v>17947519</v>
      </c>
      <c r="N19" s="151">
        <f t="shared" si="4"/>
        <v>2563931</v>
      </c>
      <c r="O19" s="133"/>
      <c r="P19" s="298">
        <f>'Proposed Rates'!X19</f>
        <v>1.8000000000000002E-2</v>
      </c>
      <c r="Q19" s="151">
        <f t="shared" si="1"/>
        <v>17306536</v>
      </c>
      <c r="R19" s="255">
        <f t="shared" si="2"/>
        <v>1922948</v>
      </c>
      <c r="S19" s="25"/>
      <c r="U19" s="10"/>
    </row>
    <row r="20" spans="1:21" ht="13" x14ac:dyDescent="0.25">
      <c r="A20" s="154">
        <v>37700</v>
      </c>
      <c r="B20" s="180"/>
      <c r="C20" s="251" t="s">
        <v>1251</v>
      </c>
      <c r="D20" s="133"/>
      <c r="E20" s="157">
        <f>'Plant &amp; Reserve'!E20</f>
        <v>19187297.899999999</v>
      </c>
      <c r="F20" s="157">
        <f>'Plant &amp; Reserve'!F20</f>
        <v>1319479.5011633653</v>
      </c>
      <c r="G20" s="133"/>
      <c r="H20" s="231">
        <f>'Proposed Rates'!J20</f>
        <v>0.03</v>
      </c>
      <c r="I20" s="151">
        <f t="shared" ref="I20" si="5">ROUND(E20*H20,0)</f>
        <v>575619</v>
      </c>
      <c r="J20" s="177"/>
      <c r="K20" s="133"/>
      <c r="L20" s="199">
        <f>'Proposed Rates'!P20</f>
        <v>3.0000000000000004</v>
      </c>
      <c r="M20" s="151">
        <f t="shared" ref="M20" si="6">ROUND($E20*L20/100,0)</f>
        <v>575619</v>
      </c>
      <c r="N20" s="151">
        <f t="shared" ref="N20" si="7">M20-$I20</f>
        <v>0</v>
      </c>
      <c r="O20" s="133"/>
      <c r="P20" s="298">
        <f>+'Rate Comparsion'!J21</f>
        <v>0.03</v>
      </c>
      <c r="Q20" s="151">
        <f t="shared" ref="Q20" si="8">ROUND(E20*P20,0)</f>
        <v>575619</v>
      </c>
      <c r="R20" s="255">
        <f t="shared" ref="R20" si="9">Q20-$I20</f>
        <v>0</v>
      </c>
      <c r="S20" s="25"/>
      <c r="U20" s="10"/>
    </row>
    <row r="21" spans="1:21" ht="13" x14ac:dyDescent="0.25">
      <c r="A21" s="154">
        <f>'Plant &amp; Reserve'!A21</f>
        <v>37800</v>
      </c>
      <c r="B21" s="180"/>
      <c r="C21" s="179" t="str">
        <f>'Plant &amp; Reserve'!C21</f>
        <v>Meas &amp; Reg Station Eqp Gen</v>
      </c>
      <c r="D21" s="133"/>
      <c r="E21" s="157">
        <f>'Plant &amp; Reserve'!E21</f>
        <v>22151056.50999999</v>
      </c>
      <c r="F21" s="157">
        <f>'Plant &amp; Reserve'!F21</f>
        <v>5812102.0078713428</v>
      </c>
      <c r="G21" s="133"/>
      <c r="H21" s="231">
        <f>'Proposed Rates'!J21</f>
        <v>2.7E-2</v>
      </c>
      <c r="I21" s="151">
        <f t="shared" si="0"/>
        <v>598079</v>
      </c>
      <c r="J21" s="177"/>
      <c r="K21" s="133"/>
      <c r="L21" s="199">
        <f>'Proposed Rates'!P21</f>
        <v>3</v>
      </c>
      <c r="M21" s="151">
        <f t="shared" si="3"/>
        <v>664532</v>
      </c>
      <c r="N21" s="151">
        <f t="shared" si="4"/>
        <v>66453</v>
      </c>
      <c r="O21" s="133"/>
      <c r="P21" s="298">
        <f>'Proposed Rates'!X21</f>
        <v>0.03</v>
      </c>
      <c r="Q21" s="151">
        <f t="shared" si="1"/>
        <v>664532</v>
      </c>
      <c r="R21" s="255">
        <f t="shared" si="2"/>
        <v>66453</v>
      </c>
      <c r="S21" s="25"/>
      <c r="U21" s="10"/>
    </row>
    <row r="22" spans="1:21" ht="13" x14ac:dyDescent="0.25">
      <c r="A22" s="154">
        <f>'Plant &amp; Reserve'!A22</f>
        <v>37900</v>
      </c>
      <c r="B22" s="180"/>
      <c r="C22" s="179" t="str">
        <f>'Plant &amp; Reserve'!C22</f>
        <v>Meas &amp; Reg Station Eqp City</v>
      </c>
      <c r="D22" s="133"/>
      <c r="E22" s="157">
        <f>'Plant &amp; Reserve'!E22</f>
        <v>116022316.77999997</v>
      </c>
      <c r="F22" s="157">
        <f>'Plant &amp; Reserve'!F22</f>
        <v>18533863.572940804</v>
      </c>
      <c r="G22" s="133"/>
      <c r="H22" s="231">
        <f>'Proposed Rates'!J22</f>
        <v>2.1000000000000001E-2</v>
      </c>
      <c r="I22" s="151">
        <f t="shared" si="0"/>
        <v>2436469</v>
      </c>
      <c r="J22" s="177"/>
      <c r="K22" s="133"/>
      <c r="L22" s="199">
        <f>'Proposed Rates'!P22</f>
        <v>2.3076923076923075</v>
      </c>
      <c r="M22" s="151">
        <f t="shared" si="3"/>
        <v>2677438</v>
      </c>
      <c r="N22" s="151">
        <f t="shared" si="4"/>
        <v>240969</v>
      </c>
      <c r="O22" s="133"/>
      <c r="P22" s="298">
        <f>'Proposed Rates'!X22</f>
        <v>2.2000000000000002E-2</v>
      </c>
      <c r="Q22" s="151">
        <f t="shared" si="1"/>
        <v>2552491</v>
      </c>
      <c r="R22" s="255">
        <f t="shared" si="2"/>
        <v>116022</v>
      </c>
      <c r="S22" s="25"/>
      <c r="U22" s="10"/>
    </row>
    <row r="23" spans="1:21" ht="13" x14ac:dyDescent="0.25">
      <c r="A23" s="154">
        <f>'Plant &amp; Reserve'!A23</f>
        <v>38000</v>
      </c>
      <c r="B23" s="180"/>
      <c r="C23" s="179" t="str">
        <f>'Plant &amp; Reserve'!C23</f>
        <v>Services Steel</v>
      </c>
      <c r="D23" s="133"/>
      <c r="E23" s="157">
        <f>'Plant &amp; Reserve'!E23</f>
        <v>68085342.289999977</v>
      </c>
      <c r="F23" s="157">
        <f>'Plant &amp; Reserve'!F23</f>
        <v>41491765.423666812</v>
      </c>
      <c r="G23" s="133"/>
      <c r="H23" s="231">
        <f>'Proposed Rates'!J23</f>
        <v>0.04</v>
      </c>
      <c r="I23" s="151">
        <f t="shared" si="0"/>
        <v>2723414</v>
      </c>
      <c r="J23" s="177"/>
      <c r="K23" s="133"/>
      <c r="L23" s="199">
        <f>'Proposed Rates'!P23</f>
        <v>4.4230769230769225</v>
      </c>
      <c r="M23" s="151">
        <f t="shared" si="3"/>
        <v>3011467</v>
      </c>
      <c r="N23" s="151">
        <f t="shared" si="4"/>
        <v>288053</v>
      </c>
      <c r="O23" s="133"/>
      <c r="P23" s="298">
        <f>'Proposed Rates'!X23</f>
        <v>4.2999999999999997E-2</v>
      </c>
      <c r="Q23" s="151">
        <f t="shared" si="1"/>
        <v>2927670</v>
      </c>
      <c r="R23" s="255">
        <f t="shared" si="2"/>
        <v>204256</v>
      </c>
      <c r="S23" s="25"/>
      <c r="U23" s="10"/>
    </row>
    <row r="24" spans="1:21" ht="13" x14ac:dyDescent="0.25">
      <c r="A24" s="154">
        <f>'Plant &amp; Reserve'!A24</f>
        <v>38002</v>
      </c>
      <c r="B24" s="180"/>
      <c r="C24" s="179" t="str">
        <f>'Plant &amp; Reserve'!C24</f>
        <v>Services Plastic</v>
      </c>
      <c r="D24" s="133"/>
      <c r="E24" s="157">
        <f>'Plant &amp; Reserve'!E24</f>
        <v>610080538.33000004</v>
      </c>
      <c r="F24" s="157">
        <f>'Plant &amp; Reserve'!F24</f>
        <v>203173739.25244004</v>
      </c>
      <c r="G24" s="133"/>
      <c r="H24" s="231">
        <f>'Proposed Rates'!J24</f>
        <v>2.7E-2</v>
      </c>
      <c r="I24" s="151">
        <f t="shared" si="0"/>
        <v>16472175</v>
      </c>
      <c r="J24" s="177"/>
      <c r="K24" s="133"/>
      <c r="L24" s="199">
        <f>'Proposed Rates'!P24</f>
        <v>3.1818181818181817</v>
      </c>
      <c r="M24" s="151">
        <f t="shared" si="3"/>
        <v>19411653</v>
      </c>
      <c r="N24" s="151">
        <f t="shared" si="4"/>
        <v>2939478</v>
      </c>
      <c r="O24" s="133"/>
      <c r="P24" s="298">
        <f>'Proposed Rates'!X24</f>
        <v>3.1E-2</v>
      </c>
      <c r="Q24" s="151">
        <f t="shared" si="1"/>
        <v>18912497</v>
      </c>
      <c r="R24" s="255">
        <f t="shared" si="2"/>
        <v>2440322</v>
      </c>
      <c r="S24" s="25"/>
      <c r="U24" s="10"/>
    </row>
    <row r="25" spans="1:21" ht="13" x14ac:dyDescent="0.25">
      <c r="A25" s="154">
        <f>'Plant &amp; Reserve'!A25</f>
        <v>38100</v>
      </c>
      <c r="B25" s="180"/>
      <c r="C25" s="179" t="str">
        <f>'Plant &amp; Reserve'!C25</f>
        <v>Meters</v>
      </c>
      <c r="D25" s="133"/>
      <c r="E25" s="157">
        <f>'Plant &amp; Reserve'!E25</f>
        <v>99270694.280000001</v>
      </c>
      <c r="F25" s="157">
        <f>'Plant &amp; Reserve'!F25</f>
        <v>41081230.221588202</v>
      </c>
      <c r="G25" s="133"/>
      <c r="H25" s="231">
        <f>'Proposed Rates'!J25</f>
        <v>0.05</v>
      </c>
      <c r="I25" s="151">
        <f t="shared" si="0"/>
        <v>4963535</v>
      </c>
      <c r="J25" s="177"/>
      <c r="K25" s="133"/>
      <c r="L25" s="199">
        <f>'Proposed Rates'!P25</f>
        <v>5</v>
      </c>
      <c r="M25" s="151">
        <f t="shared" si="3"/>
        <v>4963535</v>
      </c>
      <c r="N25" s="151">
        <f t="shared" si="4"/>
        <v>0</v>
      </c>
      <c r="O25" s="133"/>
      <c r="P25" s="298">
        <f>'Proposed Rates'!X25</f>
        <v>4.7E-2</v>
      </c>
      <c r="Q25" s="151">
        <f t="shared" si="1"/>
        <v>4665723</v>
      </c>
      <c r="R25" s="255">
        <f t="shared" si="2"/>
        <v>-297812</v>
      </c>
      <c r="S25" s="25"/>
      <c r="U25" s="10"/>
    </row>
    <row r="26" spans="1:21" ht="13" x14ac:dyDescent="0.25">
      <c r="A26" s="154">
        <f>'Plant &amp; Reserve'!A26</f>
        <v>38200</v>
      </c>
      <c r="B26" s="180"/>
      <c r="C26" s="179" t="str">
        <f>'Plant &amp; Reserve'!C26</f>
        <v>Meter Installations</v>
      </c>
      <c r="D26" s="133"/>
      <c r="E26" s="157">
        <f>'Plant &amp; Reserve'!E26</f>
        <v>105820491.27000003</v>
      </c>
      <c r="F26" s="157">
        <f>'Plant &amp; Reserve'!F26</f>
        <v>35074647.943045013</v>
      </c>
      <c r="G26" s="133"/>
      <c r="H26" s="231">
        <f>'Proposed Rates'!J26</f>
        <v>2.1999999999999999E-2</v>
      </c>
      <c r="I26" s="151">
        <f t="shared" si="0"/>
        <v>2328051</v>
      </c>
      <c r="J26" s="177"/>
      <c r="K26" s="133"/>
      <c r="L26" s="199">
        <f>'Proposed Rates'!P26</f>
        <v>2.8888888888888893</v>
      </c>
      <c r="M26" s="151">
        <f t="shared" si="3"/>
        <v>3057036</v>
      </c>
      <c r="N26" s="151">
        <f t="shared" si="4"/>
        <v>728985</v>
      </c>
      <c r="O26" s="133"/>
      <c r="P26" s="298">
        <f>'Proposed Rates'!X26</f>
        <v>2.6000000000000002E-2</v>
      </c>
      <c r="Q26" s="151">
        <f t="shared" si="1"/>
        <v>2751333</v>
      </c>
      <c r="R26" s="255">
        <f t="shared" si="2"/>
        <v>423282</v>
      </c>
      <c r="S26" s="25"/>
      <c r="U26" s="10"/>
    </row>
    <row r="27" spans="1:21" ht="13" x14ac:dyDescent="0.25">
      <c r="A27" s="154">
        <f>'Plant &amp; Reserve'!A27</f>
        <v>38300</v>
      </c>
      <c r="B27" s="180"/>
      <c r="C27" s="179" t="str">
        <f>'Plant &amp; Reserve'!C27</f>
        <v>House Regulators</v>
      </c>
      <c r="D27" s="133"/>
      <c r="E27" s="157">
        <f>'Plant &amp; Reserve'!E27</f>
        <v>20766817.199999996</v>
      </c>
      <c r="F27" s="157">
        <f>'Plant &amp; Reserve'!F27</f>
        <v>8814276.0535394866</v>
      </c>
      <c r="G27" s="133"/>
      <c r="H27" s="231">
        <f>'Proposed Rates'!J27</f>
        <v>1.7999999999999999E-2</v>
      </c>
      <c r="I27" s="151">
        <f t="shared" si="0"/>
        <v>373803</v>
      </c>
      <c r="J27" s="177"/>
      <c r="K27" s="133"/>
      <c r="L27" s="199">
        <f>'Proposed Rates'!P27</f>
        <v>2.3809523809523809</v>
      </c>
      <c r="M27" s="151">
        <f t="shared" si="3"/>
        <v>494448</v>
      </c>
      <c r="N27" s="151">
        <f t="shared" si="4"/>
        <v>120645</v>
      </c>
      <c r="O27" s="133"/>
      <c r="P27" s="298">
        <f>'Proposed Rates'!X27</f>
        <v>0.02</v>
      </c>
      <c r="Q27" s="151">
        <f t="shared" si="1"/>
        <v>415336</v>
      </c>
      <c r="R27" s="255">
        <f t="shared" si="2"/>
        <v>41533</v>
      </c>
      <c r="S27" s="25"/>
      <c r="U27" s="10"/>
    </row>
    <row r="28" spans="1:21" ht="13" x14ac:dyDescent="0.25">
      <c r="A28" s="154">
        <f>'Plant &amp; Reserve'!A28</f>
        <v>38400</v>
      </c>
      <c r="B28" s="180"/>
      <c r="C28" s="179" t="str">
        <f>'Plant &amp; Reserve'!C28</f>
        <v>House Regulator Installs</v>
      </c>
      <c r="D28" s="133"/>
      <c r="E28" s="157">
        <f>'Plant &amp; Reserve'!E28</f>
        <v>38677154.929999985</v>
      </c>
      <c r="F28" s="157">
        <f>'Plant &amp; Reserve'!F28</f>
        <v>14747685.806906285</v>
      </c>
      <c r="G28" s="133"/>
      <c r="H28" s="231">
        <f>'Proposed Rates'!J28</f>
        <v>1.9E-2</v>
      </c>
      <c r="I28" s="151">
        <f t="shared" si="0"/>
        <v>734866</v>
      </c>
      <c r="J28" s="177"/>
      <c r="K28" s="133"/>
      <c r="L28" s="199">
        <f>'Proposed Rates'!P28</f>
        <v>2.7659574468085109</v>
      </c>
      <c r="M28" s="151">
        <f t="shared" si="3"/>
        <v>1069794</v>
      </c>
      <c r="N28" s="151">
        <f t="shared" si="4"/>
        <v>334928</v>
      </c>
      <c r="O28" s="133"/>
      <c r="P28" s="298">
        <f>'Proposed Rates'!X28</f>
        <v>2.4E-2</v>
      </c>
      <c r="Q28" s="151">
        <f t="shared" si="1"/>
        <v>928252</v>
      </c>
      <c r="R28" s="255">
        <f t="shared" si="2"/>
        <v>193386</v>
      </c>
      <c r="S28" s="25"/>
      <c r="U28" s="10"/>
    </row>
    <row r="29" spans="1:21" ht="13" x14ac:dyDescent="0.25">
      <c r="A29" s="154">
        <f>'Plant &amp; Reserve'!A29</f>
        <v>38500</v>
      </c>
      <c r="B29" s="180"/>
      <c r="C29" s="179" t="str">
        <f>'Plant &amp; Reserve'!C29</f>
        <v>Meas &amp; Reg Station Eqp Ind</v>
      </c>
      <c r="D29" s="133"/>
      <c r="E29" s="157">
        <f>'Plant &amp; Reserve'!E29</f>
        <v>15196826.639999999</v>
      </c>
      <c r="F29" s="157">
        <f>'Plant &amp; Reserve'!F29</f>
        <v>6976670.3302102461</v>
      </c>
      <c r="G29" s="133"/>
      <c r="H29" s="231">
        <f>'Proposed Rates'!J29</f>
        <v>2.3E-2</v>
      </c>
      <c r="I29" s="151">
        <f t="shared" si="0"/>
        <v>349527</v>
      </c>
      <c r="J29" s="177"/>
      <c r="K29" s="133"/>
      <c r="L29" s="199">
        <f>'Proposed Rates'!P29</f>
        <v>2.5641025641025639</v>
      </c>
      <c r="M29" s="151">
        <f t="shared" si="3"/>
        <v>389662</v>
      </c>
      <c r="N29" s="151">
        <f t="shared" si="4"/>
        <v>40135</v>
      </c>
      <c r="O29" s="133"/>
      <c r="P29" s="298">
        <f>'Proposed Rates'!X29</f>
        <v>2.2000000000000002E-2</v>
      </c>
      <c r="Q29" s="151">
        <f t="shared" si="1"/>
        <v>334330</v>
      </c>
      <c r="R29" s="255">
        <f t="shared" si="2"/>
        <v>-15197</v>
      </c>
      <c r="S29" s="25"/>
      <c r="U29" s="10"/>
    </row>
    <row r="30" spans="1:21" ht="13" x14ac:dyDescent="0.25">
      <c r="A30" s="154">
        <f>'Plant &amp; Reserve'!A30</f>
        <v>38600</v>
      </c>
      <c r="B30" s="180"/>
      <c r="C30" s="179" t="str">
        <f>'Plant &amp; Reserve'!C30</f>
        <v>Other Property Cust Premise</v>
      </c>
      <c r="D30" s="133"/>
      <c r="E30" s="157">
        <f>'Plant &amp; Reserve'!E30</f>
        <v>0</v>
      </c>
      <c r="F30" s="157">
        <f>'Plant &amp; Reserve'!F30</f>
        <v>0</v>
      </c>
      <c r="G30" s="133"/>
      <c r="H30" s="231">
        <f>'Proposed Rates'!J30</f>
        <v>6.7000000000000004E-2</v>
      </c>
      <c r="I30" s="151">
        <f t="shared" si="0"/>
        <v>0</v>
      </c>
      <c r="J30" s="177"/>
      <c r="K30" s="133"/>
      <c r="L30" s="199">
        <f>'Proposed Rates'!P30</f>
        <v>6.666666666666667</v>
      </c>
      <c r="M30" s="151">
        <f t="shared" si="3"/>
        <v>0</v>
      </c>
      <c r="N30" s="151">
        <f t="shared" si="4"/>
        <v>0</v>
      </c>
      <c r="O30" s="133"/>
      <c r="P30" s="298">
        <f>'Proposed Rates'!X30</f>
        <v>6.7000000000000004E-2</v>
      </c>
      <c r="Q30" s="151">
        <f t="shared" si="1"/>
        <v>0</v>
      </c>
      <c r="R30" s="255">
        <f t="shared" si="2"/>
        <v>0</v>
      </c>
      <c r="S30" s="25"/>
    </row>
    <row r="31" spans="1:21" ht="13" x14ac:dyDescent="0.25">
      <c r="A31" s="154">
        <f>'Plant &amp; Reserve'!A31</f>
        <v>38700</v>
      </c>
      <c r="B31" s="180"/>
      <c r="C31" s="179" t="str">
        <f>'Plant &amp; Reserve'!C31</f>
        <v>Other Equipment</v>
      </c>
      <c r="D31" s="133"/>
      <c r="E31" s="157">
        <f>'Plant &amp; Reserve'!E31</f>
        <v>13431843.029999996</v>
      </c>
      <c r="F31" s="157">
        <f>'Plant &amp; Reserve'!F31</f>
        <v>5313797.6616018787</v>
      </c>
      <c r="G31" s="133"/>
      <c r="H31" s="231">
        <f>'Proposed Rates'!J31</f>
        <v>0.03</v>
      </c>
      <c r="I31" s="151">
        <f t="shared" si="0"/>
        <v>402955</v>
      </c>
      <c r="J31" s="177"/>
      <c r="K31" s="133"/>
      <c r="L31" s="199">
        <f>'Proposed Rates'!P31</f>
        <v>3.7037037037037033</v>
      </c>
      <c r="M31" s="151">
        <f t="shared" si="3"/>
        <v>497476</v>
      </c>
      <c r="N31" s="151">
        <f t="shared" si="4"/>
        <v>94521</v>
      </c>
      <c r="O31" s="133"/>
      <c r="P31" s="298">
        <f>'Proposed Rates'!X31</f>
        <v>0.03</v>
      </c>
      <c r="Q31" s="151">
        <f t="shared" si="1"/>
        <v>402955</v>
      </c>
      <c r="R31" s="255">
        <f t="shared" si="2"/>
        <v>0</v>
      </c>
      <c r="S31" s="25"/>
    </row>
    <row r="32" spans="1:21" ht="13.5" thickBot="1" x14ac:dyDescent="0.3">
      <c r="A32" s="200"/>
      <c r="B32" s="200"/>
      <c r="C32" s="200"/>
      <c r="D32" s="133"/>
      <c r="E32" s="201"/>
      <c r="F32" s="201"/>
      <c r="G32" s="133"/>
      <c r="H32" s="202"/>
      <c r="I32" s="163"/>
      <c r="J32" s="177"/>
      <c r="K32" s="133"/>
      <c r="L32" s="202"/>
      <c r="M32" s="163"/>
      <c r="N32" s="163"/>
      <c r="O32" s="133"/>
      <c r="P32" s="299"/>
      <c r="Q32" s="163"/>
      <c r="R32" s="163"/>
      <c r="S32" s="25"/>
    </row>
    <row r="33" spans="1:33" ht="19.899999999999999" customHeight="1" thickTop="1" thickBot="1" x14ac:dyDescent="0.3">
      <c r="A33" s="200"/>
      <c r="B33" s="200"/>
      <c r="C33" s="203" t="s">
        <v>39</v>
      </c>
      <c r="D33" s="133"/>
      <c r="E33" s="164">
        <f>SUM(E16:E32)</f>
        <v>2952112245.5700002</v>
      </c>
      <c r="F33" s="164">
        <f>SUM(F16:F32)</f>
        <v>823094320.29258001</v>
      </c>
      <c r="G33" s="133"/>
      <c r="H33" s="196">
        <f>IF($E33=0,0,ROUND(I33/$E33*100,1))</f>
        <v>2.2000000000000002</v>
      </c>
      <c r="I33" s="164">
        <f>SUM(I16:I32)</f>
        <v>65628537</v>
      </c>
      <c r="J33" s="177"/>
      <c r="K33" s="133"/>
      <c r="L33" s="196">
        <f>IF($E33=0,0,ROUND(M33/$E33*100,1))</f>
        <v>2.6</v>
      </c>
      <c r="M33" s="164">
        <f>SUM(M16:M32)</f>
        <v>76107706</v>
      </c>
      <c r="N33" s="164">
        <f>SUM(N16:N32)</f>
        <v>10479169</v>
      </c>
      <c r="O33" s="133"/>
      <c r="P33" s="295">
        <f>IF($E33=0,0,ROUND(Q33/$E33*100,1))</f>
        <v>2.5</v>
      </c>
      <c r="Q33" s="164">
        <f>SUM(Q16:Q32)</f>
        <v>73202606</v>
      </c>
      <c r="R33" s="164">
        <f>SUM(R16:R32)</f>
        <v>7574069</v>
      </c>
      <c r="S33" s="25"/>
      <c r="T33" s="164"/>
    </row>
    <row r="34" spans="1:33" ht="13.5" thickTop="1" x14ac:dyDescent="0.25">
      <c r="A34" s="134"/>
      <c r="B34" s="132"/>
      <c r="C34" s="132"/>
      <c r="D34" s="133"/>
      <c r="E34" s="157"/>
      <c r="F34" s="157"/>
      <c r="G34" s="133"/>
      <c r="H34" s="199"/>
      <c r="I34" s="151"/>
      <c r="J34" s="151"/>
      <c r="K34" s="151"/>
      <c r="L34" s="151"/>
      <c r="M34" s="151"/>
      <c r="N34" s="151"/>
      <c r="O34" s="133"/>
      <c r="P34" s="297"/>
      <c r="Q34" s="151"/>
      <c r="R34" s="151"/>
      <c r="S34" s="25"/>
      <c r="AG34" s="258"/>
    </row>
    <row r="35" spans="1:33" ht="13" x14ac:dyDescent="0.25">
      <c r="A35" s="134"/>
      <c r="B35" s="132"/>
      <c r="C35" s="132"/>
      <c r="D35" s="133"/>
      <c r="E35" s="157"/>
      <c r="F35" s="157"/>
      <c r="G35" s="133"/>
      <c r="H35" s="199"/>
      <c r="I35" s="151"/>
      <c r="J35" s="177"/>
      <c r="K35" s="133"/>
      <c r="L35" s="199"/>
      <c r="M35" s="151"/>
      <c r="N35" s="151"/>
      <c r="O35" s="133"/>
      <c r="P35" s="297"/>
      <c r="Q35" s="151"/>
      <c r="R35" s="151"/>
      <c r="S35" s="25"/>
    </row>
    <row r="36" spans="1:33" ht="13" x14ac:dyDescent="0.25">
      <c r="A36" s="134"/>
      <c r="B36" s="132"/>
      <c r="C36" s="150" t="str">
        <f>'Proposed Rates'!$C36</f>
        <v>Transportation Equipment</v>
      </c>
      <c r="D36" s="133"/>
      <c r="E36" s="157"/>
      <c r="F36" s="157"/>
      <c r="G36" s="133"/>
      <c r="H36" s="199"/>
      <c r="I36" s="151"/>
      <c r="J36" s="177"/>
      <c r="K36" s="133"/>
      <c r="L36" s="199"/>
      <c r="M36" s="151"/>
      <c r="N36" s="151"/>
      <c r="O36" s="133"/>
      <c r="P36" s="297"/>
      <c r="Q36" s="151"/>
      <c r="R36" s="151"/>
      <c r="S36" s="25"/>
    </row>
    <row r="37" spans="1:33" ht="13" x14ac:dyDescent="0.25">
      <c r="A37" s="134"/>
      <c r="B37" s="132"/>
      <c r="C37" s="204"/>
      <c r="D37" s="133"/>
      <c r="E37" s="157"/>
      <c r="F37" s="157"/>
      <c r="G37" s="133"/>
      <c r="H37" s="199"/>
      <c r="I37" s="151"/>
      <c r="J37" s="177"/>
      <c r="K37" s="133"/>
      <c r="L37" s="199"/>
      <c r="M37" s="151"/>
      <c r="N37" s="151"/>
      <c r="O37" s="133"/>
      <c r="P37" s="297"/>
      <c r="Q37" s="151"/>
      <c r="R37" s="151"/>
      <c r="S37" s="25"/>
    </row>
    <row r="38" spans="1:33" ht="13" x14ac:dyDescent="0.25">
      <c r="A38" s="154">
        <f>'Plant &amp; Reserve'!A38</f>
        <v>39201</v>
      </c>
      <c r="B38" s="180"/>
      <c r="C38" s="179" t="str">
        <f>'Plant &amp; Reserve'!C38</f>
        <v>Vehicles up to 1/2 Tons</v>
      </c>
      <c r="D38" s="133"/>
      <c r="E38" s="157">
        <f>'Plant &amp; Reserve'!E38</f>
        <v>15381575.261000002</v>
      </c>
      <c r="F38" s="157">
        <f>'Plant &amp; Reserve'!F38</f>
        <v>6058634.4224653961</v>
      </c>
      <c r="G38" s="133"/>
      <c r="H38" s="231">
        <f>'Proposed Rates'!J38</f>
        <v>7.0000000000000007E-2</v>
      </c>
      <c r="I38" s="151">
        <f t="shared" ref="I38:I63" si="10">ROUND(E38*H38,0)</f>
        <v>1076710</v>
      </c>
      <c r="J38" s="177"/>
      <c r="K38" s="133"/>
      <c r="L38" s="199">
        <f>'Proposed Rates'!P38</f>
        <v>11.125</v>
      </c>
      <c r="M38" s="151">
        <f>ROUND($E38*L38/100,0)</f>
        <v>1711200</v>
      </c>
      <c r="N38" s="151">
        <f>M38-$I38</f>
        <v>634490</v>
      </c>
      <c r="O38" s="133"/>
      <c r="P38" s="298">
        <f>'Proposed Rates'!X38</f>
        <v>9.5000000000000001E-2</v>
      </c>
      <c r="Q38" s="151">
        <f t="shared" ref="Q38:Q63" si="11">ROUND(E38*P38,0)</f>
        <v>1461250</v>
      </c>
      <c r="R38" s="151">
        <f>Q38-$I38</f>
        <v>384540</v>
      </c>
      <c r="S38" s="25"/>
    </row>
    <row r="39" spans="1:33" ht="13" x14ac:dyDescent="0.25">
      <c r="A39" s="154">
        <f>'Plant &amp; Reserve'!A39</f>
        <v>39202</v>
      </c>
      <c r="B39" s="180"/>
      <c r="C39" s="179" t="str">
        <f>'Plant &amp; Reserve'!C39</f>
        <v>Vehicles from 1/2 - 1 Tons</v>
      </c>
      <c r="D39" s="133"/>
      <c r="E39" s="157">
        <f>'Plant &amp; Reserve'!E39</f>
        <v>17803654.689999994</v>
      </c>
      <c r="F39" s="157">
        <f>'Plant &amp; Reserve'!F39</f>
        <v>8353208.6126399981</v>
      </c>
      <c r="G39" s="133"/>
      <c r="H39" s="231">
        <f>'Proposed Rates'!J39</f>
        <v>5.6000000000000001E-2</v>
      </c>
      <c r="I39" s="151">
        <f t="shared" si="10"/>
        <v>997005</v>
      </c>
      <c r="J39" s="177"/>
      <c r="K39" s="133"/>
      <c r="L39" s="199">
        <f>'Proposed Rates'!P39</f>
        <v>8.9</v>
      </c>
      <c r="M39" s="151">
        <f>ROUND($E39*L39/100,0)</f>
        <v>1584525</v>
      </c>
      <c r="N39" s="151">
        <f>M39-$I39</f>
        <v>587520</v>
      </c>
      <c r="O39" s="133"/>
      <c r="P39" s="298">
        <f>'Proposed Rates'!X39</f>
        <v>7.4999999999999997E-2</v>
      </c>
      <c r="Q39" s="151">
        <f t="shared" si="11"/>
        <v>1335274</v>
      </c>
      <c r="R39" s="151">
        <f>Q39-$I39</f>
        <v>338269</v>
      </c>
      <c r="S39" s="25"/>
    </row>
    <row r="40" spans="1:33" ht="13" x14ac:dyDescent="0.25">
      <c r="A40" s="154">
        <f>'Plant &amp; Reserve'!A40</f>
        <v>39204</v>
      </c>
      <c r="B40" s="180"/>
      <c r="C40" s="179" t="str">
        <f>'Plant &amp; Reserve'!C40</f>
        <v>Trailers &amp; Other</v>
      </c>
      <c r="D40" s="133"/>
      <c r="E40" s="157">
        <f>'Plant &amp; Reserve'!E40</f>
        <v>4611626.0700000012</v>
      </c>
      <c r="F40" s="157">
        <f>'Plant &amp; Reserve'!F40</f>
        <v>821141.15773737081</v>
      </c>
      <c r="G40" s="133"/>
      <c r="H40" s="231">
        <f>'Proposed Rates'!J40</f>
        <v>2.9000000000000001E-2</v>
      </c>
      <c r="I40" s="151">
        <f t="shared" si="10"/>
        <v>133737</v>
      </c>
      <c r="J40" s="177"/>
      <c r="K40" s="133"/>
      <c r="L40" s="199">
        <f>'Proposed Rates'!P40</f>
        <v>2.666666666666667</v>
      </c>
      <c r="M40" s="151">
        <f>ROUND($E40*L40/100,0)</f>
        <v>122977</v>
      </c>
      <c r="N40" s="151">
        <f>M40-$I40</f>
        <v>-10760</v>
      </c>
      <c r="O40" s="133"/>
      <c r="P40" s="298">
        <f>'Proposed Rates'!X40</f>
        <v>2.4E-2</v>
      </c>
      <c r="Q40" s="151">
        <f t="shared" si="11"/>
        <v>110679</v>
      </c>
      <c r="R40" s="151">
        <f>Q40-$I40</f>
        <v>-23058</v>
      </c>
      <c r="S40" s="25"/>
    </row>
    <row r="41" spans="1:33" ht="13" x14ac:dyDescent="0.25">
      <c r="A41" s="154">
        <f>'Plant &amp; Reserve'!A41</f>
        <v>39205</v>
      </c>
      <c r="B41" s="180"/>
      <c r="C41" s="179" t="str">
        <f>'Plant &amp; Reserve'!C41</f>
        <v>Vehicles over 1 Ton</v>
      </c>
      <c r="D41" s="133"/>
      <c r="E41" s="157">
        <f>'Plant &amp; Reserve'!E41</f>
        <v>2564139.23</v>
      </c>
      <c r="F41" s="157">
        <f>'Plant &amp; Reserve'!F41</f>
        <v>1267332.2891799998</v>
      </c>
      <c r="G41" s="133"/>
      <c r="H41" s="231">
        <f>'Proposed Rates'!J41</f>
        <v>6.6000000000000003E-2</v>
      </c>
      <c r="I41" s="151">
        <f t="shared" si="10"/>
        <v>169233</v>
      </c>
      <c r="J41" s="177"/>
      <c r="K41" s="133"/>
      <c r="L41" s="199">
        <f>'Proposed Rates'!P41</f>
        <v>7.1538461538461533</v>
      </c>
      <c r="M41" s="151">
        <f>ROUND($E41*L41/100,0)</f>
        <v>183435</v>
      </c>
      <c r="N41" s="151">
        <f>M41-$I41</f>
        <v>14202</v>
      </c>
      <c r="O41" s="133"/>
      <c r="P41" s="298">
        <f>'Proposed Rates'!X41</f>
        <v>5.7999999999999996E-2</v>
      </c>
      <c r="Q41" s="151">
        <f t="shared" si="11"/>
        <v>148720</v>
      </c>
      <c r="R41" s="151">
        <f>Q41-$I41</f>
        <v>-20513</v>
      </c>
      <c r="S41" s="25"/>
    </row>
    <row r="42" spans="1:33" ht="13" x14ac:dyDescent="0.25">
      <c r="A42" s="134"/>
      <c r="B42" s="132"/>
      <c r="C42" s="132"/>
      <c r="D42" s="133"/>
      <c r="E42" s="157"/>
      <c r="F42" s="157"/>
      <c r="G42" s="133"/>
      <c r="H42" s="231"/>
      <c r="I42" s="151">
        <f t="shared" si="10"/>
        <v>0</v>
      </c>
      <c r="J42" s="177"/>
      <c r="K42" s="133"/>
      <c r="L42" s="199"/>
      <c r="M42" s="151"/>
      <c r="N42" s="151"/>
      <c r="O42" s="133"/>
      <c r="P42" s="298"/>
      <c r="Q42" s="151">
        <f t="shared" si="11"/>
        <v>0</v>
      </c>
      <c r="R42" s="151"/>
      <c r="S42" s="25"/>
    </row>
    <row r="43" spans="1:33" ht="13" x14ac:dyDescent="0.25">
      <c r="A43" s="134"/>
      <c r="B43" s="132"/>
      <c r="C43" s="150" t="str">
        <f>'Proposed Rates'!$C43</f>
        <v>General Plant</v>
      </c>
      <c r="D43" s="133"/>
      <c r="E43" s="157"/>
      <c r="F43" s="157"/>
      <c r="G43" s="133"/>
      <c r="H43" s="231"/>
      <c r="I43" s="151">
        <f t="shared" si="10"/>
        <v>0</v>
      </c>
      <c r="J43" s="177"/>
      <c r="K43" s="133"/>
      <c r="L43" s="199"/>
      <c r="M43" s="151"/>
      <c r="N43" s="151"/>
      <c r="O43" s="133"/>
      <c r="P43" s="298"/>
      <c r="Q43" s="151">
        <f t="shared" si="11"/>
        <v>0</v>
      </c>
      <c r="R43" s="151"/>
      <c r="S43" s="25"/>
    </row>
    <row r="44" spans="1:33" ht="13" x14ac:dyDescent="0.25">
      <c r="A44" s="134"/>
      <c r="B44" s="132"/>
      <c r="C44" s="132"/>
      <c r="D44" s="133"/>
      <c r="E44" s="157"/>
      <c r="F44" s="157"/>
      <c r="G44" s="133"/>
      <c r="H44" s="231"/>
      <c r="I44" s="151">
        <f t="shared" si="10"/>
        <v>0</v>
      </c>
      <c r="J44" s="177"/>
      <c r="K44" s="133"/>
      <c r="L44" s="199"/>
      <c r="M44" s="151">
        <f>ROUND($E44*L44/100,0)</f>
        <v>0</v>
      </c>
      <c r="N44" s="151">
        <f t="shared" ref="N44:N63" si="12">M44-$I44</f>
        <v>0</v>
      </c>
      <c r="O44" s="133"/>
      <c r="P44" s="298"/>
      <c r="Q44" s="151">
        <f t="shared" si="11"/>
        <v>0</v>
      </c>
      <c r="R44" s="151"/>
      <c r="S44" s="25"/>
    </row>
    <row r="45" spans="1:33" ht="13" x14ac:dyDescent="0.25">
      <c r="A45" s="154">
        <f>'Plant &amp; Reserve'!A45</f>
        <v>30100</v>
      </c>
      <c r="B45" s="180"/>
      <c r="C45" s="179" t="str">
        <f>'Plant &amp; Reserve'!C45</f>
        <v>Organization Costs</v>
      </c>
      <c r="D45" s="133"/>
      <c r="E45" s="157">
        <f>'Plant &amp; Reserve'!E45</f>
        <v>12620.1</v>
      </c>
      <c r="F45" s="157">
        <f>'Plant &amp; Reserve'!F45</f>
        <v>0</v>
      </c>
      <c r="G45" s="133"/>
      <c r="H45" s="231">
        <f>'Proposed Rates'!J45</f>
        <v>0</v>
      </c>
      <c r="I45" s="151">
        <f t="shared" si="10"/>
        <v>0</v>
      </c>
      <c r="J45" s="177"/>
      <c r="K45" s="133"/>
      <c r="L45" s="199">
        <f>'Proposed Rates'!P45</f>
        <v>0</v>
      </c>
      <c r="M45" s="151">
        <f t="shared" ref="M45:M63" si="13">ROUND($E45*L45/100,0)</f>
        <v>0</v>
      </c>
      <c r="N45" s="151">
        <f t="shared" si="12"/>
        <v>0</v>
      </c>
      <c r="O45" s="133"/>
      <c r="P45" s="298">
        <f>'Proposed Rates'!X45</f>
        <v>0</v>
      </c>
      <c r="Q45" s="151">
        <f t="shared" si="11"/>
        <v>0</v>
      </c>
      <c r="R45" s="151">
        <f t="shared" ref="R45:R63" si="14">Q45-$I45</f>
        <v>0</v>
      </c>
      <c r="S45" s="25"/>
    </row>
    <row r="46" spans="1:33" ht="13" x14ac:dyDescent="0.25">
      <c r="A46" s="154">
        <f>'Plant &amp; Reserve'!A46</f>
        <v>30200</v>
      </c>
      <c r="B46" s="180"/>
      <c r="C46" s="179" t="str">
        <f>'Plant &amp; Reserve'!C46</f>
        <v>Franchise &amp; Consents</v>
      </c>
      <c r="D46" s="133"/>
      <c r="E46" s="157">
        <f>'Plant &amp; Reserve'!E46</f>
        <v>0</v>
      </c>
      <c r="F46" s="157">
        <f>'Plant &amp; Reserve'!F46</f>
        <v>0</v>
      </c>
      <c r="G46" s="133"/>
      <c r="H46" s="231">
        <f>'Proposed Rates'!J46</f>
        <v>0.04</v>
      </c>
      <c r="I46" s="151">
        <f t="shared" si="10"/>
        <v>0</v>
      </c>
      <c r="J46" s="177"/>
      <c r="K46" s="133"/>
      <c r="L46" s="199">
        <f>'Proposed Rates'!P46</f>
        <v>4</v>
      </c>
      <c r="M46" s="151">
        <f t="shared" si="13"/>
        <v>0</v>
      </c>
      <c r="N46" s="151">
        <f t="shared" si="12"/>
        <v>0</v>
      </c>
      <c r="O46" s="133"/>
      <c r="P46" s="298">
        <f>'Proposed Rates'!X46</f>
        <v>0.04</v>
      </c>
      <c r="Q46" s="151">
        <f t="shared" si="11"/>
        <v>0</v>
      </c>
      <c r="R46" s="151">
        <f t="shared" si="14"/>
        <v>0</v>
      </c>
      <c r="S46" s="25"/>
    </row>
    <row r="47" spans="1:33" ht="13" x14ac:dyDescent="0.25">
      <c r="A47" s="154">
        <f>'Plant &amp; Reserve'!A47</f>
        <v>30300</v>
      </c>
      <c r="B47" s="180"/>
      <c r="C47" s="179" t="str">
        <f>'Plant &amp; Reserve'!C47</f>
        <v>Misc Intangible Plant</v>
      </c>
      <c r="D47" s="133"/>
      <c r="E47" s="157">
        <f>'Plant &amp; Reserve'!E47</f>
        <v>815325.07</v>
      </c>
      <c r="F47" s="157">
        <f>+'Reserve Allocation'!N14</f>
        <v>815325.0699999989</v>
      </c>
      <c r="G47" s="133"/>
      <c r="H47" s="231">
        <f>'Proposed Rates'!J47</f>
        <v>0.04</v>
      </c>
      <c r="I47" s="151">
        <v>0</v>
      </c>
      <c r="J47" s="177"/>
      <c r="K47" s="133"/>
      <c r="L47" s="199">
        <f>'Proposed Rates'!P47</f>
        <v>4</v>
      </c>
      <c r="M47" s="151">
        <v>0</v>
      </c>
      <c r="N47" s="151">
        <f t="shared" si="12"/>
        <v>0</v>
      </c>
      <c r="O47" s="133"/>
      <c r="P47" s="298">
        <v>0.04</v>
      </c>
      <c r="Q47" s="151">
        <v>0</v>
      </c>
      <c r="R47" s="151">
        <f t="shared" si="14"/>
        <v>0</v>
      </c>
      <c r="S47" s="25"/>
    </row>
    <row r="48" spans="1:33" ht="13" x14ac:dyDescent="0.25">
      <c r="A48" s="154">
        <f>'Plant &amp; Reserve'!A48</f>
        <v>30301</v>
      </c>
      <c r="B48" s="180"/>
      <c r="C48" s="179" t="str">
        <f>'Plant &amp; Reserve'!C48</f>
        <v>Custom Intangible Plant</v>
      </c>
      <c r="D48" s="133"/>
      <c r="E48" s="157">
        <f>'Plant &amp; Reserve'!E48</f>
        <v>110526643.99000001</v>
      </c>
      <c r="F48" s="157">
        <f>+'Reserve Allocation'!N15</f>
        <v>30148268.771823499</v>
      </c>
      <c r="G48" s="133"/>
      <c r="H48" s="231">
        <f>'Proposed Rates'!J48</f>
        <v>6.6000000000000003E-2</v>
      </c>
      <c r="I48" s="151">
        <f t="shared" si="10"/>
        <v>7294759</v>
      </c>
      <c r="J48" s="177"/>
      <c r="K48" s="133"/>
      <c r="L48" s="199">
        <f>'Proposed Rates'!P48</f>
        <v>6.666666666666667</v>
      </c>
      <c r="O48" s="133"/>
      <c r="P48" s="298">
        <f>'Proposed Rates'!X48</f>
        <v>6.6000000000000003E-2</v>
      </c>
      <c r="Q48" s="151">
        <f t="shared" si="11"/>
        <v>7294759</v>
      </c>
      <c r="R48" s="151">
        <f t="shared" si="14"/>
        <v>0</v>
      </c>
      <c r="S48" s="25"/>
      <c r="T48" s="151"/>
    </row>
    <row r="49" spans="1:20" ht="13" x14ac:dyDescent="0.25">
      <c r="A49" s="154"/>
      <c r="B49" s="180"/>
      <c r="C49" s="179"/>
      <c r="D49" s="133"/>
      <c r="E49" s="157"/>
      <c r="F49" s="157"/>
      <c r="G49" s="133"/>
      <c r="H49" s="231"/>
      <c r="I49" s="151"/>
      <c r="J49" s="177"/>
      <c r="K49" s="133"/>
      <c r="L49" s="199"/>
      <c r="O49" s="133"/>
      <c r="P49" s="298"/>
      <c r="Q49" s="151"/>
      <c r="R49" s="151"/>
      <c r="S49" s="25"/>
      <c r="T49" s="151"/>
    </row>
    <row r="50" spans="1:20" ht="13" x14ac:dyDescent="0.25">
      <c r="A50" s="154"/>
      <c r="B50" s="180"/>
      <c r="C50" s="179"/>
      <c r="D50" s="133"/>
      <c r="E50" s="157"/>
      <c r="F50" s="157"/>
      <c r="G50" s="133"/>
      <c r="H50" s="231"/>
      <c r="I50" s="151"/>
      <c r="J50" s="177"/>
      <c r="K50" s="133"/>
      <c r="L50" s="199"/>
      <c r="O50" s="133"/>
      <c r="P50" s="298"/>
      <c r="Q50" s="151"/>
      <c r="R50" s="151"/>
      <c r="S50" s="25"/>
      <c r="T50" s="151"/>
    </row>
    <row r="51" spans="1:20" ht="13" x14ac:dyDescent="0.25">
      <c r="A51" s="154"/>
      <c r="B51" s="180"/>
      <c r="C51" s="179"/>
      <c r="D51" s="133"/>
      <c r="E51" s="157"/>
      <c r="F51" s="157"/>
      <c r="G51" s="133"/>
      <c r="H51" s="231"/>
      <c r="I51" s="151"/>
      <c r="J51" s="177"/>
      <c r="K51" s="133"/>
      <c r="L51" s="199"/>
      <c r="O51" s="133"/>
      <c r="P51" s="298"/>
      <c r="Q51" s="151"/>
      <c r="R51" s="151"/>
      <c r="S51" s="25"/>
      <c r="T51" s="151"/>
    </row>
    <row r="52" spans="1:20" ht="13" x14ac:dyDescent="0.25">
      <c r="A52" s="154"/>
      <c r="B52" s="180"/>
      <c r="C52" s="179"/>
      <c r="D52" s="133"/>
      <c r="E52" s="157"/>
      <c r="F52" s="157"/>
      <c r="G52" s="133"/>
      <c r="H52" s="231"/>
      <c r="I52" s="151"/>
      <c r="J52" s="177"/>
      <c r="K52" s="133"/>
      <c r="L52" s="199"/>
      <c r="O52" s="133"/>
      <c r="P52" s="298"/>
      <c r="Q52" s="151"/>
      <c r="R52" s="151"/>
      <c r="S52" s="25"/>
      <c r="T52" s="151"/>
    </row>
    <row r="53" spans="1:20" ht="13" x14ac:dyDescent="0.25">
      <c r="A53" s="154">
        <f>'Plant &amp; Reserve'!A49</f>
        <v>39000</v>
      </c>
      <c r="B53" s="180"/>
      <c r="C53" s="179" t="str">
        <f>'Plant &amp; Reserve'!C49</f>
        <v>Structures &amp; Improvements</v>
      </c>
      <c r="D53" s="133"/>
      <c r="E53" s="157">
        <f>'Plant &amp; Reserve'!E49</f>
        <v>663068.9</v>
      </c>
      <c r="F53" s="157">
        <f>+'Reserve Allocation'!N45</f>
        <v>18381.777281599912</v>
      </c>
      <c r="G53" s="133"/>
      <c r="H53" s="231">
        <f>'Proposed Rates'!J54</f>
        <v>2.4E-2</v>
      </c>
      <c r="I53" s="151">
        <f t="shared" si="10"/>
        <v>15914</v>
      </c>
      <c r="J53" s="177"/>
      <c r="K53" s="133"/>
      <c r="L53" s="199">
        <f>'Proposed Rates'!P54</f>
        <v>4</v>
      </c>
      <c r="M53" s="151">
        <f>ROUND($E53*L53/100,0)</f>
        <v>26523</v>
      </c>
      <c r="N53" s="151">
        <f>M53-$I53</f>
        <v>10609</v>
      </c>
      <c r="O53" s="133"/>
      <c r="P53" s="298">
        <f>'Proposed Rates'!X54</f>
        <v>4.0999999999999995E-2</v>
      </c>
      <c r="Q53" s="151">
        <f t="shared" si="11"/>
        <v>27186</v>
      </c>
      <c r="R53" s="151">
        <f>Q53-$I53</f>
        <v>11272</v>
      </c>
      <c r="S53" s="25"/>
      <c r="T53" s="151"/>
    </row>
    <row r="54" spans="1:20" ht="13" x14ac:dyDescent="0.25">
      <c r="A54" s="154">
        <f>'Plant &amp; Reserve'!A50</f>
        <v>39100</v>
      </c>
      <c r="B54" s="180"/>
      <c r="C54" s="179" t="str">
        <f>'Plant &amp; Reserve'!C50</f>
        <v>Office Furniture</v>
      </c>
      <c r="D54" s="133"/>
      <c r="E54" s="157">
        <f>'Plant &amp; Reserve'!E50</f>
        <v>2151949.7299999995</v>
      </c>
      <c r="F54" s="157">
        <f>+'Reserve Allocation'!N46</f>
        <v>1114167.3792016273</v>
      </c>
      <c r="G54" s="133"/>
      <c r="H54" s="231">
        <f>'Proposed Rates'!J55</f>
        <v>5.8999999999999997E-2</v>
      </c>
      <c r="I54" s="151">
        <f t="shared" si="10"/>
        <v>126965</v>
      </c>
      <c r="J54" s="177"/>
      <c r="K54" s="133"/>
      <c r="L54" s="199">
        <f>'Proposed Rates'!P55</f>
        <v>5.8823529411764701</v>
      </c>
      <c r="M54" s="151">
        <f t="shared" si="13"/>
        <v>126585</v>
      </c>
      <c r="N54" s="151">
        <f t="shared" si="12"/>
        <v>-380</v>
      </c>
      <c r="O54" s="133"/>
      <c r="P54" s="298">
        <f>'Proposed Rates'!X55</f>
        <v>5.0999999999999997E-2</v>
      </c>
      <c r="Q54" s="151">
        <f t="shared" si="11"/>
        <v>109749</v>
      </c>
      <c r="R54" s="151">
        <f t="shared" si="14"/>
        <v>-17216</v>
      </c>
      <c r="S54" s="25"/>
      <c r="T54" s="151"/>
    </row>
    <row r="55" spans="1:20" ht="13" x14ac:dyDescent="0.25">
      <c r="A55" s="154">
        <f>'Plant &amp; Reserve'!A51</f>
        <v>39101</v>
      </c>
      <c r="B55" s="180"/>
      <c r="C55" s="179" t="str">
        <f>'Plant &amp; Reserve'!C51</f>
        <v>Computer Equipment</v>
      </c>
      <c r="D55" s="133"/>
      <c r="E55" s="157">
        <f>'Plant &amp; Reserve'!E51</f>
        <v>5932305.8570000008</v>
      </c>
      <c r="F55" s="157">
        <f>+'Reserve Allocation'!N47</f>
        <v>3431578.3103643819</v>
      </c>
      <c r="G55" s="133"/>
      <c r="H55" s="231">
        <f>'Proposed Rates'!J56</f>
        <v>0.111</v>
      </c>
      <c r="I55" s="151">
        <f t="shared" si="10"/>
        <v>658486</v>
      </c>
      <c r="J55" s="177"/>
      <c r="K55" s="133"/>
      <c r="L55" s="199">
        <f>'Proposed Rates'!P56</f>
        <v>11.111111111111111</v>
      </c>
      <c r="M55" s="151">
        <f t="shared" si="13"/>
        <v>659145</v>
      </c>
      <c r="N55" s="151">
        <f t="shared" si="12"/>
        <v>659</v>
      </c>
      <c r="O55" s="133"/>
      <c r="P55" s="298">
        <f>'Rate Computation'!$Q$48</f>
        <v>7.8E-2</v>
      </c>
      <c r="Q55" s="151">
        <f t="shared" si="11"/>
        <v>462720</v>
      </c>
      <c r="R55" s="151">
        <f t="shared" si="14"/>
        <v>-195766</v>
      </c>
      <c r="S55" s="25"/>
      <c r="T55" s="151"/>
    </row>
    <row r="56" spans="1:20" ht="13" x14ac:dyDescent="0.25">
      <c r="A56" s="154">
        <f>'Plant &amp; Reserve'!A52</f>
        <v>39102</v>
      </c>
      <c r="B56" s="180"/>
      <c r="C56" s="179" t="str">
        <f>'Plant &amp; Reserve'!C52</f>
        <v>Office Equipment</v>
      </c>
      <c r="D56" s="133"/>
      <c r="E56" s="157">
        <f>'Plant &amp; Reserve'!E52</f>
        <v>1529673.7899999998</v>
      </c>
      <c r="F56" s="157">
        <f>+'Reserve Allocation'!N48</f>
        <v>965279.09392999986</v>
      </c>
      <c r="G56" s="133"/>
      <c r="H56" s="231">
        <f>'Proposed Rates'!J57</f>
        <v>6.7000000000000004E-2</v>
      </c>
      <c r="I56" s="151">
        <f t="shared" si="10"/>
        <v>102488</v>
      </c>
      <c r="J56" s="177"/>
      <c r="K56" s="133"/>
      <c r="L56" s="199">
        <f>'Proposed Rates'!P57</f>
        <v>6.666666666666667</v>
      </c>
      <c r="M56" s="151">
        <f t="shared" si="13"/>
        <v>101978</v>
      </c>
      <c r="N56" s="151">
        <f t="shared" si="12"/>
        <v>-510</v>
      </c>
      <c r="O56" s="133"/>
      <c r="P56" s="298">
        <f>'Proposed Rates'!X57</f>
        <v>6.3E-2</v>
      </c>
      <c r="Q56" s="151">
        <f t="shared" si="11"/>
        <v>96369</v>
      </c>
      <c r="R56" s="151">
        <f t="shared" si="14"/>
        <v>-6119</v>
      </c>
      <c r="S56" s="25"/>
      <c r="T56" s="151"/>
    </row>
    <row r="57" spans="1:20" ht="13" x14ac:dyDescent="0.25">
      <c r="A57" s="154">
        <f>'Plant &amp; Reserve'!A53</f>
        <v>39300</v>
      </c>
      <c r="B57" s="180"/>
      <c r="C57" s="179" t="str">
        <f>'Plant &amp; Reserve'!C53</f>
        <v>Stores Equipment</v>
      </c>
      <c r="D57" s="133"/>
      <c r="E57" s="157">
        <f>'Plant &amp; Reserve'!E53</f>
        <v>1283.3900000000001</v>
      </c>
      <c r="F57" s="157">
        <f>'Plant &amp; Reserve'!F53</f>
        <v>591.86238000006779</v>
      </c>
      <c r="G57" s="133"/>
      <c r="H57" s="231">
        <f>'Proposed Rates'!J61</f>
        <v>4.2000000000000003E-2</v>
      </c>
      <c r="I57" s="151">
        <f t="shared" si="10"/>
        <v>54</v>
      </c>
      <c r="J57" s="177"/>
      <c r="K57" s="133"/>
      <c r="L57" s="199">
        <f>'Proposed Rates'!P61</f>
        <v>4.1666666666666661</v>
      </c>
      <c r="M57" s="151">
        <f t="shared" si="13"/>
        <v>53</v>
      </c>
      <c r="N57" s="151">
        <f t="shared" si="12"/>
        <v>-1</v>
      </c>
      <c r="O57" s="133"/>
      <c r="P57" s="298">
        <f>'Proposed Rates'!X61</f>
        <v>4.2999999999999997E-2</v>
      </c>
      <c r="Q57" s="151">
        <f t="shared" si="11"/>
        <v>55</v>
      </c>
      <c r="R57" s="151">
        <f t="shared" si="14"/>
        <v>1</v>
      </c>
      <c r="S57" s="25"/>
      <c r="T57" s="151"/>
    </row>
    <row r="58" spans="1:20" ht="13" x14ac:dyDescent="0.25">
      <c r="A58" s="154">
        <f>'Plant &amp; Reserve'!A54</f>
        <v>39400</v>
      </c>
      <c r="B58" s="180"/>
      <c r="C58" s="179" t="str">
        <f>'Plant &amp; Reserve'!C54</f>
        <v>Tools, Shop &amp; Garage Equip</v>
      </c>
      <c r="D58" s="133"/>
      <c r="E58" s="157">
        <f>'Plant &amp; Reserve'!E54</f>
        <v>8587697.3599999994</v>
      </c>
      <c r="F58" s="157">
        <f>'Plant &amp; Reserve'!F54</f>
        <v>4420844.3778393846</v>
      </c>
      <c r="G58" s="133"/>
      <c r="H58" s="231">
        <f>'Proposed Rates'!J62</f>
        <v>5.6000000000000001E-2</v>
      </c>
      <c r="I58" s="151">
        <f t="shared" si="10"/>
        <v>480911</v>
      </c>
      <c r="J58" s="177"/>
      <c r="K58" s="133"/>
      <c r="L58" s="199">
        <f>'Proposed Rates'!P62</f>
        <v>5.5555555555555554</v>
      </c>
      <c r="M58" s="151">
        <f t="shared" si="13"/>
        <v>477094</v>
      </c>
      <c r="N58" s="151">
        <f t="shared" si="12"/>
        <v>-3817</v>
      </c>
      <c r="O58" s="133"/>
      <c r="P58" s="298">
        <f>'Proposed Rates'!X62</f>
        <v>4.8000000000000001E-2</v>
      </c>
      <c r="Q58" s="151">
        <f t="shared" si="11"/>
        <v>412209</v>
      </c>
      <c r="R58" s="151">
        <f t="shared" si="14"/>
        <v>-68702</v>
      </c>
      <c r="S58" s="25"/>
      <c r="T58" s="151"/>
    </row>
    <row r="59" spans="1:20" ht="13" x14ac:dyDescent="0.25">
      <c r="A59" s="154">
        <f>'Plant &amp; Reserve'!A55</f>
        <v>39401</v>
      </c>
      <c r="B59" s="180"/>
      <c r="C59" s="155" t="s">
        <v>680</v>
      </c>
      <c r="D59" s="133"/>
      <c r="E59" s="157">
        <f>'Plant &amp; Reserve'!E55</f>
        <v>3241792.7900000005</v>
      </c>
      <c r="F59" s="157">
        <f>'Plant &amp; Reserve'!F55</f>
        <v>795268.96250000119</v>
      </c>
      <c r="G59" s="133"/>
      <c r="H59" s="231">
        <f>'Proposed Rates'!J63</f>
        <v>0.05</v>
      </c>
      <c r="I59" s="151">
        <f t="shared" si="10"/>
        <v>162090</v>
      </c>
      <c r="J59" s="177"/>
      <c r="K59" s="133"/>
      <c r="L59" s="199">
        <f>'Proposed Rates'!P63</f>
        <v>5</v>
      </c>
      <c r="M59" s="151">
        <f t="shared" ref="M59" si="15">ROUND($E59*L59/100,0)</f>
        <v>162090</v>
      </c>
      <c r="N59" s="151">
        <f t="shared" ref="N59" si="16">M59-$I59</f>
        <v>0</v>
      </c>
      <c r="O59" s="133"/>
      <c r="P59" s="298">
        <f>'Proposed Rates'!X63</f>
        <v>5.0999999999999997E-2</v>
      </c>
      <c r="Q59" s="151">
        <f t="shared" si="11"/>
        <v>165331</v>
      </c>
      <c r="R59" s="151">
        <f t="shared" ref="R59" si="17">Q59-$I59</f>
        <v>3241</v>
      </c>
      <c r="S59" s="25"/>
      <c r="T59" s="151"/>
    </row>
    <row r="60" spans="1:20" ht="13" x14ac:dyDescent="0.25">
      <c r="A60" s="154">
        <f>'Plant &amp; Reserve'!A56</f>
        <v>39500</v>
      </c>
      <c r="B60" s="180"/>
      <c r="C60" s="179" t="str">
        <f>'Plant &amp; Reserve'!C56</f>
        <v>Laboratory Equipment</v>
      </c>
      <c r="D60" s="133"/>
      <c r="E60" s="157">
        <f>'Plant &amp; Reserve'!E56</f>
        <v>0</v>
      </c>
      <c r="F60" s="157">
        <f>'Plant &amp; Reserve'!F56</f>
        <v>0</v>
      </c>
      <c r="G60" s="133"/>
      <c r="H60" s="231">
        <f>'Proposed Rates'!J64</f>
        <v>0.05</v>
      </c>
      <c r="I60" s="151">
        <f t="shared" si="10"/>
        <v>0</v>
      </c>
      <c r="J60" s="177"/>
      <c r="K60" s="133"/>
      <c r="L60" s="199">
        <f>'Proposed Rates'!P64</f>
        <v>5</v>
      </c>
      <c r="M60" s="151">
        <f t="shared" si="13"/>
        <v>0</v>
      </c>
      <c r="N60" s="151">
        <f t="shared" si="12"/>
        <v>0</v>
      </c>
      <c r="O60" s="133"/>
      <c r="P60" s="298">
        <f>'Proposed Rates'!X64</f>
        <v>0.05</v>
      </c>
      <c r="Q60" s="151">
        <f t="shared" si="11"/>
        <v>0</v>
      </c>
      <c r="R60" s="151">
        <f t="shared" si="14"/>
        <v>0</v>
      </c>
      <c r="S60" s="25"/>
      <c r="T60" s="151"/>
    </row>
    <row r="61" spans="1:20" ht="13" x14ac:dyDescent="0.25">
      <c r="A61" s="154">
        <f>'Plant &amp; Reserve'!A57</f>
        <v>39600</v>
      </c>
      <c r="B61" s="180"/>
      <c r="C61" s="179" t="str">
        <f>'Plant &amp; Reserve'!C57</f>
        <v>Power Operated Equipment</v>
      </c>
      <c r="D61" s="133"/>
      <c r="E61" s="157">
        <f>'Plant &amp; Reserve'!E57</f>
        <v>3562012.9878999991</v>
      </c>
      <c r="F61" s="157">
        <f>'Plant &amp; Reserve'!F57</f>
        <v>2121059.1343065528</v>
      </c>
      <c r="G61" s="133"/>
      <c r="H61" s="231">
        <f>'Proposed Rates'!J65</f>
        <v>2.7E-2</v>
      </c>
      <c r="I61" s="151">
        <f t="shared" si="10"/>
        <v>96174</v>
      </c>
      <c r="J61" s="177"/>
      <c r="K61" s="133"/>
      <c r="L61" s="199">
        <f>'Proposed Rates'!P65</f>
        <v>5</v>
      </c>
      <c r="M61" s="151">
        <f t="shared" si="13"/>
        <v>178101</v>
      </c>
      <c r="N61" s="151">
        <f t="shared" si="12"/>
        <v>81927</v>
      </c>
      <c r="O61" s="133"/>
      <c r="P61" s="298">
        <f>'Proposed Rates'!X65</f>
        <v>2.8999999999999998E-2</v>
      </c>
      <c r="Q61" s="151">
        <f t="shared" si="11"/>
        <v>103298</v>
      </c>
      <c r="R61" s="151">
        <f t="shared" si="14"/>
        <v>7124</v>
      </c>
      <c r="S61" s="25"/>
      <c r="T61" s="151"/>
    </row>
    <row r="62" spans="1:20" ht="13" x14ac:dyDescent="0.25">
      <c r="A62" s="154">
        <f>'Plant &amp; Reserve'!A58</f>
        <v>39700</v>
      </c>
      <c r="B62" s="180"/>
      <c r="C62" s="179" t="str">
        <f>'Plant &amp; Reserve'!C58</f>
        <v>Communication Equipment</v>
      </c>
      <c r="D62" s="133"/>
      <c r="E62" s="157">
        <f>'Rate Computation'!D58</f>
        <v>3015264.3707999997</v>
      </c>
      <c r="F62" s="157">
        <f>'Plant &amp; Reserve'!F58</f>
        <v>2936319.9008156708</v>
      </c>
      <c r="G62" s="133"/>
      <c r="H62" s="231">
        <f>'Proposed Rates'!J66</f>
        <v>7.6999999999999999E-2</v>
      </c>
      <c r="I62" s="151">
        <v>0</v>
      </c>
      <c r="J62" s="177"/>
      <c r="K62" s="133"/>
      <c r="L62" s="199">
        <f>'Proposed Rates'!P66</f>
        <v>7.6923076923076925</v>
      </c>
      <c r="M62" s="151">
        <f t="shared" si="13"/>
        <v>231943</v>
      </c>
      <c r="N62" s="151">
        <f t="shared" si="12"/>
        <v>231943</v>
      </c>
      <c r="O62" s="133"/>
      <c r="P62" s="298">
        <v>7.6999999999999999E-2</v>
      </c>
      <c r="Q62" s="151">
        <v>0</v>
      </c>
      <c r="R62" s="151">
        <f t="shared" si="14"/>
        <v>0</v>
      </c>
      <c r="S62" s="25"/>
    </row>
    <row r="63" spans="1:20" ht="13" x14ac:dyDescent="0.25">
      <c r="A63" s="154">
        <f>'Plant &amp; Reserve'!A59</f>
        <v>39800</v>
      </c>
      <c r="B63" s="180"/>
      <c r="C63" s="179" t="str">
        <f>'Plant &amp; Reserve'!C59</f>
        <v>Miscellaneous Equipment</v>
      </c>
      <c r="D63" s="133"/>
      <c r="E63" s="157">
        <f>'Rate Computation'!D59</f>
        <v>749276.97410000011</v>
      </c>
      <c r="F63" s="157">
        <f>'Plant &amp; Reserve'!F59</f>
        <v>211978.84817832068</v>
      </c>
      <c r="G63" s="133"/>
      <c r="H63" s="231">
        <f>'Proposed Rates'!J67</f>
        <v>0.05</v>
      </c>
      <c r="I63" s="151">
        <f t="shared" si="10"/>
        <v>37464</v>
      </c>
      <c r="J63" s="177"/>
      <c r="K63" s="133"/>
      <c r="L63" s="199">
        <f>'Proposed Rates'!P67</f>
        <v>5</v>
      </c>
      <c r="M63" s="151">
        <f t="shared" si="13"/>
        <v>37464</v>
      </c>
      <c r="N63" s="151">
        <f t="shared" si="12"/>
        <v>0</v>
      </c>
      <c r="O63" s="133"/>
      <c r="P63" s="298">
        <f>'Proposed Rates'!X67</f>
        <v>4.2999999999999997E-2</v>
      </c>
      <c r="Q63" s="151">
        <f t="shared" si="11"/>
        <v>32219</v>
      </c>
      <c r="R63" s="151">
        <f t="shared" si="14"/>
        <v>-5245</v>
      </c>
      <c r="S63" s="25"/>
      <c r="T63" s="151"/>
    </row>
    <row r="64" spans="1:20" ht="13.5" thickBot="1" x14ac:dyDescent="0.3">
      <c r="A64" s="205"/>
      <c r="B64" s="200"/>
      <c r="C64" s="200"/>
      <c r="D64" s="133"/>
      <c r="E64" s="201"/>
      <c r="F64" s="201"/>
      <c r="G64" s="133"/>
      <c r="H64" s="202"/>
      <c r="I64" s="163"/>
      <c r="J64" s="177"/>
      <c r="K64" s="133"/>
      <c r="L64" s="202"/>
      <c r="M64" s="163"/>
      <c r="N64" s="163"/>
      <c r="O64" s="133"/>
      <c r="P64" s="299"/>
      <c r="Q64" s="163"/>
      <c r="R64" s="163"/>
      <c r="S64" s="25"/>
    </row>
    <row r="65" spans="1:20" ht="19.899999999999999" customHeight="1" thickTop="1" thickBot="1" x14ac:dyDescent="0.3">
      <c r="A65" s="205"/>
      <c r="B65" s="200"/>
      <c r="C65" s="203" t="s">
        <v>60</v>
      </c>
      <c r="D65" s="133"/>
      <c r="E65" s="164">
        <f>SUM(E36:E64)</f>
        <v>181149910.56079993</v>
      </c>
      <c r="F65" s="164">
        <f>SUM(F36:F64)</f>
        <v>63479379.970643796</v>
      </c>
      <c r="G65" s="133"/>
      <c r="H65" s="196">
        <f>IF($E65=0,0,ROUND(I65/$E65*100,1))</f>
        <v>6.3</v>
      </c>
      <c r="I65" s="164">
        <f>SUM(I36:I64)</f>
        <v>11351990</v>
      </c>
      <c r="J65" s="177"/>
      <c r="K65" s="133"/>
      <c r="L65" s="196">
        <f>IF($E65=0,0,ROUND(M65/$E65*100,1))</f>
        <v>3.1</v>
      </c>
      <c r="M65" s="164">
        <f>SUM(M36:M64)</f>
        <v>5603113</v>
      </c>
      <c r="N65" s="164">
        <f>SUM(N36:N64)</f>
        <v>1545882</v>
      </c>
      <c r="O65" s="133"/>
      <c r="P65" s="295">
        <f>IF($E65=0,0,ROUND(Q65/$E65*100,1))</f>
        <v>6.5</v>
      </c>
      <c r="Q65" s="164">
        <f>SUM(Q36:Q64)</f>
        <v>11759818</v>
      </c>
      <c r="R65" s="164">
        <f>SUM(R36:R64)</f>
        <v>407828</v>
      </c>
      <c r="S65" s="25"/>
    </row>
    <row r="66" spans="1:20" ht="19.899999999999999" customHeight="1" thickTop="1" x14ac:dyDescent="0.25">
      <c r="A66" s="259"/>
      <c r="B66" s="132"/>
      <c r="C66" s="260"/>
      <c r="D66" s="133"/>
      <c r="E66" s="261"/>
      <c r="F66" s="261"/>
      <c r="G66" s="133"/>
      <c r="H66" s="195"/>
      <c r="I66" s="261"/>
      <c r="J66" s="177"/>
      <c r="K66" s="133"/>
      <c r="L66" s="195"/>
      <c r="M66" s="261"/>
      <c r="N66" s="261"/>
      <c r="O66" s="133"/>
      <c r="P66" s="294"/>
      <c r="Q66" s="261"/>
      <c r="R66" s="261"/>
      <c r="S66" s="25"/>
    </row>
    <row r="67" spans="1:20" ht="19.899999999999999" customHeight="1" x14ac:dyDescent="0.25">
      <c r="A67" s="259">
        <f>'Plant &amp; Reserve'!A63</f>
        <v>33600</v>
      </c>
      <c r="B67" s="132"/>
      <c r="C67" s="262" t="str">
        <f>'Plant &amp; Reserve'!C63</f>
        <v>RNG Plant</v>
      </c>
      <c r="E67" s="157">
        <f>'Plant &amp; Reserve'!E63</f>
        <v>16109646.340000002</v>
      </c>
      <c r="F67" s="157">
        <f>'Plant &amp; Reserve'!F63</f>
        <v>515471.1447375</v>
      </c>
      <c r="G67" s="133" t="s">
        <v>1229</v>
      </c>
      <c r="H67" s="231">
        <f>+'Rate Comparsion'!F50</f>
        <v>3.5000000000000003E-2</v>
      </c>
      <c r="I67" s="151">
        <f t="shared" ref="I67:I69" si="18">ROUND(E67*H67,0)</f>
        <v>563838</v>
      </c>
      <c r="J67" s="177"/>
      <c r="K67" s="133"/>
      <c r="L67" s="199">
        <f>'Proposed Rates'!P71</f>
        <v>3.5</v>
      </c>
      <c r="M67" s="151">
        <f t="shared" ref="M67:M69" si="19">ROUND($E67*L67/100,0)</f>
        <v>563838</v>
      </c>
      <c r="N67" s="151">
        <f t="shared" ref="N67:N69" si="20">M67-$I67</f>
        <v>0</v>
      </c>
      <c r="O67" s="133"/>
      <c r="P67" s="298">
        <f>+'Proposed Rates'!W71</f>
        <v>3.4000000000000002E-2</v>
      </c>
      <c r="Q67" s="151">
        <f t="shared" ref="Q67:Q69" si="21">ROUND(E67*P67,0)</f>
        <v>547728</v>
      </c>
      <c r="R67" s="151">
        <f t="shared" ref="R67:R69" si="22">Q67-$I67</f>
        <v>-16110</v>
      </c>
      <c r="S67" s="25"/>
    </row>
    <row r="68" spans="1:20" ht="19.899999999999999" customHeight="1" x14ac:dyDescent="0.25">
      <c r="A68" s="259">
        <f>'Plant &amp; Reserve'!A64</f>
        <v>33601</v>
      </c>
      <c r="B68" s="132"/>
      <c r="C68" s="262" t="s">
        <v>1357</v>
      </c>
      <c r="E68" s="157">
        <f>'Plant &amp; Reserve'!E64</f>
        <v>35668591.620000005</v>
      </c>
      <c r="F68" s="157">
        <f>'Plant &amp; Reserve'!F64</f>
        <v>1961772.5391000002</v>
      </c>
      <c r="G68" s="133"/>
      <c r="H68" s="231">
        <v>6.7000000000000004E-2</v>
      </c>
      <c r="I68" s="151">
        <f t="shared" si="18"/>
        <v>2389796</v>
      </c>
      <c r="J68" s="177"/>
      <c r="K68" s="133"/>
      <c r="L68" s="199">
        <f>'Proposed Rates'!P72</f>
        <v>6.7</v>
      </c>
      <c r="M68" s="151">
        <f t="shared" si="19"/>
        <v>2389796</v>
      </c>
      <c r="N68" s="151">
        <f t="shared" si="20"/>
        <v>0</v>
      </c>
      <c r="O68" s="133"/>
      <c r="P68" s="298">
        <f>+H68</f>
        <v>6.7000000000000004E-2</v>
      </c>
      <c r="Q68" s="151">
        <f t="shared" ref="Q68" si="23">ROUND(E68*P68,0)</f>
        <v>2389796</v>
      </c>
      <c r="R68" s="151">
        <f t="shared" ref="R68" si="24">Q68-$I68</f>
        <v>0</v>
      </c>
      <c r="S68" s="25"/>
    </row>
    <row r="69" spans="1:20" ht="19.899999999999999" customHeight="1" x14ac:dyDescent="0.25">
      <c r="A69" s="259">
        <f>'Plant &amp; Reserve'!A65</f>
        <v>36400</v>
      </c>
      <c r="B69" s="132"/>
      <c r="C69" s="262" t="str">
        <f>'Plant &amp; Reserve'!C65</f>
        <v>LNG Plant</v>
      </c>
      <c r="E69" s="157">
        <f>'Plant &amp; Reserve'!E65</f>
        <v>1485380.05</v>
      </c>
      <c r="F69" s="157">
        <f>'Plant &amp; Reserve'!F65</f>
        <v>25561.084675000002</v>
      </c>
      <c r="G69" s="133" t="s">
        <v>1229</v>
      </c>
      <c r="H69" s="231">
        <f>+'Rate Comparsion'!F52</f>
        <v>3.5000000000000003E-2</v>
      </c>
      <c r="I69" s="151">
        <f t="shared" si="18"/>
        <v>51988</v>
      </c>
      <c r="J69" s="177"/>
      <c r="K69" s="133"/>
      <c r="L69" s="199">
        <f>'Proposed Rates'!P73</f>
        <v>3.5</v>
      </c>
      <c r="M69" s="151">
        <f t="shared" si="19"/>
        <v>51988</v>
      </c>
      <c r="N69" s="151">
        <f t="shared" si="20"/>
        <v>0</v>
      </c>
      <c r="O69" s="133"/>
      <c r="P69" s="298">
        <f>+'Proposed Rates'!W73</f>
        <v>3.5000000000000003E-2</v>
      </c>
      <c r="Q69" s="151">
        <f t="shared" si="21"/>
        <v>51988</v>
      </c>
      <c r="R69" s="151">
        <f t="shared" si="22"/>
        <v>0</v>
      </c>
      <c r="S69" s="25"/>
    </row>
    <row r="70" spans="1:20" ht="13" x14ac:dyDescent="0.25">
      <c r="A70" s="206"/>
      <c r="B70" s="132"/>
      <c r="C70" s="132"/>
      <c r="D70" s="133"/>
      <c r="E70" s="157"/>
      <c r="F70" s="157"/>
      <c r="G70" s="133"/>
      <c r="H70" s="146"/>
      <c r="I70" s="151"/>
      <c r="J70" s="177"/>
      <c r="K70" s="133"/>
      <c r="L70" s="146"/>
      <c r="M70" s="151"/>
      <c r="N70" s="151"/>
      <c r="O70" s="133"/>
      <c r="P70" s="300"/>
      <c r="Q70" s="151"/>
      <c r="R70" s="151"/>
      <c r="S70" s="25"/>
    </row>
    <row r="71" spans="1:20" ht="13.5" thickBot="1" x14ac:dyDescent="0.3">
      <c r="A71" s="166"/>
      <c r="B71" s="167"/>
      <c r="C71" s="167"/>
      <c r="D71" s="133"/>
      <c r="E71" s="207"/>
      <c r="F71" s="207"/>
      <c r="G71" s="133"/>
      <c r="H71" s="208"/>
      <c r="I71" s="168"/>
      <c r="J71" s="177"/>
      <c r="K71" s="133"/>
      <c r="L71" s="208"/>
      <c r="M71" s="168"/>
      <c r="N71" s="168"/>
      <c r="O71" s="133"/>
      <c r="P71" s="301"/>
      <c r="Q71" s="168"/>
      <c r="R71" s="168"/>
      <c r="S71" s="25"/>
    </row>
    <row r="72" spans="1:20" ht="19.899999999999999" customHeight="1" thickBot="1" x14ac:dyDescent="0.3">
      <c r="A72" s="166"/>
      <c r="B72" s="167"/>
      <c r="C72" s="209" t="s">
        <v>696</v>
      </c>
      <c r="D72" s="133"/>
      <c r="E72" s="171">
        <f>E65+E33+E67+E69+E68</f>
        <v>3186525774.1408005</v>
      </c>
      <c r="F72" s="171">
        <f>F65+F33+F67+F69+F68</f>
        <v>889076505.03173625</v>
      </c>
      <c r="G72" s="133"/>
      <c r="H72" s="210">
        <f>IF($E72=0,0,ROUND(I72/$E72*100,1))</f>
        <v>2.5</v>
      </c>
      <c r="I72" s="171">
        <f>I65+I33+I67+I69+I68</f>
        <v>79986149</v>
      </c>
      <c r="J72" s="177"/>
      <c r="K72" s="133"/>
      <c r="L72" s="210">
        <f>IF($E72=0,0,ROUND(M72/$E72*100,1))</f>
        <v>2.7</v>
      </c>
      <c r="M72" s="171">
        <f t="shared" ref="M72:N72" si="25">M65+M33+M67+M69+M68</f>
        <v>84716441</v>
      </c>
      <c r="N72" s="171">
        <f t="shared" si="25"/>
        <v>12025051</v>
      </c>
      <c r="O72" s="133"/>
      <c r="P72" s="302">
        <f>IF($E72=0,0,ROUND(Q72/$E72*100,1))</f>
        <v>2.8</v>
      </c>
      <c r="Q72" s="171">
        <f t="shared" ref="Q72:R72" si="26">Q65+Q33+Q67+Q69+Q68</f>
        <v>87951936</v>
      </c>
      <c r="R72" s="171">
        <f t="shared" si="26"/>
        <v>7965787</v>
      </c>
      <c r="S72" s="25"/>
    </row>
    <row r="73" spans="1:20" ht="13" x14ac:dyDescent="0.3">
      <c r="A73" s="26"/>
      <c r="B73" s="25"/>
      <c r="C73" s="25"/>
      <c r="D73" s="27"/>
      <c r="E73" s="32"/>
      <c r="F73" s="33"/>
      <c r="G73" s="27"/>
      <c r="H73" s="29"/>
      <c r="I73" s="28"/>
      <c r="J73" s="27"/>
      <c r="K73" s="27"/>
      <c r="L73" s="29"/>
      <c r="M73" s="28"/>
      <c r="N73" s="25"/>
      <c r="O73" s="27"/>
      <c r="P73" s="303"/>
      <c r="Q73" s="30"/>
      <c r="R73" s="28"/>
      <c r="S73" s="25"/>
    </row>
    <row r="74" spans="1:20" ht="13" x14ac:dyDescent="0.3">
      <c r="C74" s="7" t="s">
        <v>67</v>
      </c>
      <c r="E74" s="31">
        <v>3467239074.6882105</v>
      </c>
      <c r="F74" s="31">
        <f>'Reserve Allocation'!$N$79</f>
        <v>894044433.41173625</v>
      </c>
      <c r="G74" s="20"/>
      <c r="H74" s="122"/>
      <c r="I74" s="222"/>
      <c r="J74" s="3"/>
      <c r="K74" s="3"/>
      <c r="L74" s="3"/>
      <c r="M74" s="3"/>
      <c r="N74" s="3"/>
      <c r="O74" s="3"/>
      <c r="P74" s="304"/>
      <c r="Q74" s="222"/>
      <c r="R74" s="3"/>
      <c r="S74" s="3"/>
      <c r="T74" s="3"/>
    </row>
    <row r="75" spans="1:20" ht="13" x14ac:dyDescent="0.3">
      <c r="C75" s="7" t="str">
        <f>'Plant &amp; Reserve'!C72</f>
        <v>Less Land Distribution 37400</v>
      </c>
      <c r="D75">
        <f>'Plant &amp; Reserve'!D72</f>
        <v>0</v>
      </c>
      <c r="E75" s="31">
        <v>-16157149.27</v>
      </c>
      <c r="F75" s="31">
        <f>'Plant &amp; Reserve'!F72</f>
        <v>60224.600000000399</v>
      </c>
      <c r="G75" s="20"/>
      <c r="H75" s="122"/>
      <c r="I75" s="222"/>
      <c r="J75" s="3"/>
      <c r="K75" s="3"/>
      <c r="L75" s="3"/>
      <c r="M75" s="3"/>
      <c r="N75" s="3"/>
      <c r="O75" s="3"/>
      <c r="P75" s="304"/>
      <c r="Q75" s="222"/>
      <c r="R75" s="3"/>
      <c r="S75" s="3"/>
      <c r="T75" s="3"/>
    </row>
    <row r="76" spans="1:20" ht="13" x14ac:dyDescent="0.3">
      <c r="C76" s="7" t="str">
        <f>'Plant &amp; Reserve'!C73</f>
        <v>Less 115 PGS Acq Adj</v>
      </c>
      <c r="D76">
        <f>'Plant &amp; Reserve'!D73</f>
        <v>0</v>
      </c>
      <c r="E76" s="31">
        <f>'Plant &amp; Reserve'!E73</f>
        <v>-5031897.24</v>
      </c>
      <c r="F76" s="31">
        <f>'Plant &amp; Reserve'!F73</f>
        <v>-5028152.9800000098</v>
      </c>
      <c r="G76" s="20"/>
      <c r="H76" s="122"/>
      <c r="I76" s="222"/>
      <c r="J76" s="3"/>
      <c r="K76" s="3"/>
      <c r="L76" s="3"/>
      <c r="M76" s="3"/>
      <c r="N76" s="3"/>
      <c r="O76" s="3"/>
      <c r="P76" s="304"/>
      <c r="Q76" s="222"/>
      <c r="R76" s="3"/>
      <c r="S76" s="3"/>
      <c r="T76" s="3"/>
    </row>
    <row r="77" spans="1:20" ht="13" x14ac:dyDescent="0.3">
      <c r="C77" s="7" t="str">
        <f>'Plant &amp; Reserve'!C74</f>
        <v>Less 10500 - Future Use</v>
      </c>
      <c r="D77">
        <f>'Plant &amp; Reserve'!D74</f>
        <v>0</v>
      </c>
      <c r="E77" s="31">
        <f>'Plant &amp; Reserve'!E74</f>
        <v>-1939551.55</v>
      </c>
      <c r="F77" s="31">
        <f>'Plant &amp; Reserve'!F74</f>
        <v>0</v>
      </c>
      <c r="G77" s="20"/>
      <c r="H77" s="122"/>
      <c r="I77" s="222"/>
      <c r="J77" s="3"/>
      <c r="K77" s="3"/>
      <c r="L77" s="3"/>
      <c r="M77" s="3"/>
      <c r="N77" s="3"/>
      <c r="O77" s="3"/>
      <c r="P77" s="304"/>
      <c r="Q77" s="222"/>
      <c r="R77" s="3"/>
      <c r="S77" s="3"/>
      <c r="T77" s="3"/>
    </row>
    <row r="78" spans="1:20" ht="13" x14ac:dyDescent="0.3">
      <c r="C78" s="7" t="str">
        <f>'Plant &amp; Reserve'!C75</f>
        <v>Transfers In/Out</v>
      </c>
      <c r="D78">
        <f>'Plant &amp; Reserve'!D75</f>
        <v>0</v>
      </c>
      <c r="E78" s="31">
        <f>'Plant &amp; Reserve'!E75</f>
        <v>0</v>
      </c>
      <c r="F78" s="31">
        <f>'Plant &amp; Reserve'!F75</f>
        <v>0</v>
      </c>
      <c r="G78" s="20"/>
      <c r="H78" s="122"/>
      <c r="I78" s="222"/>
      <c r="J78" s="3"/>
      <c r="K78" s="3"/>
      <c r="L78" s="3"/>
      <c r="M78" s="3"/>
      <c r="N78" s="3"/>
      <c r="O78" s="3"/>
      <c r="P78" s="304"/>
      <c r="Q78" s="222"/>
      <c r="R78" s="3"/>
      <c r="S78" s="3"/>
      <c r="T78" s="3"/>
    </row>
    <row r="79" spans="1:20" ht="13.5" thickBot="1" x14ac:dyDescent="0.35">
      <c r="C79" s="7" t="s">
        <v>73</v>
      </c>
      <c r="E79" s="36">
        <f>SUM(E74:E78)</f>
        <v>3444110476.6282105</v>
      </c>
      <c r="F79" s="36">
        <f>SUM(F74:F78)</f>
        <v>889076505.03173625</v>
      </c>
      <c r="G79" s="20"/>
      <c r="H79" s="4"/>
      <c r="I79" s="3"/>
      <c r="J79" s="3"/>
      <c r="K79" s="3"/>
      <c r="L79" s="3"/>
      <c r="M79" s="3"/>
      <c r="N79" s="3"/>
      <c r="O79" s="3"/>
      <c r="P79" s="304"/>
      <c r="Q79" s="3"/>
      <c r="R79" s="3"/>
      <c r="S79" s="3"/>
      <c r="T79" s="3"/>
    </row>
    <row r="80" spans="1:20" ht="13.5" thickTop="1" x14ac:dyDescent="0.3">
      <c r="C80" s="91" t="s">
        <v>68</v>
      </c>
      <c r="E80" s="10">
        <f>E72-E79</f>
        <v>-257584702.48741007</v>
      </c>
      <c r="F80" s="10">
        <f>F72-F79</f>
        <v>0</v>
      </c>
      <c r="G80" s="20"/>
      <c r="H80" s="4"/>
      <c r="I80" s="3"/>
      <c r="J80" s="3"/>
      <c r="K80" s="3"/>
      <c r="L80" s="3"/>
      <c r="M80" s="3"/>
      <c r="N80" s="3"/>
      <c r="O80" s="3"/>
      <c r="P80" s="304"/>
      <c r="Q80" s="3"/>
      <c r="R80" s="3"/>
      <c r="S80" s="3"/>
      <c r="T80" s="3"/>
    </row>
    <row r="89" spans="5:15" x14ac:dyDescent="0.25">
      <c r="E89" s="246"/>
      <c r="F89" s="246"/>
      <c r="G89" s="246"/>
      <c r="H89" s="246"/>
      <c r="I89" s="246"/>
      <c r="J89" s="246"/>
      <c r="K89" s="246"/>
      <c r="L89" s="246"/>
      <c r="M89" s="246"/>
      <c r="N89" s="246"/>
      <c r="O89" s="246"/>
    </row>
  </sheetData>
  <phoneticPr fontId="0" type="noConversion"/>
  <printOptions horizontalCentered="1"/>
  <pageMargins left="0.5" right="0.5" top="0.5" bottom="0.5" header="0" footer="0"/>
  <pageSetup scale="76" fitToHeight="2" orientation="landscape" blackAndWhite="1" r:id="rId1"/>
  <headerFooter alignWithMargins="0"/>
  <rowBreaks count="1" manualBreakCount="1">
    <brk id="34" max="17" man="1"/>
  </rowBreaks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2"/>
  </sheetPr>
  <dimension ref="A1:W82"/>
  <sheetViews>
    <sheetView topLeftCell="A40" zoomScaleNormal="100" workbookViewId="0">
      <selection activeCell="F79" sqref="F79"/>
    </sheetView>
  </sheetViews>
  <sheetFormatPr defaultRowHeight="12.5" x14ac:dyDescent="0.25"/>
  <cols>
    <col min="1" max="1" width="8.26953125" bestFit="1" customWidth="1"/>
    <col min="2" max="2" width="1.7265625" customWidth="1"/>
    <col min="3" max="3" width="31" bestFit="1" customWidth="1"/>
    <col min="4" max="4" width="1.7265625" customWidth="1"/>
    <col min="5" max="5" width="14.1796875" bestFit="1" customWidth="1"/>
    <col min="6" max="6" width="13.54296875" customWidth="1"/>
    <col min="7" max="7" width="8.26953125" bestFit="1" customWidth="1"/>
    <col min="8" max="8" width="18" customWidth="1"/>
    <col min="9" max="9" width="10.81640625" customWidth="1"/>
    <col min="10" max="10" width="14.1796875" bestFit="1" customWidth="1"/>
    <col min="11" max="11" width="12.453125" bestFit="1" customWidth="1"/>
    <col min="12" max="12" width="5.7265625" customWidth="1"/>
    <col min="13" max="13" width="8.26953125" bestFit="1" customWidth="1"/>
    <col min="14" max="14" width="1.7265625" customWidth="1"/>
    <col min="15" max="15" width="31" bestFit="1" customWidth="1"/>
    <col min="16" max="16" width="1.7265625" customWidth="1"/>
    <col min="17" max="17" width="14.26953125" customWidth="1"/>
    <col min="18" max="18" width="1.7265625" customWidth="1"/>
    <col min="19" max="19" width="14.26953125" customWidth="1"/>
    <col min="20" max="20" width="1.7265625" customWidth="1"/>
    <col min="21" max="21" width="14.26953125" style="10" customWidth="1"/>
    <col min="22" max="22" width="5" customWidth="1"/>
    <col min="23" max="23" width="12.81640625" bestFit="1" customWidth="1"/>
  </cols>
  <sheetData>
    <row r="1" spans="1:23" ht="16.5" x14ac:dyDescent="0.35">
      <c r="A1" s="129" t="s">
        <v>88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305"/>
      <c r="M1" s="129" t="s">
        <v>88</v>
      </c>
      <c r="N1" s="130"/>
      <c r="O1" s="130"/>
      <c r="P1" s="130"/>
      <c r="Q1" s="130"/>
      <c r="R1" s="130"/>
      <c r="S1" s="130"/>
      <c r="T1" s="130"/>
      <c r="U1" s="306"/>
      <c r="V1" s="39"/>
    </row>
    <row r="2" spans="1:23" ht="16.5" x14ac:dyDescent="0.35">
      <c r="A2" s="129" t="str">
        <f>'Proposed Rates'!$A2</f>
        <v>2022 Depreciation Rate Review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305"/>
      <c r="M2" s="129" t="str">
        <f>'Proposed Rates'!$A2</f>
        <v>2022 Depreciation Rate Review</v>
      </c>
      <c r="N2" s="130"/>
      <c r="O2" s="130"/>
      <c r="P2" s="130"/>
      <c r="Q2" s="130"/>
      <c r="R2" s="130"/>
      <c r="S2" s="130"/>
      <c r="T2" s="130"/>
      <c r="U2" s="306"/>
      <c r="V2" s="39"/>
    </row>
    <row r="3" spans="1:23" ht="16.5" x14ac:dyDescent="0.35">
      <c r="A3" s="129" t="s">
        <v>40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305"/>
      <c r="M3" s="129" t="s">
        <v>69</v>
      </c>
      <c r="N3" s="130"/>
      <c r="O3" s="130"/>
      <c r="P3" s="130"/>
      <c r="Q3" s="130"/>
      <c r="R3" s="130"/>
      <c r="S3" s="130"/>
      <c r="T3" s="130"/>
      <c r="U3" s="306"/>
      <c r="V3" s="39"/>
    </row>
    <row r="4" spans="1:23" ht="13" x14ac:dyDescent="0.25">
      <c r="A4" s="131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1"/>
      <c r="N4" s="132"/>
      <c r="O4" s="132"/>
      <c r="P4" s="132"/>
      <c r="Q4" s="132"/>
      <c r="R4" s="132"/>
      <c r="S4" s="132"/>
      <c r="T4" s="132"/>
      <c r="U4" s="307"/>
      <c r="V4" s="25"/>
    </row>
    <row r="5" spans="1:23" ht="13" x14ac:dyDescent="0.25">
      <c r="A5" s="131"/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1"/>
      <c r="N5" s="132"/>
      <c r="O5" s="132"/>
      <c r="P5" s="132"/>
      <c r="Q5" s="132"/>
      <c r="R5" s="132"/>
      <c r="S5" s="132"/>
      <c r="T5" s="132"/>
      <c r="U5" s="307"/>
      <c r="V5" s="25"/>
    </row>
    <row r="6" spans="1:23" ht="13" x14ac:dyDescent="0.25">
      <c r="A6" s="132"/>
      <c r="B6" s="132"/>
      <c r="C6" s="132"/>
      <c r="D6" s="132"/>
      <c r="E6" s="133"/>
      <c r="F6" s="308"/>
      <c r="G6" s="132"/>
      <c r="H6" s="132"/>
      <c r="I6" s="132"/>
      <c r="J6" s="132"/>
      <c r="K6" s="309"/>
      <c r="L6" s="132"/>
      <c r="M6" s="132"/>
      <c r="N6" s="132"/>
      <c r="O6" s="132"/>
      <c r="P6" s="132"/>
      <c r="Q6" s="133" t="s">
        <v>1229</v>
      </c>
      <c r="R6" s="132"/>
      <c r="S6" s="308"/>
      <c r="T6" s="132"/>
      <c r="U6" s="308" t="s">
        <v>1229</v>
      </c>
      <c r="V6" s="25"/>
    </row>
    <row r="7" spans="1:23" ht="13" x14ac:dyDescent="0.25">
      <c r="A7" s="132"/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308"/>
      <c r="V7" s="25"/>
    </row>
    <row r="8" spans="1:23" ht="13" x14ac:dyDescent="0.25">
      <c r="A8" s="132"/>
      <c r="B8" s="132"/>
      <c r="C8" s="132"/>
      <c r="D8" s="132"/>
      <c r="E8" s="132"/>
      <c r="F8" s="133"/>
      <c r="G8" s="132"/>
      <c r="H8" s="134"/>
      <c r="I8" s="132"/>
      <c r="J8" s="132"/>
      <c r="K8" s="132"/>
      <c r="L8" s="132"/>
      <c r="M8" s="132"/>
      <c r="N8" s="132"/>
      <c r="O8" s="132"/>
      <c r="P8" s="132"/>
      <c r="Q8" s="133"/>
      <c r="R8" s="132"/>
      <c r="S8" s="132"/>
      <c r="T8" s="132"/>
      <c r="U8" s="308" t="s">
        <v>70</v>
      </c>
      <c r="V8" s="25"/>
    </row>
    <row r="9" spans="1:23" ht="13" x14ac:dyDescent="0.25">
      <c r="A9" s="133"/>
      <c r="B9" s="133"/>
      <c r="C9" s="133"/>
      <c r="D9" s="133"/>
      <c r="E9" s="133" t="s">
        <v>34</v>
      </c>
      <c r="F9" s="133" t="s">
        <v>71</v>
      </c>
      <c r="G9" s="133" t="s">
        <v>6</v>
      </c>
      <c r="H9" s="135" t="s">
        <v>41</v>
      </c>
      <c r="I9" s="135" t="s">
        <v>41</v>
      </c>
      <c r="J9" s="133" t="s">
        <v>42</v>
      </c>
      <c r="K9" s="136" t="s">
        <v>42</v>
      </c>
      <c r="L9" s="132"/>
      <c r="M9" s="133"/>
      <c r="N9" s="133"/>
      <c r="O9" s="133"/>
      <c r="P9" s="133"/>
      <c r="Q9" s="133" t="s">
        <v>6</v>
      </c>
      <c r="R9" s="133"/>
      <c r="S9" s="133" t="s">
        <v>64</v>
      </c>
      <c r="T9" s="133"/>
      <c r="U9" s="308" t="s">
        <v>6</v>
      </c>
      <c r="V9" s="25"/>
    </row>
    <row r="10" spans="1:23" ht="13" x14ac:dyDescent="0.25">
      <c r="A10" s="137" t="s">
        <v>9</v>
      </c>
      <c r="B10" s="133"/>
      <c r="C10" s="133"/>
      <c r="D10" s="133"/>
      <c r="E10" s="133" t="s">
        <v>72</v>
      </c>
      <c r="F10" s="133" t="s">
        <v>6</v>
      </c>
      <c r="G10" s="133" t="s">
        <v>14</v>
      </c>
      <c r="H10" s="133" t="s">
        <v>6</v>
      </c>
      <c r="I10" s="133" t="s">
        <v>6</v>
      </c>
      <c r="J10" s="133" t="s">
        <v>43</v>
      </c>
      <c r="K10" s="136" t="s">
        <v>66</v>
      </c>
      <c r="L10" s="132"/>
      <c r="M10" s="137" t="s">
        <v>9</v>
      </c>
      <c r="N10" s="133"/>
      <c r="O10" s="133"/>
      <c r="P10" s="133"/>
      <c r="Q10" s="308" t="s">
        <v>83</v>
      </c>
      <c r="R10" s="133"/>
      <c r="S10" s="133" t="s">
        <v>6</v>
      </c>
      <c r="T10" s="133"/>
      <c r="U10" s="308" t="s">
        <v>65</v>
      </c>
      <c r="V10" s="25"/>
    </row>
    <row r="11" spans="1:23" ht="13.5" thickBot="1" x14ac:dyDescent="0.3">
      <c r="A11" s="138" t="s">
        <v>17</v>
      </c>
      <c r="B11" s="133"/>
      <c r="C11" s="139" t="s">
        <v>18</v>
      </c>
      <c r="D11" s="133"/>
      <c r="E11" s="310">
        <v>45657</v>
      </c>
      <c r="F11" s="140">
        <f>$E11</f>
        <v>45657</v>
      </c>
      <c r="G11" s="140"/>
      <c r="H11" s="311" t="s">
        <v>80</v>
      </c>
      <c r="I11" s="139" t="s">
        <v>14</v>
      </c>
      <c r="J11" s="139" t="s">
        <v>41</v>
      </c>
      <c r="K11" s="139" t="s">
        <v>41</v>
      </c>
      <c r="L11" s="132"/>
      <c r="M11" s="138" t="s">
        <v>17</v>
      </c>
      <c r="N11" s="133"/>
      <c r="O11" s="139" t="s">
        <v>18</v>
      </c>
      <c r="P11" s="133"/>
      <c r="Q11" s="140">
        <f>$E11</f>
        <v>45657</v>
      </c>
      <c r="R11" s="133"/>
      <c r="S11" s="139" t="s">
        <v>65</v>
      </c>
      <c r="T11" s="133"/>
      <c r="U11" s="140">
        <f>$E11</f>
        <v>45657</v>
      </c>
      <c r="V11" s="25"/>
    </row>
    <row r="12" spans="1:23" ht="13.5" thickTop="1" x14ac:dyDescent="0.25">
      <c r="A12" s="137"/>
      <c r="B12" s="141"/>
      <c r="C12" s="141"/>
      <c r="D12" s="141"/>
      <c r="E12" s="135" t="s">
        <v>38</v>
      </c>
      <c r="F12" s="135" t="s">
        <v>38</v>
      </c>
      <c r="G12" s="135" t="s">
        <v>24</v>
      </c>
      <c r="H12" s="135" t="s">
        <v>38</v>
      </c>
      <c r="I12" s="135" t="s">
        <v>38</v>
      </c>
      <c r="J12" s="135" t="s">
        <v>38</v>
      </c>
      <c r="K12" s="142" t="s">
        <v>24</v>
      </c>
      <c r="L12" s="132"/>
      <c r="M12" s="137"/>
      <c r="N12" s="141"/>
      <c r="O12" s="141"/>
      <c r="P12" s="141"/>
      <c r="Q12" s="135" t="s">
        <v>38</v>
      </c>
      <c r="R12" s="141"/>
      <c r="S12" s="135" t="s">
        <v>38</v>
      </c>
      <c r="T12" s="141"/>
      <c r="U12" s="312" t="s">
        <v>38</v>
      </c>
      <c r="V12" s="25"/>
    </row>
    <row r="13" spans="1:23" ht="13" x14ac:dyDescent="0.3">
      <c r="A13" s="143"/>
      <c r="B13" s="144"/>
      <c r="C13" s="144"/>
      <c r="D13" s="132"/>
      <c r="E13" s="132"/>
      <c r="F13" s="145"/>
      <c r="G13" s="146"/>
      <c r="H13" s="147"/>
      <c r="I13" s="313"/>
      <c r="J13" s="148"/>
      <c r="K13" s="149"/>
      <c r="L13" s="132"/>
      <c r="M13" s="143"/>
      <c r="N13" s="144"/>
      <c r="O13" s="144"/>
      <c r="P13" s="132"/>
      <c r="Q13" s="132"/>
      <c r="R13" s="144"/>
      <c r="S13" s="148"/>
      <c r="T13" s="144"/>
      <c r="U13" s="307"/>
      <c r="V13" s="221"/>
    </row>
    <row r="14" spans="1:23" ht="13" x14ac:dyDescent="0.3">
      <c r="A14" s="143"/>
      <c r="B14" s="144"/>
      <c r="C14" s="192" t="str">
        <f>'Proposed Rates'!$C14</f>
        <v>Distribution Plant</v>
      </c>
      <c r="D14" s="132"/>
      <c r="E14" s="314"/>
      <c r="F14" s="314"/>
      <c r="G14" s="146"/>
      <c r="H14" s="314"/>
      <c r="I14" s="315"/>
      <c r="J14" s="255"/>
      <c r="K14" s="152"/>
      <c r="L14" s="132"/>
      <c r="M14" s="143"/>
      <c r="N14" s="144"/>
      <c r="O14" s="316" t="str">
        <f>'Proposed Accruals'!$C14</f>
        <v>Distribution Plant</v>
      </c>
      <c r="P14" s="132"/>
      <c r="Q14" s="133"/>
      <c r="R14" s="132"/>
      <c r="S14" s="308"/>
      <c r="T14" s="132"/>
      <c r="U14" s="308"/>
      <c r="V14" s="220"/>
    </row>
    <row r="15" spans="1:23" x14ac:dyDescent="0.25">
      <c r="A15" s="143"/>
      <c r="B15" s="144"/>
      <c r="C15" s="144"/>
      <c r="D15" s="132"/>
      <c r="E15" s="187" t="s">
        <v>77</v>
      </c>
      <c r="F15" s="314"/>
      <c r="G15" s="317"/>
      <c r="H15" s="187"/>
      <c r="I15" s="317"/>
      <c r="J15" s="255"/>
      <c r="K15" s="152"/>
      <c r="L15" s="132"/>
      <c r="M15" s="143"/>
      <c r="N15" s="144"/>
      <c r="O15" s="144"/>
      <c r="P15" s="132"/>
      <c r="Q15" s="187"/>
      <c r="R15" s="144"/>
      <c r="S15" s="318"/>
      <c r="T15" s="144"/>
      <c r="U15" s="314"/>
      <c r="V15" s="217"/>
    </row>
    <row r="16" spans="1:23" ht="13" x14ac:dyDescent="0.3">
      <c r="A16" s="154">
        <v>37402</v>
      </c>
      <c r="B16" s="144"/>
      <c r="C16" s="155" t="s">
        <v>646</v>
      </c>
      <c r="D16" s="132"/>
      <c r="E16" s="256">
        <f>+'Rate Computation'!D21</f>
        <v>4268872.66</v>
      </c>
      <c r="F16" s="156">
        <f>'Reserve Allocation'!N20</f>
        <v>1080752.3138336299</v>
      </c>
      <c r="G16" s="317">
        <f>ROUND(IF($E16=0,0,(F16/$E16)*100),2)</f>
        <v>25.32</v>
      </c>
      <c r="H16" s="256">
        <f>'Theoretical Reserve'!H66</f>
        <v>1032440.8083999999</v>
      </c>
      <c r="I16" s="317">
        <f>ROUND(IF($E16=0,0,(H16/E16)*100),2)</f>
        <v>24.19</v>
      </c>
      <c r="J16" s="255">
        <f>F16-H16</f>
        <v>48311.505433630082</v>
      </c>
      <c r="K16" s="319">
        <f>ROUND(IF(E16=0,0,(F16/H16)*100),0)</f>
        <v>105</v>
      </c>
      <c r="L16" s="132"/>
      <c r="M16" s="154">
        <f t="shared" ref="M16:M31" si="0">$A16</f>
        <v>37402</v>
      </c>
      <c r="N16" s="144"/>
      <c r="O16" s="144" t="str">
        <f t="shared" ref="O16:O31" si="1">$C16</f>
        <v>Land Rights</v>
      </c>
      <c r="P16" s="132"/>
      <c r="Q16" s="256">
        <f>+F16</f>
        <v>1080752.3138336299</v>
      </c>
      <c r="R16" s="144"/>
      <c r="S16" s="320"/>
      <c r="T16" s="144"/>
      <c r="U16" s="159">
        <f>+Q16+S16</f>
        <v>1080752.3138336299</v>
      </c>
      <c r="V16" s="218"/>
      <c r="W16" s="10"/>
    </row>
    <row r="17" spans="1:23" x14ac:dyDescent="0.25">
      <c r="A17" s="154">
        <v>37500</v>
      </c>
      <c r="B17" s="144"/>
      <c r="C17" s="144" t="s">
        <v>93</v>
      </c>
      <c r="D17" s="307"/>
      <c r="E17" s="256">
        <f>+'Rate Computation'!D22</f>
        <v>31386680.029999983</v>
      </c>
      <c r="F17" s="156">
        <f>'Reserve Allocation'!N21</f>
        <v>8366521.0855701342</v>
      </c>
      <c r="G17" s="317">
        <f t="shared" ref="G17:G31" si="2">ROUND(IF($E17=0,0,(F17/$E17)*100),2)</f>
        <v>26.66</v>
      </c>
      <c r="H17" s="256">
        <f>'Theoretical Reserve'!H120</f>
        <v>6547000.7613078225</v>
      </c>
      <c r="I17" s="317">
        <f t="shared" ref="I17:I29" si="3">ROUND(IF($E17=0,0,(H17/E17)*100),2)</f>
        <v>20.86</v>
      </c>
      <c r="J17" s="255">
        <f t="shared" ref="J17:J28" si="4">F17-H17</f>
        <v>1819520.3242623117</v>
      </c>
      <c r="K17" s="319">
        <f t="shared" ref="K17:K28" si="5">ROUND(IF(E17=0,0,(F17/H17)*100),0)</f>
        <v>128</v>
      </c>
      <c r="L17" s="132"/>
      <c r="M17" s="154">
        <f t="shared" si="0"/>
        <v>37500</v>
      </c>
      <c r="N17" s="144"/>
      <c r="O17" s="144" t="str">
        <f t="shared" si="1"/>
        <v>Structures &amp; Improvements</v>
      </c>
      <c r="P17" s="132"/>
      <c r="Q17" s="256">
        <f t="shared" ref="Q17:Q29" si="6">+F17</f>
        <v>8366521.0855701342</v>
      </c>
      <c r="R17" s="321"/>
      <c r="S17" s="320"/>
      <c r="T17" s="144"/>
      <c r="U17" s="159">
        <f t="shared" ref="U17:U31" si="7">+Q17+S17</f>
        <v>8366521.0855701342</v>
      </c>
      <c r="V17" s="25"/>
      <c r="W17" s="10"/>
    </row>
    <row r="18" spans="1:23" ht="13" x14ac:dyDescent="0.3">
      <c r="A18" s="154">
        <v>37600</v>
      </c>
      <c r="B18" s="144"/>
      <c r="C18" s="144" t="s">
        <v>94</v>
      </c>
      <c r="D18" s="307"/>
      <c r="E18" s="256">
        <f>+'Rate Computation'!D23</f>
        <v>826292081.17000031</v>
      </c>
      <c r="F18" s="156">
        <f>'Reserve Allocation'!N22</f>
        <v>235380987.81307572</v>
      </c>
      <c r="G18" s="317">
        <f t="shared" si="2"/>
        <v>28.49</v>
      </c>
      <c r="H18" s="256">
        <f>'Theoretical Reserve'!H193</f>
        <v>198618431.58142173</v>
      </c>
      <c r="I18" s="317">
        <f t="shared" si="3"/>
        <v>24.04</v>
      </c>
      <c r="J18" s="255">
        <f t="shared" si="4"/>
        <v>36762556.231653988</v>
      </c>
      <c r="K18" s="319">
        <f t="shared" si="5"/>
        <v>119</v>
      </c>
      <c r="L18" s="132"/>
      <c r="M18" s="154">
        <f t="shared" si="0"/>
        <v>37600</v>
      </c>
      <c r="N18" s="144"/>
      <c r="O18" s="144" t="str">
        <f t="shared" si="1"/>
        <v>Mains Steel</v>
      </c>
      <c r="P18" s="132"/>
      <c r="Q18" s="256">
        <f t="shared" si="6"/>
        <v>235380987.81307572</v>
      </c>
      <c r="R18" s="321"/>
      <c r="S18" s="320"/>
      <c r="T18" s="144"/>
      <c r="U18" s="159">
        <f t="shared" si="7"/>
        <v>235380987.81307572</v>
      </c>
      <c r="V18" s="219"/>
      <c r="W18" s="10"/>
    </row>
    <row r="19" spans="1:23" ht="13" x14ac:dyDescent="0.3">
      <c r="A19" s="154">
        <v>37602</v>
      </c>
      <c r="B19" s="144"/>
      <c r="C19" s="144" t="s">
        <v>95</v>
      </c>
      <c r="D19" s="307"/>
      <c r="E19" s="256">
        <f>+'Rate Computation'!D24</f>
        <v>961474232.54999995</v>
      </c>
      <c r="F19" s="156">
        <f>'Reserve Allocation'!N23</f>
        <v>195926801.30512688</v>
      </c>
      <c r="G19" s="317">
        <f t="shared" si="2"/>
        <v>20.38</v>
      </c>
      <c r="H19" s="256">
        <f>'Theoretical Reserve'!H232</f>
        <v>142870634.97265488</v>
      </c>
      <c r="I19" s="317">
        <f t="shared" si="3"/>
        <v>14.86</v>
      </c>
      <c r="J19" s="255">
        <f t="shared" si="4"/>
        <v>53056166.332471997</v>
      </c>
      <c r="K19" s="319">
        <f t="shared" si="5"/>
        <v>137</v>
      </c>
      <c r="L19" s="132"/>
      <c r="M19" s="154">
        <f t="shared" si="0"/>
        <v>37602</v>
      </c>
      <c r="N19" s="144"/>
      <c r="O19" s="144" t="str">
        <f t="shared" si="1"/>
        <v>Mains Plastic</v>
      </c>
      <c r="P19" s="132"/>
      <c r="Q19" s="256">
        <f t="shared" si="6"/>
        <v>195926801.30512688</v>
      </c>
      <c r="R19" s="321"/>
      <c r="S19" s="320"/>
      <c r="T19" s="144"/>
      <c r="U19" s="159">
        <f t="shared" si="7"/>
        <v>195926801.30512688</v>
      </c>
      <c r="V19" s="219"/>
      <c r="W19" s="10"/>
    </row>
    <row r="20" spans="1:23" ht="13" x14ac:dyDescent="0.3">
      <c r="A20" s="154">
        <v>37700</v>
      </c>
      <c r="B20" s="144"/>
      <c r="C20" s="144" t="str">
        <f>'Rate Computation'!$C$25</f>
        <v>Compressor Equipment</v>
      </c>
      <c r="D20" s="307"/>
      <c r="E20" s="256">
        <f>+'Rate Computation'!D25</f>
        <v>19187297.899999999</v>
      </c>
      <c r="F20" s="156">
        <f>'Reserve Allocation'!N24</f>
        <v>1319479.5011633653</v>
      </c>
      <c r="G20" s="317">
        <f t="shared" ref="G20" si="8">ROUND(IF($E20=0,0,(F20/$E20)*100),2)</f>
        <v>6.88</v>
      </c>
      <c r="H20" s="256">
        <f>+'Theoretical Reserve'!H235</f>
        <v>1227936.4875034716</v>
      </c>
      <c r="I20" s="317">
        <f t="shared" ref="I20" si="9">ROUND(IF($E20=0,0,(H20/E20)*100),2)</f>
        <v>6.4</v>
      </c>
      <c r="J20" s="255">
        <f t="shared" ref="J20" si="10">F20-H20</f>
        <v>91543.013659893768</v>
      </c>
      <c r="K20" s="319">
        <f t="shared" ref="K20" si="11">ROUND(IF(E20=0,0,(F20/H20)*100),0)</f>
        <v>107</v>
      </c>
      <c r="L20" s="132"/>
      <c r="M20" s="154">
        <f t="shared" si="0"/>
        <v>37700</v>
      </c>
      <c r="N20" s="144"/>
      <c r="O20" s="144" t="s">
        <v>1251</v>
      </c>
      <c r="P20" s="132"/>
      <c r="Q20" s="256">
        <f t="shared" si="6"/>
        <v>1319479.5011633653</v>
      </c>
      <c r="R20" s="321"/>
      <c r="S20" s="320"/>
      <c r="T20" s="144"/>
      <c r="U20" s="159">
        <f t="shared" si="7"/>
        <v>1319479.5011633653</v>
      </c>
      <c r="V20" s="219"/>
      <c r="W20" s="10"/>
    </row>
    <row r="21" spans="1:23" ht="13" x14ac:dyDescent="0.3">
      <c r="A21" s="154">
        <v>37800</v>
      </c>
      <c r="B21" s="144"/>
      <c r="C21" s="144" t="s">
        <v>96</v>
      </c>
      <c r="D21" s="307"/>
      <c r="E21" s="256">
        <f>+'Rate Computation'!D26</f>
        <v>22151056.50999999</v>
      </c>
      <c r="F21" s="156">
        <f>'Reserve Allocation'!N25</f>
        <v>5812102.0078713428</v>
      </c>
      <c r="G21" s="317">
        <f t="shared" si="2"/>
        <v>26.24</v>
      </c>
      <c r="H21" s="256">
        <f>'Theoretical Reserve'!H302</f>
        <v>5840408.1711033909</v>
      </c>
      <c r="I21" s="317">
        <f t="shared" si="3"/>
        <v>26.37</v>
      </c>
      <c r="J21" s="255">
        <f t="shared" si="4"/>
        <v>-28306.163232048042</v>
      </c>
      <c r="K21" s="319">
        <f t="shared" si="5"/>
        <v>100</v>
      </c>
      <c r="L21" s="132"/>
      <c r="M21" s="154">
        <f t="shared" si="0"/>
        <v>37800</v>
      </c>
      <c r="N21" s="144"/>
      <c r="O21" s="144" t="str">
        <f t="shared" si="1"/>
        <v>Meas &amp; Reg Station Eqp Gen</v>
      </c>
      <c r="P21" s="132"/>
      <c r="Q21" s="256">
        <f t="shared" si="6"/>
        <v>5812102.0078713428</v>
      </c>
      <c r="R21" s="321"/>
      <c r="S21" s="320"/>
      <c r="T21" s="144"/>
      <c r="U21" s="159">
        <f t="shared" si="7"/>
        <v>5812102.0078713428</v>
      </c>
      <c r="V21" s="219"/>
      <c r="W21" s="10"/>
    </row>
    <row r="22" spans="1:23" ht="13" x14ac:dyDescent="0.3">
      <c r="A22" s="154">
        <v>37900</v>
      </c>
      <c r="B22" s="144"/>
      <c r="C22" s="144" t="s">
        <v>97</v>
      </c>
      <c r="D22" s="307"/>
      <c r="E22" s="256">
        <f>+'Rate Computation'!D27</f>
        <v>116022316.77999997</v>
      </c>
      <c r="F22" s="156">
        <f>'Reserve Allocation'!N26</f>
        <v>18533863.572940804</v>
      </c>
      <c r="G22" s="317">
        <f t="shared" si="2"/>
        <v>15.97</v>
      </c>
      <c r="H22" s="256">
        <f>'Theoretical Reserve'!H335</f>
        <v>15214496.87400702</v>
      </c>
      <c r="I22" s="317">
        <f t="shared" si="3"/>
        <v>13.11</v>
      </c>
      <c r="J22" s="255">
        <f t="shared" si="4"/>
        <v>3319366.6989337839</v>
      </c>
      <c r="K22" s="319">
        <f t="shared" si="5"/>
        <v>122</v>
      </c>
      <c r="L22" s="132"/>
      <c r="M22" s="154">
        <f t="shared" si="0"/>
        <v>37900</v>
      </c>
      <c r="N22" s="144"/>
      <c r="O22" s="144" t="str">
        <f t="shared" si="1"/>
        <v>Meas &amp; Reg Station Eqp City</v>
      </c>
      <c r="P22" s="132"/>
      <c r="Q22" s="256">
        <f t="shared" si="6"/>
        <v>18533863.572940804</v>
      </c>
      <c r="R22" s="321"/>
      <c r="S22" s="320"/>
      <c r="T22" s="144"/>
      <c r="U22" s="159">
        <f t="shared" si="7"/>
        <v>18533863.572940804</v>
      </c>
      <c r="V22" s="219"/>
      <c r="W22" s="10"/>
    </row>
    <row r="23" spans="1:23" ht="13" x14ac:dyDescent="0.3">
      <c r="A23" s="154">
        <v>38000</v>
      </c>
      <c r="B23" s="144"/>
      <c r="C23" s="144" t="s">
        <v>98</v>
      </c>
      <c r="D23" s="307"/>
      <c r="E23" s="256">
        <f>+'Rate Computation'!D28</f>
        <v>68085342.289999977</v>
      </c>
      <c r="F23" s="156">
        <f>'Reserve Allocation'!N27</f>
        <v>41491765.423666812</v>
      </c>
      <c r="G23" s="317">
        <f t="shared" si="2"/>
        <v>60.94</v>
      </c>
      <c r="H23" s="256">
        <f>'Theoretical Reserve'!H428</f>
        <v>38184988.990557551</v>
      </c>
      <c r="I23" s="317">
        <f t="shared" si="3"/>
        <v>56.08</v>
      </c>
      <c r="J23" s="255">
        <f t="shared" si="4"/>
        <v>3306776.4331092611</v>
      </c>
      <c r="K23" s="319">
        <f t="shared" si="5"/>
        <v>109</v>
      </c>
      <c r="L23" s="132"/>
      <c r="M23" s="154">
        <f t="shared" si="0"/>
        <v>38000</v>
      </c>
      <c r="N23" s="144"/>
      <c r="O23" s="144" t="str">
        <f t="shared" si="1"/>
        <v>Services Steel</v>
      </c>
      <c r="P23" s="132"/>
      <c r="Q23" s="256">
        <f t="shared" si="6"/>
        <v>41491765.423666812</v>
      </c>
      <c r="R23" s="321"/>
      <c r="S23" s="320"/>
      <c r="T23" s="144"/>
      <c r="U23" s="159">
        <f t="shared" si="7"/>
        <v>41491765.423666812</v>
      </c>
      <c r="V23" s="219"/>
      <c r="W23" s="10"/>
    </row>
    <row r="24" spans="1:23" ht="13" x14ac:dyDescent="0.3">
      <c r="A24" s="154">
        <v>38002</v>
      </c>
      <c r="B24" s="144"/>
      <c r="C24" s="144" t="s">
        <v>99</v>
      </c>
      <c r="D24" s="307"/>
      <c r="E24" s="256">
        <f>+'Rate Computation'!D29</f>
        <v>610080538.33000004</v>
      </c>
      <c r="F24" s="156">
        <f>'Reserve Allocation'!N28</f>
        <v>203173739.25244004</v>
      </c>
      <c r="G24" s="317">
        <f t="shared" si="2"/>
        <v>33.299999999999997</v>
      </c>
      <c r="H24" s="256">
        <f>'Theoretical Reserve'!H472</f>
        <v>172871467.21459481</v>
      </c>
      <c r="I24" s="317">
        <f t="shared" si="3"/>
        <v>28.34</v>
      </c>
      <c r="J24" s="255">
        <f t="shared" si="4"/>
        <v>30302272.037845224</v>
      </c>
      <c r="K24" s="319">
        <f t="shared" si="5"/>
        <v>118</v>
      </c>
      <c r="L24" s="132"/>
      <c r="M24" s="154">
        <f t="shared" si="0"/>
        <v>38002</v>
      </c>
      <c r="N24" s="144"/>
      <c r="O24" s="144" t="str">
        <f t="shared" si="1"/>
        <v>Services Plastic</v>
      </c>
      <c r="P24" s="132"/>
      <c r="Q24" s="256">
        <f t="shared" si="6"/>
        <v>203173739.25244004</v>
      </c>
      <c r="R24" s="321"/>
      <c r="S24" s="320"/>
      <c r="T24" s="144"/>
      <c r="U24" s="159">
        <f t="shared" si="7"/>
        <v>203173739.25244004</v>
      </c>
      <c r="V24" s="219"/>
      <c r="W24" s="10"/>
    </row>
    <row r="25" spans="1:23" x14ac:dyDescent="0.25">
      <c r="A25" s="154">
        <v>38100</v>
      </c>
      <c r="B25" s="144"/>
      <c r="C25" s="144" t="s">
        <v>100</v>
      </c>
      <c r="D25" s="307"/>
      <c r="E25" s="256">
        <f>+'Rate Computation'!D30</f>
        <v>99270694.280000001</v>
      </c>
      <c r="F25" s="156">
        <f>'Reserve Allocation'!N29</f>
        <v>41081230.221588202</v>
      </c>
      <c r="G25" s="317">
        <f t="shared" si="2"/>
        <v>41.38</v>
      </c>
      <c r="H25" s="256">
        <f>'Theoretical Reserve'!H497</f>
        <v>37916264.508394338</v>
      </c>
      <c r="I25" s="317">
        <f t="shared" si="3"/>
        <v>38.19</v>
      </c>
      <c r="J25" s="255">
        <f t="shared" si="4"/>
        <v>3164965.7131938636</v>
      </c>
      <c r="K25" s="319">
        <f t="shared" si="5"/>
        <v>108</v>
      </c>
      <c r="L25" s="132"/>
      <c r="M25" s="154">
        <f t="shared" si="0"/>
        <v>38100</v>
      </c>
      <c r="N25" s="144"/>
      <c r="O25" s="144" t="str">
        <f t="shared" si="1"/>
        <v>Meters</v>
      </c>
      <c r="P25" s="132"/>
      <c r="Q25" s="256">
        <f t="shared" si="6"/>
        <v>41081230.221588202</v>
      </c>
      <c r="R25" s="321"/>
      <c r="S25" s="320"/>
      <c r="T25" s="144"/>
      <c r="U25" s="159">
        <f t="shared" si="7"/>
        <v>41081230.221588202</v>
      </c>
      <c r="V25" s="217"/>
      <c r="W25" s="10"/>
    </row>
    <row r="26" spans="1:23" x14ac:dyDescent="0.25">
      <c r="A26" s="154">
        <v>38200</v>
      </c>
      <c r="B26" s="144"/>
      <c r="C26" s="144" t="s">
        <v>101</v>
      </c>
      <c r="D26" s="307"/>
      <c r="E26" s="256">
        <f>+'Rate Computation'!D31</f>
        <v>105820491.27000003</v>
      </c>
      <c r="F26" s="156">
        <f>'Reserve Allocation'!N30</f>
        <v>35074647.943045013</v>
      </c>
      <c r="G26" s="317">
        <f t="shared" si="2"/>
        <v>33.15</v>
      </c>
      <c r="H26" s="256">
        <f>'Theoretical Reserve'!H544</f>
        <v>24611717.327099681</v>
      </c>
      <c r="I26" s="317">
        <f t="shared" si="3"/>
        <v>23.26</v>
      </c>
      <c r="J26" s="255">
        <f t="shared" si="4"/>
        <v>10462930.615945332</v>
      </c>
      <c r="K26" s="319">
        <f t="shared" si="5"/>
        <v>143</v>
      </c>
      <c r="L26" s="132"/>
      <c r="M26" s="154">
        <f t="shared" si="0"/>
        <v>38200</v>
      </c>
      <c r="N26" s="144"/>
      <c r="O26" s="144" t="str">
        <f t="shared" si="1"/>
        <v>Meter Installations</v>
      </c>
      <c r="P26" s="132"/>
      <c r="Q26" s="256">
        <f t="shared" si="6"/>
        <v>35074647.943045013</v>
      </c>
      <c r="R26" s="321"/>
      <c r="S26" s="320"/>
      <c r="T26" s="144"/>
      <c r="U26" s="159">
        <f t="shared" si="7"/>
        <v>35074647.943045013</v>
      </c>
      <c r="V26" s="217"/>
      <c r="W26" s="10"/>
    </row>
    <row r="27" spans="1:23" x14ac:dyDescent="0.25">
      <c r="A27" s="154">
        <v>38300</v>
      </c>
      <c r="B27" s="144"/>
      <c r="C27" s="144" t="s">
        <v>102</v>
      </c>
      <c r="D27" s="307"/>
      <c r="E27" s="256">
        <f>+'Rate Computation'!D32</f>
        <v>20766817.199999996</v>
      </c>
      <c r="F27" s="156">
        <f>'Reserve Allocation'!N31</f>
        <v>8814276.0535394866</v>
      </c>
      <c r="G27" s="317">
        <f t="shared" si="2"/>
        <v>42.44</v>
      </c>
      <c r="H27" s="256">
        <f>'Theoretical Reserve'!H596</f>
        <v>6811436.1471380144</v>
      </c>
      <c r="I27" s="317">
        <f t="shared" si="3"/>
        <v>32.799999999999997</v>
      </c>
      <c r="J27" s="255">
        <f t="shared" si="4"/>
        <v>2002839.9064014722</v>
      </c>
      <c r="K27" s="319">
        <f t="shared" si="5"/>
        <v>129</v>
      </c>
      <c r="L27" s="132"/>
      <c r="M27" s="154">
        <f t="shared" si="0"/>
        <v>38300</v>
      </c>
      <c r="N27" s="144"/>
      <c r="O27" s="144" t="str">
        <f t="shared" si="1"/>
        <v>House Regulators</v>
      </c>
      <c r="P27" s="132"/>
      <c r="Q27" s="256">
        <f t="shared" si="6"/>
        <v>8814276.0535394866</v>
      </c>
      <c r="R27" s="321"/>
      <c r="S27" s="320"/>
      <c r="T27" s="144"/>
      <c r="U27" s="159">
        <f t="shared" si="7"/>
        <v>8814276.0535394866</v>
      </c>
      <c r="V27" s="217"/>
      <c r="W27" s="10"/>
    </row>
    <row r="28" spans="1:23" x14ac:dyDescent="0.25">
      <c r="A28" s="154">
        <v>38400</v>
      </c>
      <c r="B28" s="144"/>
      <c r="C28" s="144" t="s">
        <v>103</v>
      </c>
      <c r="D28" s="307"/>
      <c r="E28" s="256">
        <f>+'Rate Computation'!D33</f>
        <v>38677154.929999985</v>
      </c>
      <c r="F28" s="156">
        <f>'Reserve Allocation'!N32</f>
        <v>14747685.806906285</v>
      </c>
      <c r="G28" s="317">
        <f t="shared" si="2"/>
        <v>38.130000000000003</v>
      </c>
      <c r="H28" s="256">
        <f>'Theoretical Reserve'!H661</f>
        <v>9730566.1349499375</v>
      </c>
      <c r="I28" s="317">
        <f t="shared" si="3"/>
        <v>25.16</v>
      </c>
      <c r="J28" s="255">
        <f t="shared" si="4"/>
        <v>5017119.6719563473</v>
      </c>
      <c r="K28" s="319">
        <f t="shared" si="5"/>
        <v>152</v>
      </c>
      <c r="L28" s="132"/>
      <c r="M28" s="154">
        <f t="shared" si="0"/>
        <v>38400</v>
      </c>
      <c r="N28" s="144"/>
      <c r="O28" s="144" t="str">
        <f t="shared" si="1"/>
        <v>House Regulator Installs</v>
      </c>
      <c r="P28" s="132"/>
      <c r="Q28" s="256">
        <f t="shared" si="6"/>
        <v>14747685.806906285</v>
      </c>
      <c r="R28" s="321"/>
      <c r="S28" s="320"/>
      <c r="T28" s="144"/>
      <c r="U28" s="159">
        <f t="shared" si="7"/>
        <v>14747685.806906285</v>
      </c>
      <c r="V28" s="25"/>
      <c r="W28" s="10"/>
    </row>
    <row r="29" spans="1:23" x14ac:dyDescent="0.25">
      <c r="A29" s="154">
        <v>38500</v>
      </c>
      <c r="B29" s="144"/>
      <c r="C29" s="144" t="s">
        <v>104</v>
      </c>
      <c r="D29" s="307"/>
      <c r="E29" s="256">
        <f>+'Rate Computation'!D34</f>
        <v>15196826.639999999</v>
      </c>
      <c r="F29" s="156">
        <f>'Reserve Allocation'!N33</f>
        <v>6976670.3302102461</v>
      </c>
      <c r="G29" s="317">
        <f t="shared" si="2"/>
        <v>45.91</v>
      </c>
      <c r="H29" s="256">
        <f>'Theoretical Reserve'!H709</f>
        <v>5742690.4927719124</v>
      </c>
      <c r="I29" s="317">
        <f t="shared" si="3"/>
        <v>37.79</v>
      </c>
      <c r="J29" s="255">
        <f>F29-H29</f>
        <v>1233979.8374383338</v>
      </c>
      <c r="K29" s="319">
        <f>ROUND(IF(E29=0,0,(F29/H29)*100),0)</f>
        <v>121</v>
      </c>
      <c r="L29" s="132"/>
      <c r="M29" s="154">
        <f t="shared" si="0"/>
        <v>38500</v>
      </c>
      <c r="N29" s="144"/>
      <c r="O29" s="144" t="str">
        <f t="shared" si="1"/>
        <v>Meas &amp; Reg Station Eqp Ind</v>
      </c>
      <c r="P29" s="132"/>
      <c r="Q29" s="256">
        <f t="shared" si="6"/>
        <v>6976670.3302102461</v>
      </c>
      <c r="R29" s="321"/>
      <c r="S29" s="320"/>
      <c r="T29" s="144"/>
      <c r="U29" s="159">
        <f t="shared" si="7"/>
        <v>6976670.3302102461</v>
      </c>
      <c r="V29" s="25"/>
      <c r="W29" s="10"/>
    </row>
    <row r="30" spans="1:23" x14ac:dyDescent="0.25">
      <c r="A30" s="154">
        <v>38600</v>
      </c>
      <c r="B30" s="144"/>
      <c r="C30" s="144" t="s">
        <v>105</v>
      </c>
      <c r="D30" s="307"/>
      <c r="E30" s="256"/>
      <c r="F30" s="156">
        <v>0</v>
      </c>
      <c r="G30" s="317">
        <f t="shared" si="2"/>
        <v>0</v>
      </c>
      <c r="H30" s="256"/>
      <c r="I30" s="317">
        <f t="shared" ref="I30" si="12">ROUND(IF($E30=0,0,(H30/$E30)*100),2)</f>
        <v>0</v>
      </c>
      <c r="J30" s="255">
        <f t="shared" ref="J30" si="13">F30-H30</f>
        <v>0</v>
      </c>
      <c r="K30" s="319">
        <f t="shared" ref="K30:K33" si="14">ROUND(IF(H30=0,0,(F30/H30)*100),0)</f>
        <v>0</v>
      </c>
      <c r="L30" s="132"/>
      <c r="M30" s="154">
        <f t="shared" si="0"/>
        <v>38600</v>
      </c>
      <c r="N30" s="144"/>
      <c r="O30" s="144" t="str">
        <f t="shared" si="1"/>
        <v>Other Property Cust Premise</v>
      </c>
      <c r="P30" s="132"/>
      <c r="Q30" s="256">
        <v>0</v>
      </c>
      <c r="R30" s="321"/>
      <c r="S30" s="320"/>
      <c r="T30" s="144"/>
      <c r="U30" s="159">
        <f t="shared" si="7"/>
        <v>0</v>
      </c>
      <c r="V30" s="217"/>
      <c r="W30" s="10"/>
    </row>
    <row r="31" spans="1:23" x14ac:dyDescent="0.25">
      <c r="A31" s="154">
        <v>38700</v>
      </c>
      <c r="B31" s="144"/>
      <c r="C31" s="158" t="s">
        <v>106</v>
      </c>
      <c r="D31" s="307"/>
      <c r="E31" s="256">
        <f>+'Rate Computation'!D35</f>
        <v>13431843.029999996</v>
      </c>
      <c r="F31" s="156">
        <f>+'Reserve Allocation'!N34</f>
        <v>5313797.6616018787</v>
      </c>
      <c r="G31" s="317">
        <f t="shared" si="2"/>
        <v>39.56</v>
      </c>
      <c r="H31" s="256">
        <f>'Theoretical Reserve'!H753</f>
        <v>3505702.0789797986</v>
      </c>
      <c r="I31" s="317">
        <f>ROUND(IF($E31=0,0,(H31/E31)*100),2)</f>
        <v>26.1</v>
      </c>
      <c r="J31" s="255">
        <f>F31-H31</f>
        <v>1808095.5826220801</v>
      </c>
      <c r="K31" s="319">
        <f>ROUND(IF(E31=0,0,(F31/H31)*100),0)</f>
        <v>152</v>
      </c>
      <c r="L31" s="132"/>
      <c r="M31" s="154">
        <f t="shared" si="0"/>
        <v>38700</v>
      </c>
      <c r="N31" s="144"/>
      <c r="O31" s="144" t="str">
        <f t="shared" si="1"/>
        <v>Other Equipment</v>
      </c>
      <c r="P31" s="132"/>
      <c r="Q31" s="256">
        <f>+F31</f>
        <v>5313797.6616018787</v>
      </c>
      <c r="R31" s="321"/>
      <c r="S31" s="320"/>
      <c r="T31" s="144"/>
      <c r="U31" s="159">
        <f t="shared" si="7"/>
        <v>5313797.6616018787</v>
      </c>
      <c r="V31" s="217"/>
      <c r="W31" s="10"/>
    </row>
    <row r="32" spans="1:23" ht="13" thickBot="1" x14ac:dyDescent="0.3">
      <c r="A32" s="160"/>
      <c r="B32" s="161"/>
      <c r="C32" s="161"/>
      <c r="D32" s="307"/>
      <c r="E32" s="322"/>
      <c r="F32" s="162"/>
      <c r="G32" s="323"/>
      <c r="H32" s="162"/>
      <c r="I32" s="323"/>
      <c r="J32" s="324"/>
      <c r="K32" s="325"/>
      <c r="L32" s="132"/>
      <c r="M32" s="160"/>
      <c r="N32" s="161"/>
      <c r="O32" s="161"/>
      <c r="P32" s="132"/>
      <c r="Q32" s="322"/>
      <c r="R32" s="161"/>
      <c r="S32" s="326"/>
      <c r="T32" s="161"/>
      <c r="U32" s="322"/>
      <c r="V32" s="25"/>
    </row>
    <row r="33" spans="1:23" ht="22.15" customHeight="1" thickTop="1" thickBot="1" x14ac:dyDescent="0.3">
      <c r="A33" s="160"/>
      <c r="B33" s="161"/>
      <c r="C33" s="327" t="s">
        <v>39</v>
      </c>
      <c r="D33" s="307"/>
      <c r="E33" s="165">
        <f>SUM(E16:E32)</f>
        <v>2952112245.5700002</v>
      </c>
      <c r="F33" s="165">
        <f>SUM(F16:F32)</f>
        <v>823094320.29258001</v>
      </c>
      <c r="G33" s="328"/>
      <c r="H33" s="165">
        <f>SUM(H16:H32)</f>
        <v>670726182.55088437</v>
      </c>
      <c r="I33" s="328"/>
      <c r="J33" s="165">
        <f>SUM(J16:J32)</f>
        <v>152368137.74169552</v>
      </c>
      <c r="K33" s="329">
        <f t="shared" si="14"/>
        <v>123</v>
      </c>
      <c r="L33" s="132"/>
      <c r="M33" s="160"/>
      <c r="N33" s="161"/>
      <c r="O33" s="327" t="str">
        <f>'Proposed Accruals'!$C33</f>
        <v>Total Distribution Plant</v>
      </c>
      <c r="P33" s="132"/>
      <c r="Q33" s="165">
        <f>SUM(Q16:Q32)</f>
        <v>823094320.29258001</v>
      </c>
      <c r="R33" s="161"/>
      <c r="S33" s="165">
        <f>SUM(S16:S32)</f>
        <v>0</v>
      </c>
      <c r="T33" s="161"/>
      <c r="U33" s="165">
        <f>SUM(U16:U32)</f>
        <v>823094320.29258001</v>
      </c>
      <c r="V33" s="25"/>
    </row>
    <row r="34" spans="1:23" ht="13" thickTop="1" x14ac:dyDescent="0.25">
      <c r="A34" s="134"/>
      <c r="B34" s="132"/>
      <c r="C34" s="132"/>
      <c r="D34" s="307"/>
      <c r="E34" s="255"/>
      <c r="F34" s="156"/>
      <c r="G34" s="317"/>
      <c r="H34" s="314"/>
      <c r="I34" s="317"/>
      <c r="J34" s="255"/>
      <c r="K34" s="319"/>
      <c r="L34" s="132"/>
      <c r="M34" s="134"/>
      <c r="N34" s="132"/>
      <c r="O34" s="132"/>
      <c r="P34" s="132"/>
      <c r="Q34" s="255"/>
      <c r="R34" s="132"/>
      <c r="S34" s="320"/>
      <c r="T34" s="132"/>
      <c r="U34" s="255"/>
      <c r="V34" s="25"/>
    </row>
    <row r="35" spans="1:23" x14ac:dyDescent="0.25">
      <c r="A35" s="134"/>
      <c r="B35" s="132"/>
      <c r="C35" s="132"/>
      <c r="D35" s="307"/>
      <c r="E35" s="255"/>
      <c r="F35" s="156"/>
      <c r="G35" s="317"/>
      <c r="H35" s="314"/>
      <c r="I35" s="317"/>
      <c r="J35" s="255"/>
      <c r="K35" s="319"/>
      <c r="L35" s="132"/>
      <c r="M35" s="134"/>
      <c r="N35" s="132"/>
      <c r="O35" s="132"/>
      <c r="P35" s="132"/>
      <c r="Q35" s="255"/>
      <c r="R35" s="132"/>
      <c r="S35" s="320"/>
      <c r="T35" s="132"/>
      <c r="U35" s="255"/>
      <c r="V35" s="25"/>
    </row>
    <row r="36" spans="1:23" ht="13" x14ac:dyDescent="0.25">
      <c r="A36" s="134"/>
      <c r="B36" s="132"/>
      <c r="C36" s="192" t="str">
        <f>'Proposed Rates'!$C36</f>
        <v>Transportation Equipment</v>
      </c>
      <c r="D36" s="307"/>
      <c r="E36" s="256"/>
      <c r="F36" s="156"/>
      <c r="G36" s="317"/>
      <c r="H36" s="256"/>
      <c r="I36" s="317"/>
      <c r="J36" s="255"/>
      <c r="K36" s="319"/>
      <c r="L36" s="132"/>
      <c r="M36" s="134"/>
      <c r="N36" s="132"/>
      <c r="O36" s="192" t="str">
        <f>'Proposed Rates'!$C36</f>
        <v>Transportation Equipment</v>
      </c>
      <c r="P36" s="132"/>
      <c r="Q36" s="256"/>
      <c r="R36" s="321"/>
      <c r="S36" s="320"/>
      <c r="T36" s="132"/>
      <c r="U36" s="256"/>
      <c r="V36" s="25"/>
    </row>
    <row r="37" spans="1:23" x14ac:dyDescent="0.25">
      <c r="A37" s="134"/>
      <c r="B37" s="132"/>
      <c r="C37" s="132"/>
      <c r="D37" s="307"/>
      <c r="E37" s="256"/>
      <c r="F37" s="156"/>
      <c r="G37" s="317"/>
      <c r="H37" s="256"/>
      <c r="I37" s="317"/>
      <c r="J37" s="255"/>
      <c r="K37" s="319"/>
      <c r="L37" s="132"/>
      <c r="M37" s="134"/>
      <c r="N37" s="132"/>
      <c r="O37" s="132"/>
      <c r="P37" s="132"/>
      <c r="Q37" s="256"/>
      <c r="R37" s="321"/>
      <c r="S37" s="320"/>
      <c r="T37" s="132"/>
      <c r="U37" s="256"/>
      <c r="V37" s="25"/>
    </row>
    <row r="38" spans="1:23" x14ac:dyDescent="0.25">
      <c r="A38" s="134">
        <v>39201</v>
      </c>
      <c r="B38" s="144"/>
      <c r="C38" s="144" t="s">
        <v>110</v>
      </c>
      <c r="D38" s="307"/>
      <c r="E38" s="256">
        <f>+'Rate Computation'!D50</f>
        <v>15381575.261000002</v>
      </c>
      <c r="F38" s="156">
        <f>+'Reserve Allocation'!N49</f>
        <v>6058634.4224653961</v>
      </c>
      <c r="G38" s="317">
        <f>ROUND(IF($E38=0,0,(F38/$E38)*100),2)</f>
        <v>39.39</v>
      </c>
      <c r="H38" s="156">
        <f>'Theoretical Reserve'!H835</f>
        <v>4781616.8581483997</v>
      </c>
      <c r="I38" s="317">
        <f>ROUND(IF($E38=0,0,(H38/E38)*100),2)</f>
        <v>31.09</v>
      </c>
      <c r="J38" s="255">
        <f t="shared" ref="J38:J41" si="15">F38-H38</f>
        <v>1277017.5643169964</v>
      </c>
      <c r="K38" s="319">
        <f>ROUND(IF(E38=0,0,(F38/H38)*100),0)</f>
        <v>127</v>
      </c>
      <c r="L38" s="132"/>
      <c r="M38" s="134">
        <f>$A38</f>
        <v>39201</v>
      </c>
      <c r="N38" s="144"/>
      <c r="O38" s="144" t="str">
        <f>$C38</f>
        <v>Vehicles up to 1/2 Tons</v>
      </c>
      <c r="P38" s="132"/>
      <c r="Q38" s="256">
        <f t="shared" ref="Q38:Q41" si="16">+F38</f>
        <v>6058634.4224653961</v>
      </c>
      <c r="R38" s="321"/>
      <c r="S38" s="320"/>
      <c r="T38" s="132"/>
      <c r="U38" s="159">
        <f t="shared" ref="U38:U59" si="17">+Q38+S38</f>
        <v>6058634.4224653961</v>
      </c>
      <c r="V38" s="25"/>
      <c r="W38" s="10"/>
    </row>
    <row r="39" spans="1:23" x14ac:dyDescent="0.25">
      <c r="A39" s="134">
        <v>39202</v>
      </c>
      <c r="B39" s="144"/>
      <c r="C39" s="144" t="s">
        <v>111</v>
      </c>
      <c r="D39" s="307"/>
      <c r="E39" s="256">
        <f>+'Rate Computation'!D51</f>
        <v>17803654.689999994</v>
      </c>
      <c r="F39" s="156">
        <f>+'Reserve Allocation'!N50</f>
        <v>8353208.6126399981</v>
      </c>
      <c r="G39" s="317">
        <f>ROUND(IF($E39=0,0,(F39/$E39)*100),2)</f>
        <v>46.92</v>
      </c>
      <c r="H39" s="156">
        <f>'Theoretical Reserve'!H855</f>
        <v>6988376.0823803348</v>
      </c>
      <c r="I39" s="317">
        <f>ROUND(IF($E39=0,0,(H39/E39)*100),2)</f>
        <v>39.25</v>
      </c>
      <c r="J39" s="255">
        <f t="shared" si="15"/>
        <v>1364832.5302596632</v>
      </c>
      <c r="K39" s="319">
        <f>ROUND(IF(E39=0,0,(F39/H39)*100),0)</f>
        <v>120</v>
      </c>
      <c r="L39" s="132"/>
      <c r="M39" s="134">
        <f>$A39</f>
        <v>39202</v>
      </c>
      <c r="N39" s="144"/>
      <c r="O39" s="144" t="str">
        <f>$C39</f>
        <v>Vehicles from 1/2 - 1 Tons</v>
      </c>
      <c r="P39" s="132"/>
      <c r="Q39" s="256">
        <f t="shared" si="16"/>
        <v>8353208.6126399981</v>
      </c>
      <c r="R39" s="321"/>
      <c r="S39" s="320"/>
      <c r="T39" s="132"/>
      <c r="U39" s="159">
        <f t="shared" si="17"/>
        <v>8353208.6126399981</v>
      </c>
      <c r="V39" s="25"/>
      <c r="W39" s="10"/>
    </row>
    <row r="40" spans="1:23" x14ac:dyDescent="0.25">
      <c r="A40" s="134">
        <v>39204</v>
      </c>
      <c r="B40" s="144"/>
      <c r="C40" s="144" t="s">
        <v>112</v>
      </c>
      <c r="D40" s="307"/>
      <c r="E40" s="256">
        <f>+'Rate Computation'!D52</f>
        <v>4611626.0700000012</v>
      </c>
      <c r="F40" s="156">
        <f>+'Reserve Allocation'!N51</f>
        <v>821141.15773737081</v>
      </c>
      <c r="G40" s="317">
        <f>ROUND(IF($E40=0,0,(F40/$E40)*100),2)</f>
        <v>17.809999999999999</v>
      </c>
      <c r="H40" s="156">
        <f>'Theoretical Reserve'!H895</f>
        <v>509206.32611688768</v>
      </c>
      <c r="I40" s="317">
        <f>ROUND(IF($E40=0,0,(H40/E40)*100),2)</f>
        <v>11.04</v>
      </c>
      <c r="J40" s="255">
        <f t="shared" si="15"/>
        <v>311934.83162048314</v>
      </c>
      <c r="K40" s="319">
        <f>ROUND(IF(E40=0,0,(F40/H40)*100),0)</f>
        <v>161</v>
      </c>
      <c r="L40" s="132"/>
      <c r="M40" s="134">
        <f>$A40</f>
        <v>39204</v>
      </c>
      <c r="N40" s="144"/>
      <c r="O40" s="144" t="str">
        <f>$C40</f>
        <v>Trailers &amp; Other</v>
      </c>
      <c r="P40" s="132"/>
      <c r="Q40" s="256">
        <f t="shared" si="16"/>
        <v>821141.15773737081</v>
      </c>
      <c r="R40" s="321"/>
      <c r="S40" s="320"/>
      <c r="T40" s="132"/>
      <c r="U40" s="159">
        <f t="shared" si="17"/>
        <v>821141.15773737081</v>
      </c>
      <c r="V40" s="25"/>
      <c r="W40" s="10"/>
    </row>
    <row r="41" spans="1:23" x14ac:dyDescent="0.25">
      <c r="A41" s="134">
        <v>39205</v>
      </c>
      <c r="B41" s="144"/>
      <c r="C41" s="144" t="s">
        <v>113</v>
      </c>
      <c r="D41" s="307"/>
      <c r="E41" s="256">
        <f>+'Rate Computation'!D53</f>
        <v>2564139.23</v>
      </c>
      <c r="F41" s="156">
        <f>+'Reserve Allocation'!N52</f>
        <v>1267332.2891799998</v>
      </c>
      <c r="G41" s="317">
        <f>ROUND(IF($E41=0,0,(F41/$E41)*100),2)</f>
        <v>49.43</v>
      </c>
      <c r="H41" s="156">
        <f>'Theoretical Reserve'!H908</f>
        <v>1004735.7005313487</v>
      </c>
      <c r="I41" s="317">
        <f>ROUND(IF($E41=0,0,(H41/E41)*100),2)</f>
        <v>39.18</v>
      </c>
      <c r="J41" s="255">
        <f t="shared" si="15"/>
        <v>262596.58864865114</v>
      </c>
      <c r="K41" s="319">
        <f>ROUND(IF(E41=0,0,(F41/H41)*100),0)</f>
        <v>126</v>
      </c>
      <c r="L41" s="132"/>
      <c r="M41" s="134">
        <f>$A41</f>
        <v>39205</v>
      </c>
      <c r="N41" s="144"/>
      <c r="O41" s="144" t="str">
        <f>$C41</f>
        <v>Vehicles over 1 Ton</v>
      </c>
      <c r="P41" s="132"/>
      <c r="Q41" s="256">
        <f t="shared" si="16"/>
        <v>1267332.2891799998</v>
      </c>
      <c r="R41" s="321"/>
      <c r="S41" s="320"/>
      <c r="T41" s="132"/>
      <c r="U41" s="159">
        <f t="shared" si="17"/>
        <v>1267332.2891799998</v>
      </c>
      <c r="V41" s="25"/>
      <c r="W41" s="10"/>
    </row>
    <row r="42" spans="1:23" x14ac:dyDescent="0.25">
      <c r="A42" s="134"/>
      <c r="B42" s="132"/>
      <c r="C42" s="132"/>
      <c r="D42" s="307"/>
      <c r="E42" s="256"/>
      <c r="F42" s="156"/>
      <c r="G42" s="317"/>
      <c r="H42" s="256"/>
      <c r="I42" s="317"/>
      <c r="J42" s="255"/>
      <c r="K42" s="319"/>
      <c r="L42" s="132"/>
      <c r="M42" s="134"/>
      <c r="N42" s="132"/>
      <c r="O42" s="132"/>
      <c r="P42" s="132"/>
      <c r="Q42" s="256"/>
      <c r="R42" s="132"/>
      <c r="S42" s="320"/>
      <c r="T42" s="132"/>
      <c r="U42" s="159">
        <f t="shared" si="17"/>
        <v>0</v>
      </c>
      <c r="V42" s="25"/>
    </row>
    <row r="43" spans="1:23" ht="13" x14ac:dyDescent="0.25">
      <c r="A43" s="134"/>
      <c r="B43" s="132"/>
      <c r="C43" s="192" t="str">
        <f>'Proposed Rates'!$C43</f>
        <v>General Plant</v>
      </c>
      <c r="D43" s="307"/>
      <c r="E43" s="256"/>
      <c r="F43" s="156"/>
      <c r="G43" s="317"/>
      <c r="H43" s="256"/>
      <c r="I43" s="317"/>
      <c r="J43" s="255"/>
      <c r="K43" s="319"/>
      <c r="L43" s="132"/>
      <c r="M43" s="134"/>
      <c r="N43" s="132"/>
      <c r="O43" s="192" t="str">
        <f>'Proposed Rates'!$C43</f>
        <v>General Plant</v>
      </c>
      <c r="P43" s="132"/>
      <c r="Q43" s="256"/>
      <c r="R43" s="132"/>
      <c r="S43" s="320"/>
      <c r="T43" s="132"/>
      <c r="U43" s="159">
        <f t="shared" si="17"/>
        <v>0</v>
      </c>
      <c r="V43" s="25"/>
    </row>
    <row r="44" spans="1:23" x14ac:dyDescent="0.25">
      <c r="A44" s="134"/>
      <c r="B44" s="132"/>
      <c r="C44" s="132"/>
      <c r="D44" s="307"/>
      <c r="E44" s="256"/>
      <c r="F44" s="156"/>
      <c r="G44" s="317"/>
      <c r="H44" s="256"/>
      <c r="I44" s="317"/>
      <c r="J44" s="255"/>
      <c r="K44" s="319"/>
      <c r="L44" s="132"/>
      <c r="M44" s="134"/>
      <c r="N44" s="132"/>
      <c r="O44" s="132"/>
      <c r="P44" s="132"/>
      <c r="Q44" s="256"/>
      <c r="R44" s="132"/>
      <c r="S44" s="320"/>
      <c r="T44" s="132"/>
      <c r="U44" s="159">
        <f t="shared" si="17"/>
        <v>0</v>
      </c>
      <c r="V44" s="25"/>
    </row>
    <row r="45" spans="1:23" x14ac:dyDescent="0.25">
      <c r="A45" s="134">
        <v>30100</v>
      </c>
      <c r="B45" s="144"/>
      <c r="C45" s="155" t="s">
        <v>655</v>
      </c>
      <c r="D45" s="307"/>
      <c r="E45" s="256">
        <v>12620.1</v>
      </c>
      <c r="F45" s="156">
        <v>0</v>
      </c>
      <c r="G45" s="317">
        <f t="shared" ref="G45:G59" si="18">ROUND(IF($E45=0,0,(F45/$E45)*100),2)</f>
        <v>0</v>
      </c>
      <c r="H45" s="156">
        <v>0</v>
      </c>
      <c r="I45" s="317">
        <f t="shared" ref="I45:I46" si="19">ROUND(IF($E45=0,0,(H45/$E45)*100),2)</f>
        <v>0</v>
      </c>
      <c r="J45" s="255">
        <f t="shared" ref="J45:J59" si="20">F45-H45</f>
        <v>0</v>
      </c>
      <c r="K45" s="319">
        <f t="shared" ref="K45:K46" si="21">ROUND(IF(H45=0,0,(F45/H45)*100),0)</f>
        <v>0</v>
      </c>
      <c r="L45" s="132"/>
      <c r="M45" s="134">
        <f t="shared" ref="M45:M59" si="22">$A45</f>
        <v>30100</v>
      </c>
      <c r="N45" s="144"/>
      <c r="O45" s="144" t="str">
        <f t="shared" ref="O45:O59" si="23">$C45</f>
        <v>Organization Costs</v>
      </c>
      <c r="P45" s="132"/>
      <c r="Q45" s="256">
        <v>0</v>
      </c>
      <c r="R45" s="321"/>
      <c r="S45" s="320"/>
      <c r="T45" s="132"/>
      <c r="U45" s="159">
        <f t="shared" si="17"/>
        <v>0</v>
      </c>
      <c r="V45" s="25"/>
      <c r="W45" s="10"/>
    </row>
    <row r="46" spans="1:23" x14ac:dyDescent="0.25">
      <c r="A46" s="134">
        <v>30200</v>
      </c>
      <c r="B46" s="144"/>
      <c r="C46" s="144" t="s">
        <v>90</v>
      </c>
      <c r="D46" s="307"/>
      <c r="E46" s="256">
        <f>VLOOKUP(A46,'ASR Assets'!B:H,6,FALSE)</f>
        <v>0</v>
      </c>
      <c r="F46" s="156">
        <v>0</v>
      </c>
      <c r="G46" s="317">
        <f t="shared" si="18"/>
        <v>0</v>
      </c>
      <c r="H46" s="156">
        <v>0</v>
      </c>
      <c r="I46" s="317">
        <f t="shared" si="19"/>
        <v>0</v>
      </c>
      <c r="J46" s="255">
        <f t="shared" si="20"/>
        <v>0</v>
      </c>
      <c r="K46" s="319">
        <f t="shared" si="21"/>
        <v>0</v>
      </c>
      <c r="L46" s="132"/>
      <c r="M46" s="134">
        <f t="shared" si="22"/>
        <v>30200</v>
      </c>
      <c r="N46" s="144"/>
      <c r="O46" s="144" t="str">
        <f t="shared" si="23"/>
        <v>Franchise &amp; Consents</v>
      </c>
      <c r="P46" s="132"/>
      <c r="Q46" s="256">
        <v>0</v>
      </c>
      <c r="R46" s="321"/>
      <c r="S46" s="320"/>
      <c r="T46" s="132"/>
      <c r="U46" s="159">
        <f t="shared" si="17"/>
        <v>0</v>
      </c>
      <c r="V46" s="25"/>
      <c r="W46" s="10"/>
    </row>
    <row r="47" spans="1:23" x14ac:dyDescent="0.25">
      <c r="A47" s="134">
        <v>30300</v>
      </c>
      <c r="B47" s="144"/>
      <c r="C47" s="144" t="s">
        <v>91</v>
      </c>
      <c r="D47" s="307"/>
      <c r="E47" s="256">
        <v>815325.07</v>
      </c>
      <c r="F47" s="156">
        <f>+'Reserve Allocation'!F14</f>
        <v>815325.0699999989</v>
      </c>
      <c r="G47" s="317">
        <f t="shared" si="18"/>
        <v>100</v>
      </c>
      <c r="H47" s="156">
        <f>'Theoretical Reserve'!H5</f>
        <v>815325.07000000007</v>
      </c>
      <c r="I47" s="317">
        <f t="shared" ref="I47:I59" si="24">ROUND(IF($E47=0,0,(H47/E47)*100),2)</f>
        <v>100</v>
      </c>
      <c r="J47" s="255">
        <f t="shared" si="20"/>
        <v>-1.1641532182693481E-9</v>
      </c>
      <c r="K47" s="319">
        <f t="shared" ref="K47:K59" si="25">ROUND(IF(E47=0,0,(F47/H47)*100),0)</f>
        <v>100</v>
      </c>
      <c r="L47" s="132"/>
      <c r="M47" s="134">
        <f t="shared" si="22"/>
        <v>30300</v>
      </c>
      <c r="N47" s="144"/>
      <c r="O47" s="144" t="str">
        <f t="shared" si="23"/>
        <v>Misc Intangible Plant</v>
      </c>
      <c r="P47" s="132"/>
      <c r="Q47" s="256">
        <f t="shared" ref="Q47:Q59" si="26">+F47</f>
        <v>815325.0699999989</v>
      </c>
      <c r="R47" s="321"/>
      <c r="S47" s="320"/>
      <c r="T47" s="132"/>
      <c r="U47" s="159">
        <f t="shared" si="17"/>
        <v>815325.0699999989</v>
      </c>
      <c r="V47" s="25"/>
      <c r="W47" s="10"/>
    </row>
    <row r="48" spans="1:23" x14ac:dyDescent="0.25">
      <c r="A48" s="134">
        <v>30301</v>
      </c>
      <c r="B48" s="144"/>
      <c r="C48" s="144" t="s">
        <v>92</v>
      </c>
      <c r="D48" s="307"/>
      <c r="E48" s="256">
        <f>'Rate Computation'!$D$16</f>
        <v>110526643.99000001</v>
      </c>
      <c r="F48" s="156">
        <f>+'Reserve Allocation'!N15</f>
        <v>30148268.771823499</v>
      </c>
      <c r="G48" s="317">
        <f t="shared" si="18"/>
        <v>27.28</v>
      </c>
      <c r="H48" s="156">
        <f>'Theoretical Reserve'!H28</f>
        <v>29628972.286000002</v>
      </c>
      <c r="I48" s="317">
        <f t="shared" si="24"/>
        <v>26.81</v>
      </c>
      <c r="J48" s="255">
        <f t="shared" si="20"/>
        <v>519296.48582349718</v>
      </c>
      <c r="K48" s="319">
        <f t="shared" si="25"/>
        <v>102</v>
      </c>
      <c r="L48" s="132"/>
      <c r="M48" s="134">
        <f t="shared" si="22"/>
        <v>30301</v>
      </c>
      <c r="N48" s="144"/>
      <c r="O48" s="144" t="str">
        <f t="shared" si="23"/>
        <v>Custom Intangible Plant</v>
      </c>
      <c r="P48" s="132"/>
      <c r="Q48" s="256">
        <f t="shared" si="26"/>
        <v>30148268.771823499</v>
      </c>
      <c r="R48" s="321"/>
      <c r="S48" s="320"/>
      <c r="T48" s="132"/>
      <c r="U48" s="159">
        <f t="shared" si="17"/>
        <v>30148268.771823499</v>
      </c>
      <c r="V48" s="25"/>
      <c r="W48" s="10"/>
    </row>
    <row r="49" spans="1:23" x14ac:dyDescent="0.25">
      <c r="A49" s="134">
        <v>39000</v>
      </c>
      <c r="B49" s="144"/>
      <c r="C49" s="144" t="s">
        <v>93</v>
      </c>
      <c r="D49" s="307"/>
      <c r="E49" s="159">
        <f>+'Rate Computation'!D46</f>
        <v>663068.9</v>
      </c>
      <c r="F49" s="159">
        <f>+'Reserve Allocation'!N45</f>
        <v>18381.777281599912</v>
      </c>
      <c r="G49" s="317">
        <f t="shared" si="18"/>
        <v>2.77</v>
      </c>
      <c r="H49" s="156">
        <f>'Theoretical Reserve'!H761</f>
        <v>38627.255438941997</v>
      </c>
      <c r="I49" s="317">
        <f t="shared" si="24"/>
        <v>5.83</v>
      </c>
      <c r="J49" s="255">
        <f t="shared" si="20"/>
        <v>-20245.478157342084</v>
      </c>
      <c r="K49" s="319">
        <f t="shared" si="25"/>
        <v>48</v>
      </c>
      <c r="L49" s="132"/>
      <c r="M49" s="134">
        <f t="shared" si="22"/>
        <v>39000</v>
      </c>
      <c r="N49" s="144"/>
      <c r="O49" s="144" t="str">
        <f t="shared" si="23"/>
        <v>Structures &amp; Improvements</v>
      </c>
      <c r="P49" s="132"/>
      <c r="Q49" s="256">
        <f t="shared" si="26"/>
        <v>18381.777281599912</v>
      </c>
      <c r="R49" s="321"/>
      <c r="S49" s="320"/>
      <c r="T49" s="132"/>
      <c r="U49" s="159">
        <f t="shared" si="17"/>
        <v>18381.777281599912</v>
      </c>
      <c r="V49" s="25"/>
      <c r="W49" s="10"/>
    </row>
    <row r="50" spans="1:23" x14ac:dyDescent="0.25">
      <c r="A50" s="134">
        <v>39100</v>
      </c>
      <c r="B50" s="144"/>
      <c r="C50" s="144" t="s">
        <v>107</v>
      </c>
      <c r="D50" s="307"/>
      <c r="E50" s="159">
        <f>+'Rate Computation'!D47</f>
        <v>2151949.7299999995</v>
      </c>
      <c r="F50" s="159">
        <f>+'Reserve Allocation'!N46</f>
        <v>1114167.3792016273</v>
      </c>
      <c r="G50" s="317">
        <f t="shared" si="18"/>
        <v>51.77</v>
      </c>
      <c r="H50" s="156">
        <f>'Theoretical Reserve'!H779</f>
        <v>960077.26794117631</v>
      </c>
      <c r="I50" s="317">
        <f t="shared" si="24"/>
        <v>44.61</v>
      </c>
      <c r="J50" s="255">
        <f t="shared" si="20"/>
        <v>154090.11126045103</v>
      </c>
      <c r="K50" s="319">
        <f t="shared" si="25"/>
        <v>116</v>
      </c>
      <c r="L50" s="132"/>
      <c r="M50" s="134">
        <f t="shared" si="22"/>
        <v>39100</v>
      </c>
      <c r="N50" s="144"/>
      <c r="O50" s="144" t="str">
        <f t="shared" si="23"/>
        <v>Office Furniture</v>
      </c>
      <c r="P50" s="132"/>
      <c r="Q50" s="256">
        <f t="shared" si="26"/>
        <v>1114167.3792016273</v>
      </c>
      <c r="R50" s="321"/>
      <c r="S50" s="320"/>
      <c r="T50" s="132"/>
      <c r="U50" s="159">
        <f t="shared" si="17"/>
        <v>1114167.3792016273</v>
      </c>
      <c r="V50" s="25"/>
      <c r="W50" s="10"/>
    </row>
    <row r="51" spans="1:23" x14ac:dyDescent="0.25">
      <c r="A51" s="134">
        <v>39101</v>
      </c>
      <c r="B51" s="144"/>
      <c r="C51" s="144" t="s">
        <v>108</v>
      </c>
      <c r="D51" s="307"/>
      <c r="E51" s="159">
        <f>+'Rate Computation'!D48</f>
        <v>5932305.8570000008</v>
      </c>
      <c r="F51" s="159">
        <f>+'Reserve Allocation'!N47</f>
        <v>3431578.3103643819</v>
      </c>
      <c r="G51" s="317">
        <f t="shared" si="18"/>
        <v>57.85</v>
      </c>
      <c r="H51" s="156">
        <f>'Theoretical Reserve'!H792</f>
        <v>2365045.3070555557</v>
      </c>
      <c r="I51" s="317">
        <f t="shared" si="24"/>
        <v>39.869999999999997</v>
      </c>
      <c r="J51" s="255">
        <f t="shared" si="20"/>
        <v>1066533.0033088261</v>
      </c>
      <c r="K51" s="319">
        <f t="shared" si="25"/>
        <v>145</v>
      </c>
      <c r="L51" s="132"/>
      <c r="M51" s="134">
        <f t="shared" si="22"/>
        <v>39101</v>
      </c>
      <c r="N51" s="144"/>
      <c r="O51" s="144" t="str">
        <f t="shared" si="23"/>
        <v>Computer Equipment</v>
      </c>
      <c r="P51" s="132"/>
      <c r="Q51" s="256">
        <f t="shared" si="26"/>
        <v>3431578.3103643819</v>
      </c>
      <c r="R51" s="321"/>
      <c r="S51" s="320"/>
      <c r="T51" s="132"/>
      <c r="U51" s="159">
        <f t="shared" si="17"/>
        <v>3431578.3103643819</v>
      </c>
      <c r="V51" s="25"/>
      <c r="W51" s="10"/>
    </row>
    <row r="52" spans="1:23" x14ac:dyDescent="0.25">
      <c r="A52" s="134">
        <v>39102</v>
      </c>
      <c r="B52" s="144"/>
      <c r="C52" s="144" t="s">
        <v>109</v>
      </c>
      <c r="D52" s="307"/>
      <c r="E52" s="159">
        <f>+'Rate Computation'!D49</f>
        <v>1529673.7899999998</v>
      </c>
      <c r="F52" s="159">
        <f>+'Reserve Allocation'!N48</f>
        <v>965279.09392999986</v>
      </c>
      <c r="G52" s="317">
        <f t="shared" si="18"/>
        <v>63.1</v>
      </c>
      <c r="H52" s="156">
        <f>'Theoretical Reserve'!H812</f>
        <v>928843.51299999992</v>
      </c>
      <c r="I52" s="317">
        <f t="shared" si="24"/>
        <v>60.72</v>
      </c>
      <c r="J52" s="255">
        <f t="shared" si="20"/>
        <v>36435.580929999938</v>
      </c>
      <c r="K52" s="319">
        <f t="shared" si="25"/>
        <v>104</v>
      </c>
      <c r="L52" s="132"/>
      <c r="M52" s="134">
        <f t="shared" si="22"/>
        <v>39102</v>
      </c>
      <c r="N52" s="144"/>
      <c r="O52" s="144" t="str">
        <f t="shared" si="23"/>
        <v>Office Equipment</v>
      </c>
      <c r="P52" s="132"/>
      <c r="Q52" s="256">
        <f t="shared" si="26"/>
        <v>965279.09392999986</v>
      </c>
      <c r="R52" s="321"/>
      <c r="S52" s="320"/>
      <c r="T52" s="132"/>
      <c r="U52" s="159">
        <f t="shared" si="17"/>
        <v>965279.09392999986</v>
      </c>
      <c r="V52" s="25"/>
      <c r="W52" s="10"/>
    </row>
    <row r="53" spans="1:23" x14ac:dyDescent="0.25">
      <c r="A53" s="134">
        <v>39300</v>
      </c>
      <c r="B53" s="144"/>
      <c r="C53" s="144" t="s">
        <v>114</v>
      </c>
      <c r="D53" s="307"/>
      <c r="E53" s="159">
        <v>1283.3900000000001</v>
      </c>
      <c r="F53" s="159">
        <f>+'Reserve Allocation'!N53</f>
        <v>591.86238000006779</v>
      </c>
      <c r="G53" s="317">
        <f t="shared" si="18"/>
        <v>46.12</v>
      </c>
      <c r="H53" s="156">
        <f>'Theoretical Reserve'!H910</f>
        <v>614.95770833333336</v>
      </c>
      <c r="I53" s="317">
        <f t="shared" si="24"/>
        <v>47.92</v>
      </c>
      <c r="J53" s="255">
        <f t="shared" si="20"/>
        <v>-23.09532833326557</v>
      </c>
      <c r="K53" s="319">
        <f t="shared" si="25"/>
        <v>96</v>
      </c>
      <c r="L53" s="132"/>
      <c r="M53" s="134">
        <f t="shared" si="22"/>
        <v>39300</v>
      </c>
      <c r="N53" s="144"/>
      <c r="O53" s="144" t="str">
        <f t="shared" si="23"/>
        <v>Stores Equipment</v>
      </c>
      <c r="P53" s="132"/>
      <c r="Q53" s="256">
        <f t="shared" si="26"/>
        <v>591.86238000006779</v>
      </c>
      <c r="R53" s="321"/>
      <c r="S53" s="320"/>
      <c r="T53" s="132"/>
      <c r="U53" s="159">
        <f t="shared" si="17"/>
        <v>591.86238000006779</v>
      </c>
      <c r="V53" s="25"/>
      <c r="W53" s="10"/>
    </row>
    <row r="54" spans="1:23" x14ac:dyDescent="0.25">
      <c r="A54" s="134">
        <v>39400</v>
      </c>
      <c r="B54" s="144"/>
      <c r="C54" s="144" t="s">
        <v>115</v>
      </c>
      <c r="D54" s="307"/>
      <c r="E54" s="159">
        <f>+'Rate Computation'!D55</f>
        <v>8587697.3599999994</v>
      </c>
      <c r="F54" s="159">
        <f>+'Reserve Allocation'!N54</f>
        <v>4420844.3778393846</v>
      </c>
      <c r="G54" s="317">
        <f t="shared" si="18"/>
        <v>51.48</v>
      </c>
      <c r="H54" s="156">
        <f>'Theoretical Reserve'!H931</f>
        <v>3741179.8491666662</v>
      </c>
      <c r="I54" s="317">
        <f t="shared" si="24"/>
        <v>43.56</v>
      </c>
      <c r="J54" s="255">
        <f t="shared" si="20"/>
        <v>679664.52867271844</v>
      </c>
      <c r="K54" s="319">
        <f t="shared" si="25"/>
        <v>118</v>
      </c>
      <c r="L54" s="132"/>
      <c r="M54" s="134">
        <f t="shared" si="22"/>
        <v>39400</v>
      </c>
      <c r="N54" s="144"/>
      <c r="O54" s="144" t="str">
        <f t="shared" si="23"/>
        <v>Tools, Shop &amp; Garage Equip</v>
      </c>
      <c r="P54" s="132"/>
      <c r="Q54" s="256">
        <f t="shared" si="26"/>
        <v>4420844.3778393846</v>
      </c>
      <c r="R54" s="321"/>
      <c r="S54" s="320"/>
      <c r="T54" s="132"/>
      <c r="U54" s="159">
        <f t="shared" si="17"/>
        <v>4420844.3778393846</v>
      </c>
      <c r="V54" s="25"/>
      <c r="W54" s="10"/>
    </row>
    <row r="55" spans="1:23" x14ac:dyDescent="0.25">
      <c r="A55" s="134">
        <v>39401</v>
      </c>
      <c r="B55" s="144"/>
      <c r="C55" s="144" t="s">
        <v>680</v>
      </c>
      <c r="D55" s="307"/>
      <c r="E55" s="159">
        <f>+'Rate Computation'!D56</f>
        <v>3241792.7900000005</v>
      </c>
      <c r="F55" s="159">
        <f>+'Reserve Allocation'!N55</f>
        <v>795268.96250000119</v>
      </c>
      <c r="G55" s="317">
        <f t="shared" si="18"/>
        <v>24.53</v>
      </c>
      <c r="H55" s="156">
        <f>'Theoretical Reserve'!H940</f>
        <v>821158.67475000001</v>
      </c>
      <c r="I55" s="317">
        <f t="shared" si="24"/>
        <v>25.33</v>
      </c>
      <c r="J55" s="255">
        <f t="shared" si="20"/>
        <v>-25889.712249998818</v>
      </c>
      <c r="K55" s="319">
        <f t="shared" si="25"/>
        <v>97</v>
      </c>
      <c r="L55" s="132"/>
      <c r="M55" s="134">
        <f t="shared" si="22"/>
        <v>39401</v>
      </c>
      <c r="N55" s="144"/>
      <c r="O55" s="144" t="str">
        <f t="shared" si="23"/>
        <v>CNG Station Equipment</v>
      </c>
      <c r="P55" s="132"/>
      <c r="Q55" s="256">
        <f t="shared" si="26"/>
        <v>795268.96250000119</v>
      </c>
      <c r="R55" s="321"/>
      <c r="S55" s="320"/>
      <c r="T55" s="132"/>
      <c r="U55" s="159">
        <f t="shared" si="17"/>
        <v>795268.96250000119</v>
      </c>
      <c r="V55" s="25"/>
      <c r="W55" s="10"/>
    </row>
    <row r="56" spans="1:23" x14ac:dyDescent="0.25">
      <c r="A56" s="134">
        <v>39500</v>
      </c>
      <c r="B56" s="144"/>
      <c r="C56" s="144" t="s">
        <v>29</v>
      </c>
      <c r="D56" s="307"/>
      <c r="E56" s="159">
        <v>0</v>
      </c>
      <c r="F56" s="156">
        <v>0</v>
      </c>
      <c r="G56" s="317">
        <f t="shared" si="18"/>
        <v>0</v>
      </c>
      <c r="H56" s="156">
        <v>0</v>
      </c>
      <c r="I56" s="317">
        <f t="shared" si="24"/>
        <v>0</v>
      </c>
      <c r="J56" s="255">
        <f t="shared" si="20"/>
        <v>0</v>
      </c>
      <c r="K56" s="319">
        <f t="shared" si="25"/>
        <v>0</v>
      </c>
      <c r="L56" s="132"/>
      <c r="M56" s="134">
        <f t="shared" si="22"/>
        <v>39500</v>
      </c>
      <c r="N56" s="144"/>
      <c r="O56" s="144" t="str">
        <f t="shared" si="23"/>
        <v>Laboratory Equipment</v>
      </c>
      <c r="P56" s="132"/>
      <c r="Q56" s="256">
        <f t="shared" si="26"/>
        <v>0</v>
      </c>
      <c r="R56" s="321"/>
      <c r="S56" s="320"/>
      <c r="T56" s="132"/>
      <c r="U56" s="159">
        <f t="shared" si="17"/>
        <v>0</v>
      </c>
      <c r="V56" s="25"/>
      <c r="W56" s="10"/>
    </row>
    <row r="57" spans="1:23" x14ac:dyDescent="0.25">
      <c r="A57" s="134">
        <v>39600</v>
      </c>
      <c r="B57" s="144"/>
      <c r="C57" s="144" t="s">
        <v>30</v>
      </c>
      <c r="D57" s="307"/>
      <c r="E57" s="159">
        <f>+'Rate Computation'!D57</f>
        <v>3562012.9878999991</v>
      </c>
      <c r="F57" s="156">
        <f>'Reserve Allocation'!N56</f>
        <v>2121059.1343065528</v>
      </c>
      <c r="G57" s="317">
        <f t="shared" si="18"/>
        <v>59.55</v>
      </c>
      <c r="H57" s="156">
        <f>'Theoretical Reserve'!H975</f>
        <v>1296058.5205168733</v>
      </c>
      <c r="I57" s="317">
        <f t="shared" si="24"/>
        <v>36.39</v>
      </c>
      <c r="J57" s="255">
        <f t="shared" si="20"/>
        <v>825000.61378967948</v>
      </c>
      <c r="K57" s="319">
        <f t="shared" si="25"/>
        <v>164</v>
      </c>
      <c r="L57" s="132"/>
      <c r="M57" s="134">
        <f t="shared" si="22"/>
        <v>39600</v>
      </c>
      <c r="N57" s="144"/>
      <c r="O57" s="144" t="str">
        <f t="shared" si="23"/>
        <v>Power Operated Equipment</v>
      </c>
      <c r="P57" s="132"/>
      <c r="Q57" s="256">
        <f t="shared" si="26"/>
        <v>2121059.1343065528</v>
      </c>
      <c r="R57" s="321"/>
      <c r="S57" s="320"/>
      <c r="T57" s="132"/>
      <c r="U57" s="159">
        <f t="shared" si="17"/>
        <v>2121059.1343065528</v>
      </c>
      <c r="V57" s="25"/>
      <c r="W57" s="10"/>
    </row>
    <row r="58" spans="1:23" x14ac:dyDescent="0.25">
      <c r="A58" s="134">
        <v>39700</v>
      </c>
      <c r="B58" s="144"/>
      <c r="C58" s="144" t="s">
        <v>32</v>
      </c>
      <c r="D58" s="307"/>
      <c r="E58" s="159">
        <f>+'Rate Computation'!D58</f>
        <v>3015264.3707999997</v>
      </c>
      <c r="F58" s="156">
        <f>'Reserve Allocation'!N57</f>
        <v>2936319.9008156708</v>
      </c>
      <c r="G58" s="317">
        <f t="shared" si="18"/>
        <v>97.38</v>
      </c>
      <c r="H58" s="156">
        <f>'Theoretical Reserve'!H986</f>
        <v>2482364.1496461537</v>
      </c>
      <c r="I58" s="317">
        <f t="shared" si="24"/>
        <v>82.33</v>
      </c>
      <c r="J58" s="255">
        <f t="shared" si="20"/>
        <v>453955.75116951717</v>
      </c>
      <c r="K58" s="319">
        <f t="shared" si="25"/>
        <v>118</v>
      </c>
      <c r="L58" s="132"/>
      <c r="M58" s="134">
        <f t="shared" si="22"/>
        <v>39700</v>
      </c>
      <c r="N58" s="144"/>
      <c r="O58" s="144" t="str">
        <f t="shared" si="23"/>
        <v>Communication Equipment</v>
      </c>
      <c r="P58" s="132"/>
      <c r="Q58" s="256">
        <f t="shared" si="26"/>
        <v>2936319.9008156708</v>
      </c>
      <c r="R58" s="321"/>
      <c r="S58" s="320"/>
      <c r="T58" s="132"/>
      <c r="U58" s="159">
        <f t="shared" si="17"/>
        <v>2936319.9008156708</v>
      </c>
      <c r="V58" s="25"/>
      <c r="W58" s="10"/>
    </row>
    <row r="59" spans="1:23" x14ac:dyDescent="0.25">
      <c r="A59" s="134">
        <v>39800</v>
      </c>
      <c r="B59" s="144"/>
      <c r="C59" s="144" t="s">
        <v>33</v>
      </c>
      <c r="D59" s="307"/>
      <c r="E59" s="159">
        <f>+'Rate Computation'!D59</f>
        <v>749276.97410000011</v>
      </c>
      <c r="F59" s="156">
        <f>'Reserve Allocation'!N58</f>
        <v>211978.84817832068</v>
      </c>
      <c r="G59" s="317">
        <f t="shared" si="18"/>
        <v>28.29</v>
      </c>
      <c r="H59" s="156">
        <f>'Theoretical Reserve'!H1002</f>
        <v>128498.92635250001</v>
      </c>
      <c r="I59" s="317">
        <f t="shared" si="24"/>
        <v>17.149999999999999</v>
      </c>
      <c r="J59" s="255">
        <f t="shared" si="20"/>
        <v>83479.921825820667</v>
      </c>
      <c r="K59" s="319">
        <f t="shared" si="25"/>
        <v>165</v>
      </c>
      <c r="L59" s="132"/>
      <c r="M59" s="134">
        <f t="shared" si="22"/>
        <v>39800</v>
      </c>
      <c r="N59" s="144"/>
      <c r="O59" s="144" t="str">
        <f t="shared" si="23"/>
        <v>Miscellaneous Equipment</v>
      </c>
      <c r="P59" s="132"/>
      <c r="Q59" s="256">
        <f t="shared" si="26"/>
        <v>211978.84817832068</v>
      </c>
      <c r="R59" s="321"/>
      <c r="S59" s="320"/>
      <c r="T59" s="132"/>
      <c r="U59" s="159">
        <f t="shared" si="17"/>
        <v>211978.84817832068</v>
      </c>
      <c r="V59" s="25"/>
      <c r="W59" s="10"/>
    </row>
    <row r="60" spans="1:23" ht="13" thickBot="1" x14ac:dyDescent="0.3">
      <c r="A60" s="160"/>
      <c r="B60" s="161"/>
      <c r="C60" s="161"/>
      <c r="D60" s="132"/>
      <c r="E60" s="330"/>
      <c r="F60" s="162"/>
      <c r="G60" s="323"/>
      <c r="H60" s="322"/>
      <c r="I60" s="323"/>
      <c r="J60" s="324"/>
      <c r="K60" s="325"/>
      <c r="L60" s="132"/>
      <c r="M60" s="160"/>
      <c r="N60" s="161"/>
      <c r="O60" s="161"/>
      <c r="P60" s="132"/>
      <c r="Q60" s="322"/>
      <c r="R60" s="161"/>
      <c r="S60" s="331"/>
      <c r="T60" s="161"/>
      <c r="U60" s="322"/>
      <c r="V60" s="25"/>
    </row>
    <row r="61" spans="1:23" ht="22.15" customHeight="1" thickTop="1" thickBot="1" x14ac:dyDescent="0.3">
      <c r="A61" s="160"/>
      <c r="B61" s="161"/>
      <c r="C61" s="327" t="s">
        <v>60</v>
      </c>
      <c r="D61" s="132"/>
      <c r="E61" s="165">
        <f>SUM(E36:E59)</f>
        <v>181149910.56079993</v>
      </c>
      <c r="F61" s="165">
        <f>SUM(F36:F59)</f>
        <v>63479379.970643796</v>
      </c>
      <c r="G61" s="138"/>
      <c r="H61" s="165">
        <f>SUM(H36:H60)</f>
        <v>56490700.744753174</v>
      </c>
      <c r="I61" s="138"/>
      <c r="J61" s="165">
        <f>SUM(J36:J60)</f>
        <v>6988679.225890629</v>
      </c>
      <c r="K61" s="332">
        <f>ROUND(IF(H61=0,0,(F61/H61)*100),0)</f>
        <v>112</v>
      </c>
      <c r="L61" s="132"/>
      <c r="M61" s="160"/>
      <c r="N61" s="161"/>
      <c r="O61" s="327" t="s">
        <v>60</v>
      </c>
      <c r="P61" s="132"/>
      <c r="Q61" s="165">
        <f>SUM(Q36:Q59)</f>
        <v>63479379.970643796</v>
      </c>
      <c r="R61" s="161"/>
      <c r="S61" s="165">
        <f>SUM(S36:S60)</f>
        <v>0</v>
      </c>
      <c r="T61" s="161"/>
      <c r="U61" s="165">
        <f>SUM(U36:U59)</f>
        <v>63479379.970643796</v>
      </c>
      <c r="V61" s="25"/>
    </row>
    <row r="62" spans="1:23" ht="13" thickTop="1" x14ac:dyDescent="0.25">
      <c r="A62" s="132"/>
      <c r="B62" s="132"/>
      <c r="C62" s="333"/>
      <c r="D62" s="132"/>
      <c r="E62" s="255"/>
      <c r="F62" s="255"/>
      <c r="G62" s="132"/>
      <c r="H62" s="255"/>
      <c r="I62" s="132"/>
      <c r="J62" s="255"/>
      <c r="K62" s="334"/>
      <c r="L62" s="132"/>
      <c r="M62" s="132"/>
      <c r="N62" s="132"/>
      <c r="O62" s="333"/>
      <c r="P62" s="132"/>
      <c r="Q62" s="255"/>
      <c r="R62" s="132"/>
      <c r="S62" s="318"/>
      <c r="T62" s="132"/>
      <c r="U62" s="255"/>
      <c r="V62" s="25"/>
    </row>
    <row r="63" spans="1:23" x14ac:dyDescent="0.25">
      <c r="A63" s="132">
        <f>'Rate Computation'!A66</f>
        <v>33600</v>
      </c>
      <c r="B63" s="132">
        <f>'Rate Computation'!B66</f>
        <v>0</v>
      </c>
      <c r="C63" s="333" t="str">
        <f>Parameter!B55</f>
        <v>RNG Plant</v>
      </c>
      <c r="E63" s="146">
        <f>+'Theoretical Reserve'!D1005</f>
        <v>16109646.340000002</v>
      </c>
      <c r="F63" s="255">
        <f>+'Reserve Allocation'!N65</f>
        <v>515471.1447375</v>
      </c>
      <c r="G63" s="317">
        <f t="shared" ref="G63:G65" si="27">ROUND(IF($E63=0,0,(F63/$E63)*100),2)</f>
        <v>3.2</v>
      </c>
      <c r="H63" s="255">
        <f>+'Theoretical Reserve'!H1005</f>
        <v>254998.94753000568</v>
      </c>
      <c r="I63" s="317">
        <f t="shared" ref="I63:I65" si="28">ROUND(IF($E63=0,0,(H63/E63)*100),2)</f>
        <v>1.58</v>
      </c>
      <c r="J63" s="255">
        <f t="shared" ref="J63:J65" si="29">F63-H63</f>
        <v>260472.19720749432</v>
      </c>
      <c r="K63" s="319">
        <f t="shared" ref="K63:K65" si="30">ROUND(IF(E63=0,0,(F63/H63)*100),0)</f>
        <v>202</v>
      </c>
      <c r="L63" s="132"/>
      <c r="M63" s="132">
        <f t="shared" ref="M63:M65" si="31">A63</f>
        <v>33600</v>
      </c>
      <c r="N63" s="251" t="s">
        <v>1229</v>
      </c>
      <c r="O63" s="333" t="str">
        <f t="shared" ref="O63:O65" si="32">C63</f>
        <v>RNG Plant</v>
      </c>
      <c r="P63" s="132"/>
      <c r="Q63" s="255">
        <f t="shared" ref="Q63:Q65" si="33">F63</f>
        <v>515471.1447375</v>
      </c>
      <c r="R63" s="132"/>
      <c r="S63" s="318"/>
      <c r="T63" s="132"/>
      <c r="U63" s="159">
        <f t="shared" ref="U63:U65" si="34">+Q63+S63</f>
        <v>515471.1447375</v>
      </c>
      <c r="V63" s="25"/>
    </row>
    <row r="64" spans="1:23" x14ac:dyDescent="0.25">
      <c r="A64" s="132">
        <v>33601</v>
      </c>
      <c r="B64" s="132"/>
      <c r="C64" s="333" t="s">
        <v>1357</v>
      </c>
      <c r="E64" s="146">
        <f>+'Theoretical Reserve'!D1015</f>
        <v>35668591.620000005</v>
      </c>
      <c r="F64" s="255">
        <f>+'Reserve Allocation'!N66</f>
        <v>1961772.5391000002</v>
      </c>
      <c r="G64" s="317">
        <f t="shared" si="27"/>
        <v>5.5</v>
      </c>
      <c r="H64" s="255">
        <f>+'Theoretical Reserve'!H1015</f>
        <v>1188953.054</v>
      </c>
      <c r="I64" s="317">
        <f t="shared" si="28"/>
        <v>3.33</v>
      </c>
      <c r="J64" s="255">
        <f t="shared" si="29"/>
        <v>772819.48510000017</v>
      </c>
      <c r="K64" s="319">
        <f t="shared" si="30"/>
        <v>165</v>
      </c>
      <c r="L64" s="132"/>
      <c r="M64" s="132">
        <f t="shared" si="31"/>
        <v>33601</v>
      </c>
      <c r="N64" s="251"/>
      <c r="O64" s="333" t="str">
        <f t="shared" si="32"/>
        <v>RNG Plant Leased- 15 Years</v>
      </c>
      <c r="P64" s="132"/>
      <c r="Q64" s="255">
        <f t="shared" si="33"/>
        <v>1961772.5391000002</v>
      </c>
      <c r="R64" s="132"/>
      <c r="S64" s="318"/>
      <c r="T64" s="132"/>
      <c r="U64" s="159">
        <f t="shared" si="34"/>
        <v>1961772.5391000002</v>
      </c>
      <c r="V64" s="25"/>
    </row>
    <row r="65" spans="1:22" x14ac:dyDescent="0.25">
      <c r="A65" s="132">
        <f>'Rate Computation'!A68</f>
        <v>36400</v>
      </c>
      <c r="B65" s="132" t="e">
        <f>'Rate Computation'!#REF!</f>
        <v>#REF!</v>
      </c>
      <c r="C65" s="333" t="str">
        <f>Parameter!B57</f>
        <v>LNG Plant</v>
      </c>
      <c r="E65" s="146">
        <f>+'Theoretical Reserve'!D1008</f>
        <v>1485380.05</v>
      </c>
      <c r="F65" s="255">
        <f>+'Reserve Allocation'!N67</f>
        <v>25561.084675000002</v>
      </c>
      <c r="G65" s="317">
        <f t="shared" si="27"/>
        <v>1.72</v>
      </c>
      <c r="H65" s="255">
        <f>+'Theoretical Reserve'!H1008</f>
        <v>23512.021396247932</v>
      </c>
      <c r="I65" s="317">
        <f t="shared" si="28"/>
        <v>1.58</v>
      </c>
      <c r="J65" s="255">
        <f t="shared" si="29"/>
        <v>2049.0632787520699</v>
      </c>
      <c r="K65" s="319">
        <f t="shared" si="30"/>
        <v>109</v>
      </c>
      <c r="L65" s="132"/>
      <c r="M65" s="132">
        <f t="shared" si="31"/>
        <v>36400</v>
      </c>
      <c r="N65" s="251"/>
      <c r="O65" s="333" t="str">
        <f t="shared" si="32"/>
        <v>LNG Plant</v>
      </c>
      <c r="P65" s="132" t="s">
        <v>1229</v>
      </c>
      <c r="Q65" s="255">
        <f t="shared" si="33"/>
        <v>25561.084675000002</v>
      </c>
      <c r="R65" s="132"/>
      <c r="S65" s="318"/>
      <c r="T65" s="132"/>
      <c r="U65" s="159">
        <f t="shared" si="34"/>
        <v>25561.084675000002</v>
      </c>
      <c r="V65" s="25"/>
    </row>
    <row r="66" spans="1:22" x14ac:dyDescent="0.25">
      <c r="A66" s="132"/>
      <c r="B66" s="132"/>
      <c r="C66" s="333"/>
      <c r="D66" s="132"/>
      <c r="E66" s="255"/>
      <c r="F66" s="255"/>
      <c r="G66" s="132"/>
      <c r="H66" s="255"/>
      <c r="I66" s="132"/>
      <c r="J66" s="255"/>
      <c r="K66" s="334"/>
      <c r="L66" s="132"/>
      <c r="M66" s="132"/>
      <c r="N66" s="132"/>
      <c r="O66" s="333"/>
      <c r="P66" s="132"/>
      <c r="Q66" s="255"/>
      <c r="R66" s="132"/>
      <c r="S66" s="318"/>
      <c r="T66" s="132"/>
      <c r="U66" s="255"/>
      <c r="V66" s="25"/>
    </row>
    <row r="67" spans="1:22" x14ac:dyDescent="0.25">
      <c r="A67" s="132"/>
      <c r="B67" s="132"/>
      <c r="C67" s="333"/>
      <c r="D67" s="132"/>
      <c r="E67" s="255"/>
      <c r="F67" s="255"/>
      <c r="G67" s="132"/>
      <c r="H67" s="255"/>
      <c r="I67" s="132"/>
      <c r="J67" s="255"/>
      <c r="K67" s="334"/>
      <c r="L67" s="132"/>
      <c r="M67" s="132"/>
      <c r="N67" s="132"/>
      <c r="O67" s="333"/>
      <c r="P67" s="132"/>
      <c r="Q67" s="255"/>
      <c r="R67" s="132"/>
      <c r="S67" s="318"/>
      <c r="T67" s="132"/>
      <c r="U67" s="255"/>
      <c r="V67" s="25"/>
    </row>
    <row r="68" spans="1:22" ht="13" thickBot="1" x14ac:dyDescent="0.3">
      <c r="A68" s="166"/>
      <c r="B68" s="167"/>
      <c r="C68" s="335"/>
      <c r="D68" s="132"/>
      <c r="E68" s="336"/>
      <c r="F68" s="336"/>
      <c r="G68" s="167"/>
      <c r="H68" s="336"/>
      <c r="I68" s="167"/>
      <c r="J68" s="336"/>
      <c r="K68" s="337"/>
      <c r="L68" s="132"/>
      <c r="M68" s="166"/>
      <c r="N68" s="167"/>
      <c r="O68" s="335"/>
      <c r="P68" s="132"/>
      <c r="Q68" s="336"/>
      <c r="R68" s="167"/>
      <c r="S68" s="338"/>
      <c r="T68" s="167"/>
      <c r="U68" s="336"/>
      <c r="V68" s="25"/>
    </row>
    <row r="69" spans="1:22" ht="22.15" customHeight="1" thickBot="1" x14ac:dyDescent="0.3">
      <c r="A69" s="169"/>
      <c r="B69" s="170"/>
      <c r="C69" s="339" t="s">
        <v>696</v>
      </c>
      <c r="D69" s="132"/>
      <c r="E69" s="340">
        <f>E61+E33+E63+E65+E64</f>
        <v>3186525774.1408005</v>
      </c>
      <c r="F69" s="340">
        <f>F61+F33+F63+F65+F64</f>
        <v>889076505.03173625</v>
      </c>
      <c r="G69" s="341"/>
      <c r="H69" s="340">
        <f>H61+H33+H63+H65+H64</f>
        <v>728684347.31856382</v>
      </c>
      <c r="I69" s="341"/>
      <c r="J69" s="340">
        <f>J61+J33+J63+J65+J64</f>
        <v>160392157.71317241</v>
      </c>
      <c r="K69" s="340">
        <f>K61+K33+K63+K65+K64</f>
        <v>711</v>
      </c>
      <c r="L69" s="132"/>
      <c r="M69" s="169"/>
      <c r="N69" s="170"/>
      <c r="O69" s="339" t="s">
        <v>696</v>
      </c>
      <c r="P69" s="132"/>
      <c r="Q69" s="340">
        <f t="shared" ref="Q69:U69" si="35">Q61+Q33+Q63+Q65+Q64</f>
        <v>889076505.03173625</v>
      </c>
      <c r="R69" s="340">
        <f t="shared" si="35"/>
        <v>0</v>
      </c>
      <c r="S69" s="340">
        <f t="shared" si="35"/>
        <v>0</v>
      </c>
      <c r="T69" s="340">
        <f t="shared" si="35"/>
        <v>0</v>
      </c>
      <c r="U69" s="340">
        <f t="shared" si="35"/>
        <v>889076505.03173625</v>
      </c>
      <c r="V69" s="25"/>
    </row>
    <row r="70" spans="1:22" x14ac:dyDescent="0.25">
      <c r="A70" s="25"/>
      <c r="B70" s="25"/>
      <c r="V70" s="25"/>
    </row>
    <row r="71" spans="1:22" ht="13" x14ac:dyDescent="0.3">
      <c r="C71" s="7" t="s">
        <v>67</v>
      </c>
      <c r="E71" s="342">
        <v>3467239074.6882105</v>
      </c>
      <c r="F71" s="343">
        <f>'Reserve Allocation'!$N$79</f>
        <v>894044433.41173625</v>
      </c>
      <c r="H71" s="344"/>
      <c r="J71" s="344"/>
      <c r="O71" s="7" t="s">
        <v>67</v>
      </c>
      <c r="Q71" s="343">
        <f>'Reserve Allocation'!$N$79</f>
        <v>894044433.41173625</v>
      </c>
      <c r="S71" s="342">
        <v>0</v>
      </c>
      <c r="U71" s="343">
        <f>'Reserve Allocation'!$N$79</f>
        <v>894044433.41173625</v>
      </c>
    </row>
    <row r="72" spans="1:22" x14ac:dyDescent="0.25">
      <c r="C72" s="7" t="s">
        <v>679</v>
      </c>
      <c r="E72" s="342">
        <v>-16157149.27</v>
      </c>
      <c r="F72" s="345">
        <f>--60224.6000000004</f>
        <v>60224.600000000399</v>
      </c>
      <c r="O72" s="7" t="s">
        <v>679</v>
      </c>
      <c r="Q72" s="345">
        <f>--60224.6000000004</f>
        <v>60224.600000000399</v>
      </c>
      <c r="S72" s="342">
        <v>0</v>
      </c>
      <c r="U72" s="345">
        <f>Q72+S72</f>
        <v>60224.600000000399</v>
      </c>
    </row>
    <row r="73" spans="1:22" x14ac:dyDescent="0.25">
      <c r="C73" s="91" t="s">
        <v>1347</v>
      </c>
      <c r="E73" s="342">
        <v>-5031897.24</v>
      </c>
      <c r="F73" s="345">
        <v>-5028152.9800000098</v>
      </c>
      <c r="O73" s="7"/>
      <c r="Q73" s="345">
        <v>-5028152.9800000098</v>
      </c>
      <c r="S73" s="342"/>
      <c r="U73" s="345">
        <f>Q73+S73</f>
        <v>-5028152.9800000098</v>
      </c>
    </row>
    <row r="74" spans="1:22" x14ac:dyDescent="0.25">
      <c r="C74" s="91" t="s">
        <v>1348</v>
      </c>
      <c r="E74" s="342">
        <v>-1939551.55</v>
      </c>
      <c r="F74" s="345"/>
      <c r="O74" s="91" t="s">
        <v>1231</v>
      </c>
      <c r="Q74" s="345"/>
      <c r="R74" s="345">
        <v>-20039</v>
      </c>
      <c r="S74" s="342"/>
      <c r="U74" s="345">
        <f>+Q74</f>
        <v>0</v>
      </c>
    </row>
    <row r="75" spans="1:22" x14ac:dyDescent="0.25">
      <c r="C75" s="346" t="s">
        <v>654</v>
      </c>
      <c r="E75" s="342">
        <v>0</v>
      </c>
      <c r="F75" s="345">
        <f>U75</f>
        <v>0</v>
      </c>
      <c r="O75" s="346" t="s">
        <v>654</v>
      </c>
      <c r="Q75" s="345">
        <f>AF75</f>
        <v>0</v>
      </c>
      <c r="S75" s="342">
        <v>0</v>
      </c>
      <c r="U75" s="345">
        <f>Q75+S75</f>
        <v>0</v>
      </c>
    </row>
    <row r="76" spans="1:22" ht="13" thickBot="1" x14ac:dyDescent="0.3">
      <c r="C76" s="7" t="s">
        <v>73</v>
      </c>
      <c r="E76" s="347">
        <f>SUM(E71:E75)</f>
        <v>3444110476.6282105</v>
      </c>
      <c r="F76" s="347">
        <f>SUM(F71:F75)</f>
        <v>889076505.03173625</v>
      </c>
      <c r="O76" s="7" t="s">
        <v>73</v>
      </c>
      <c r="Q76" s="347">
        <f>SUM(Q71:Q75)</f>
        <v>889076505.03173625</v>
      </c>
      <c r="S76" s="347">
        <f>SUM(S71:S75)</f>
        <v>0</v>
      </c>
      <c r="U76" s="347">
        <f>SUM(U71:U75)</f>
        <v>889076505.03173625</v>
      </c>
    </row>
    <row r="77" spans="1:22" ht="13" thickTop="1" x14ac:dyDescent="0.25">
      <c r="C77" s="7" t="s">
        <v>68</v>
      </c>
      <c r="E77" s="10">
        <f>E69-E76</f>
        <v>-257584702.48741007</v>
      </c>
      <c r="F77" s="10">
        <f>F69-F76</f>
        <v>0</v>
      </c>
      <c r="O77" s="7" t="s">
        <v>68</v>
      </c>
      <c r="Q77" s="10">
        <f>Q69-Q76</f>
        <v>0</v>
      </c>
      <c r="R77" s="10"/>
      <c r="S77" s="10">
        <f>S69-S76</f>
        <v>0</v>
      </c>
      <c r="U77" s="10">
        <f>U69-U76</f>
        <v>0</v>
      </c>
    </row>
    <row r="78" spans="1:22" x14ac:dyDescent="0.25">
      <c r="C78" s="7"/>
      <c r="E78" s="10"/>
      <c r="F78" s="10"/>
      <c r="O78" s="7"/>
      <c r="Q78" s="10"/>
      <c r="R78" s="10"/>
      <c r="S78" s="10"/>
    </row>
    <row r="80" spans="1:22" ht="13" x14ac:dyDescent="0.3">
      <c r="Q80" s="222"/>
      <c r="U80" s="222"/>
    </row>
    <row r="81" spans="17:21" ht="13" x14ac:dyDescent="0.3">
      <c r="Q81" s="222"/>
      <c r="U81" s="222"/>
    </row>
    <row r="82" spans="17:21" ht="13" x14ac:dyDescent="0.3">
      <c r="Q82" s="222"/>
      <c r="U82" s="222"/>
    </row>
  </sheetData>
  <phoneticPr fontId="0" type="noConversion"/>
  <conditionalFormatting sqref="H71">
    <cfRule type="cellIs" dxfId="1" priority="15" operator="notEqual">
      <formula>XEF71</formula>
    </cfRule>
  </conditionalFormatting>
  <conditionalFormatting sqref="J71">
    <cfRule type="cellIs" dxfId="0" priority="1" operator="notEqual">
      <formula>B71</formula>
    </cfRule>
  </conditionalFormatting>
  <printOptions horizontalCentered="1"/>
  <pageMargins left="0.5" right="0.5" top="0.5" bottom="0.5" header="0" footer="0"/>
  <pageSetup scale="88" fitToHeight="2" orientation="landscape" blackAndWhite="1" r:id="rId1"/>
  <headerFooter alignWithMargins="0"/>
  <rowBreaks count="2" manualBreakCount="2">
    <brk id="34" min="12" max="20" man="1"/>
    <brk id="34" max="10" man="1"/>
  </rowBreaks>
  <customProperties>
    <customPr name="EpmWorksheetKeyString_GUID" r:id="rId2"/>
  </customProperties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B6D17-7A9C-4968-B73D-9012C00E6F09}">
  <dimension ref="A1:O87"/>
  <sheetViews>
    <sheetView topLeftCell="G1" workbookViewId="0">
      <selection activeCell="H36" sqref="H36:Q37"/>
    </sheetView>
  </sheetViews>
  <sheetFormatPr defaultRowHeight="12.5" x14ac:dyDescent="0.25"/>
  <cols>
    <col min="1" max="1" width="21.54296875" customWidth="1"/>
    <col min="6" max="6" width="33.1796875" customWidth="1"/>
    <col min="8" max="8" width="27.1796875" style="264" customWidth="1"/>
    <col min="9" max="9" width="16.453125" style="257" customWidth="1"/>
    <col min="10" max="10" width="29" style="257" customWidth="1"/>
    <col min="11" max="11" width="11.26953125" bestFit="1" customWidth="1"/>
    <col min="12" max="12" width="20.453125" customWidth="1"/>
    <col min="13" max="13" width="19.54296875" customWidth="1"/>
    <col min="14" max="14" width="19.81640625" customWidth="1"/>
  </cols>
  <sheetData>
    <row r="1" spans="1:14" x14ac:dyDescent="0.25">
      <c r="A1" t="str">
        <f>'Rate Computation'!A2</f>
        <v>Peoples Gas</v>
      </c>
    </row>
    <row r="3" spans="1:14" x14ac:dyDescent="0.25">
      <c r="A3" t="str">
        <f>'Rate Computation'!A4</f>
        <v>Computation of Proposed Depreciation Amortization Rates</v>
      </c>
    </row>
    <row r="4" spans="1:14" x14ac:dyDescent="0.25">
      <c r="A4" t="str">
        <f>'Rate Computation'!A5</f>
        <v>Using Average Life Group Depreciation</v>
      </c>
    </row>
    <row r="5" spans="1:14" x14ac:dyDescent="0.25">
      <c r="A5" t="str">
        <f>'Rate Computation'!A6</f>
        <v>As of December 31, 2023</v>
      </c>
    </row>
    <row r="11" spans="1:14" x14ac:dyDescent="0.25">
      <c r="F11" s="247" t="s">
        <v>1288</v>
      </c>
      <c r="G11" s="244"/>
      <c r="H11" s="286" t="s">
        <v>1176</v>
      </c>
      <c r="I11" s="287"/>
      <c r="J11" s="288" t="s">
        <v>1239</v>
      </c>
      <c r="K11" s="244"/>
      <c r="L11" s="247" t="s">
        <v>1345</v>
      </c>
      <c r="M11" s="244"/>
      <c r="N11" s="247" t="s">
        <v>1346</v>
      </c>
    </row>
    <row r="13" spans="1:14" x14ac:dyDescent="0.25">
      <c r="A13" t="str">
        <f>'Rate Computation'!A14</f>
        <v>Intangible Plant</v>
      </c>
      <c r="F13" s="257"/>
    </row>
    <row r="14" spans="1:14" x14ac:dyDescent="0.25">
      <c r="A14">
        <f>'Rate Computation'!A15</f>
        <v>30300</v>
      </c>
      <c r="B14">
        <f>'Rate Computation'!B15</f>
        <v>30300</v>
      </c>
      <c r="C14" t="str">
        <f>'Rate Computation'!C15</f>
        <v>Misc Intangible Plant</v>
      </c>
      <c r="F14" s="257">
        <v>815325.0699999989</v>
      </c>
      <c r="H14" s="264">
        <f>'Theoretical Reserve'!H5</f>
        <v>815325.07000000007</v>
      </c>
      <c r="J14" s="257">
        <f>+H14-F14</f>
        <v>1.1641532182693481E-9</v>
      </c>
      <c r="N14" s="4">
        <f>+F14</f>
        <v>815325.0699999989</v>
      </c>
    </row>
    <row r="15" spans="1:14" x14ac:dyDescent="0.25">
      <c r="A15">
        <f>'Rate Computation'!A16</f>
        <v>30301</v>
      </c>
      <c r="B15">
        <f>'Rate Computation'!B16</f>
        <v>30301</v>
      </c>
      <c r="C15" t="str">
        <f>'Rate Computation'!C16</f>
        <v>Custom Intangible Plant</v>
      </c>
      <c r="F15" s="257">
        <v>30148268.771823499</v>
      </c>
      <c r="H15" s="264">
        <f>'Theoretical Reserve'!H28</f>
        <v>29628972.286000002</v>
      </c>
      <c r="J15" s="257">
        <f>+H15-F15</f>
        <v>-519296.48582349718</v>
      </c>
      <c r="N15" s="4">
        <f>+F15</f>
        <v>30148268.771823499</v>
      </c>
    </row>
    <row r="16" spans="1:14" x14ac:dyDescent="0.25">
      <c r="F16" s="257">
        <f>SUM(F14:F15)</f>
        <v>30963593.8418235</v>
      </c>
      <c r="H16" s="257">
        <f>SUM(H14:H15)</f>
        <v>30444297.356000002</v>
      </c>
      <c r="N16" s="257">
        <f>SUM(N14:N15)</f>
        <v>30963593.8418235</v>
      </c>
    </row>
    <row r="17" spans="1:14" x14ac:dyDescent="0.25">
      <c r="F17" s="257"/>
    </row>
    <row r="18" spans="1:14" x14ac:dyDescent="0.25">
      <c r="F18" s="257"/>
    </row>
    <row r="19" spans="1:14" x14ac:dyDescent="0.25">
      <c r="A19" t="str">
        <f>'Rate Computation'!A20</f>
        <v>Distribution</v>
      </c>
      <c r="B19" t="str">
        <f>'Rate Computation'!B20</f>
        <v>Distibution</v>
      </c>
      <c r="F19" s="257"/>
    </row>
    <row r="20" spans="1:14" x14ac:dyDescent="0.25">
      <c r="A20">
        <f>'Rate Computation'!A21</f>
        <v>37402</v>
      </c>
      <c r="B20">
        <f>'Rate Computation'!B21</f>
        <v>37402</v>
      </c>
      <c r="C20" t="str">
        <f>'Rate Computation'!C21</f>
        <v>Land Rights</v>
      </c>
      <c r="F20" s="257">
        <v>1094629.2845799967</v>
      </c>
      <c r="H20" s="264">
        <f>'Theoretical Reserve'!H66</f>
        <v>1032440.8083999999</v>
      </c>
      <c r="J20" s="257">
        <f t="shared" ref="J20:J34" si="0">+H20-F20</f>
        <v>-62188.476179996855</v>
      </c>
      <c r="L20" s="4">
        <f t="shared" ref="L20:L34" si="1">-34000000*J20/J$35</f>
        <v>-13876.970746366782</v>
      </c>
      <c r="N20" s="4">
        <f t="shared" ref="N20:N34" si="2">+F20+L20</f>
        <v>1080752.3138336299</v>
      </c>
    </row>
    <row r="21" spans="1:14" x14ac:dyDescent="0.25">
      <c r="A21">
        <f>'Rate Computation'!A22</f>
        <v>37500</v>
      </c>
      <c r="B21">
        <f>'Rate Computation'!B22</f>
        <v>37500</v>
      </c>
      <c r="C21" t="str">
        <f>'Rate Computation'!C22</f>
        <v>Structures &amp; Improvements</v>
      </c>
      <c r="F21" s="257">
        <v>8889159.1214909013</v>
      </c>
      <c r="H21" s="264">
        <f>'Theoretical Reserve'!H120</f>
        <v>6547000.7613078225</v>
      </c>
      <c r="J21" s="257">
        <f t="shared" si="0"/>
        <v>-2342158.3601830788</v>
      </c>
      <c r="L21" s="4">
        <f t="shared" si="1"/>
        <v>-522638.03592076723</v>
      </c>
      <c r="N21" s="4">
        <f t="shared" si="2"/>
        <v>8366521.0855701342</v>
      </c>
    </row>
    <row r="22" spans="1:14" x14ac:dyDescent="0.25">
      <c r="A22">
        <f>'Rate Computation'!A23</f>
        <v>37600</v>
      </c>
      <c r="B22">
        <f>'Rate Computation'!B23</f>
        <v>37600</v>
      </c>
      <c r="C22" t="str">
        <f>'Rate Computation'!C23</f>
        <v>Mains Steel</v>
      </c>
      <c r="F22" s="257">
        <v>202174502.97406614</v>
      </c>
      <c r="H22" s="264">
        <f>'Theoretical Reserve'!H193</f>
        <v>198618431.58142173</v>
      </c>
      <c r="J22" s="257">
        <f t="shared" si="0"/>
        <v>-3556071.3926444054</v>
      </c>
      <c r="L22" s="4">
        <f>-34000000*J22/J$35+34000000</f>
        <v>33206484.839009594</v>
      </c>
      <c r="N22" s="4">
        <f>+F22+L22</f>
        <v>235380987.81307572</v>
      </c>
    </row>
    <row r="23" spans="1:14" x14ac:dyDescent="0.25">
      <c r="A23">
        <f>'Rate Computation'!A24</f>
        <v>37602</v>
      </c>
      <c r="B23">
        <f>'Rate Computation'!B24</f>
        <v>37602</v>
      </c>
      <c r="C23" t="str">
        <f>'Rate Computation'!C24</f>
        <v>Mains Plastic</v>
      </c>
      <c r="F23" s="257">
        <v>211166625.88731775</v>
      </c>
      <c r="H23" s="264">
        <f>'Theoretical Reserve'!H232</f>
        <v>142870634.97265488</v>
      </c>
      <c r="J23" s="257">
        <f t="shared" si="0"/>
        <v>-68295990.914662868</v>
      </c>
      <c r="L23" s="4">
        <f>-34000000*J23/J$35</f>
        <v>-15239824.582190881</v>
      </c>
      <c r="N23" s="4">
        <f t="shared" si="2"/>
        <v>195926801.30512688</v>
      </c>
    </row>
    <row r="24" spans="1:14" x14ac:dyDescent="0.25">
      <c r="A24">
        <f>'Rate Computation'!A25</f>
        <v>37700</v>
      </c>
      <c r="B24">
        <f>'Rate Computation'!B25</f>
        <v>37700</v>
      </c>
      <c r="C24" t="str">
        <f>'Rate Computation'!C25</f>
        <v>Compressor Equipment</v>
      </c>
      <c r="F24" s="257">
        <v>1345774.267</v>
      </c>
      <c r="H24" s="264">
        <f>'Theoretical Reserve'!H235</f>
        <v>1227936.4875034716</v>
      </c>
      <c r="J24" s="257">
        <f t="shared" si="0"/>
        <v>-117837.77949652844</v>
      </c>
      <c r="L24" s="4">
        <f t="shared" si="1"/>
        <v>-26294.765836634575</v>
      </c>
      <c r="N24" s="4">
        <f t="shared" si="2"/>
        <v>1319479.5011633653</v>
      </c>
    </row>
    <row r="25" spans="1:14" x14ac:dyDescent="0.25">
      <c r="A25">
        <f>'Rate Computation'!A26</f>
        <v>37800</v>
      </c>
      <c r="B25">
        <f>'Rate Computation'!B26</f>
        <v>37800</v>
      </c>
      <c r="C25" t="str">
        <f>'Rate Computation'!C26</f>
        <v>Meas &amp; Reg Station Eqp Gen</v>
      </c>
      <c r="F25" s="257">
        <v>5803971.3608217975</v>
      </c>
      <c r="H25" s="264">
        <f>'Theoretical Reserve'!H302</f>
        <v>5840408.1711033909</v>
      </c>
      <c r="J25" s="257">
        <f t="shared" si="0"/>
        <v>36436.810281593353</v>
      </c>
      <c r="L25" s="4">
        <f t="shared" si="1"/>
        <v>8130.6470495449421</v>
      </c>
      <c r="N25" s="4">
        <f t="shared" si="2"/>
        <v>5812102.0078713428</v>
      </c>
    </row>
    <row r="26" spans="1:14" x14ac:dyDescent="0.25">
      <c r="A26">
        <f>'Rate Computation'!A27</f>
        <v>37900</v>
      </c>
      <c r="B26">
        <f>'Rate Computation'!B27</f>
        <v>37900</v>
      </c>
      <c r="C26" t="str">
        <f>'Rate Computation'!C27</f>
        <v>Meas &amp; Reg Station Eqp City</v>
      </c>
      <c r="F26" s="257">
        <v>19487316.672034327</v>
      </c>
      <c r="H26" s="264">
        <f>'Theoretical Reserve'!H335</f>
        <v>15214496.87400702</v>
      </c>
      <c r="J26" s="257">
        <f t="shared" si="0"/>
        <v>-4272819.7980273068</v>
      </c>
      <c r="L26" s="4">
        <f t="shared" si="1"/>
        <v>-953453.09909352334</v>
      </c>
      <c r="N26" s="4">
        <f t="shared" si="2"/>
        <v>18533863.572940804</v>
      </c>
    </row>
    <row r="27" spans="1:14" x14ac:dyDescent="0.25">
      <c r="A27">
        <f>'Rate Computation'!A28</f>
        <v>38000</v>
      </c>
      <c r="B27">
        <f>'Rate Computation'!B28</f>
        <v>38000</v>
      </c>
      <c r="C27" t="str">
        <f>'Rate Computation'!C28</f>
        <v>Services Steel</v>
      </c>
      <c r="F27" s="257">
        <v>42441602.101600043</v>
      </c>
      <c r="H27" s="264">
        <f>'Theoretical Reserve'!H428</f>
        <v>38184988.990557551</v>
      </c>
      <c r="J27" s="257">
        <f t="shared" si="0"/>
        <v>-4256613.1110424921</v>
      </c>
      <c r="L27" s="4">
        <f t="shared" si="1"/>
        <v>-949836.67793322902</v>
      </c>
      <c r="N27" s="4">
        <f t="shared" si="2"/>
        <v>41491765.423666812</v>
      </c>
    </row>
    <row r="28" spans="1:14" x14ac:dyDescent="0.25">
      <c r="A28">
        <f>'Rate Computation'!A29</f>
        <v>38002</v>
      </c>
      <c r="B28">
        <f>'Rate Computation'!B29</f>
        <v>38002</v>
      </c>
      <c r="C28" t="str">
        <f>'Rate Computation'!C29</f>
        <v>Services Plastic</v>
      </c>
      <c r="F28" s="257">
        <v>211877747.51803446</v>
      </c>
      <c r="H28" s="264">
        <f>'Theoretical Reserve'!H472</f>
        <v>172871467.21459481</v>
      </c>
      <c r="J28" s="257">
        <f t="shared" si="0"/>
        <v>-39006280.303439647</v>
      </c>
      <c r="L28" s="4">
        <f t="shared" si="1"/>
        <v>-8704008.2655944265</v>
      </c>
      <c r="N28" s="4">
        <f t="shared" si="2"/>
        <v>203173739.25244004</v>
      </c>
    </row>
    <row r="29" spans="1:14" x14ac:dyDescent="0.25">
      <c r="A29">
        <f>'Rate Computation'!A30</f>
        <v>38100</v>
      </c>
      <c r="B29">
        <f>'Rate Computation'!B30</f>
        <v>38100</v>
      </c>
      <c r="C29" t="str">
        <f>'Rate Computation'!C30</f>
        <v>Meters</v>
      </c>
      <c r="F29" s="257">
        <v>41990333.264870144</v>
      </c>
      <c r="H29" s="264">
        <f>'Theoretical Reserve'!H497</f>
        <v>37916264.508394338</v>
      </c>
      <c r="J29" s="257">
        <f t="shared" si="0"/>
        <v>-4074068.7564758062</v>
      </c>
      <c r="L29" s="4">
        <f t="shared" si="1"/>
        <v>-909103.04328194121</v>
      </c>
      <c r="N29" s="4">
        <f t="shared" si="2"/>
        <v>41081230.221588202</v>
      </c>
    </row>
    <row r="30" spans="1:14" x14ac:dyDescent="0.25">
      <c r="A30">
        <f>'Rate Computation'!A31</f>
        <v>38200</v>
      </c>
      <c r="B30">
        <f>'Rate Computation'!B31</f>
        <v>38200</v>
      </c>
      <c r="C30" t="str">
        <f>'Rate Computation'!C31</f>
        <v>Meter Installations</v>
      </c>
      <c r="F30" s="257">
        <v>38080014.486180469</v>
      </c>
      <c r="H30" s="264">
        <f>'Theoretical Reserve'!H544</f>
        <v>24611717.327099681</v>
      </c>
      <c r="J30" s="257">
        <f t="shared" si="0"/>
        <v>-13468297.159080788</v>
      </c>
      <c r="L30" s="4">
        <f t="shared" si="1"/>
        <v>-3005366.5431354581</v>
      </c>
      <c r="N30" s="4">
        <f t="shared" si="2"/>
        <v>35074647.943045013</v>
      </c>
    </row>
    <row r="31" spans="1:14" x14ac:dyDescent="0.25">
      <c r="A31">
        <f>'Rate Computation'!A32</f>
        <v>38300</v>
      </c>
      <c r="B31">
        <f>'Rate Computation'!B32</f>
        <v>38300</v>
      </c>
      <c r="C31" t="str">
        <f>'Rate Computation'!C32</f>
        <v>House Regulators</v>
      </c>
      <c r="F31" s="257">
        <v>9389570.7072937861</v>
      </c>
      <c r="H31" s="264">
        <f>'Theoretical Reserve'!H596</f>
        <v>6811436.1471380144</v>
      </c>
      <c r="J31" s="257">
        <f t="shared" si="0"/>
        <v>-2578134.5601557717</v>
      </c>
      <c r="L31" s="4">
        <f t="shared" si="1"/>
        <v>-575294.65375430009</v>
      </c>
      <c r="N31" s="4">
        <f t="shared" si="2"/>
        <v>8814276.0535394866</v>
      </c>
    </row>
    <row r="32" spans="1:14" x14ac:dyDescent="0.25">
      <c r="A32">
        <f>'Rate Computation'!A33</f>
        <v>38400</v>
      </c>
      <c r="B32">
        <f>'Rate Computation'!B33</f>
        <v>38400</v>
      </c>
      <c r="C32" t="str">
        <f>'Rate Computation'!C33</f>
        <v>House Regulator Installs</v>
      </c>
      <c r="F32" s="257">
        <v>16188800.553669997</v>
      </c>
      <c r="H32" s="264">
        <f>'Theoretical Reserve'!H661</f>
        <v>9730566.1349499375</v>
      </c>
      <c r="J32" s="257">
        <f t="shared" si="0"/>
        <v>-6458234.4187200591</v>
      </c>
      <c r="L32" s="4">
        <f t="shared" si="1"/>
        <v>-1441114.7467637125</v>
      </c>
      <c r="N32" s="4">
        <f t="shared" si="2"/>
        <v>14747685.806906285</v>
      </c>
    </row>
    <row r="33" spans="1:14" x14ac:dyDescent="0.25">
      <c r="A33">
        <f>'Rate Computation'!A34</f>
        <v>38500</v>
      </c>
      <c r="B33">
        <f>'Rate Computation'!B34</f>
        <v>38500</v>
      </c>
      <c r="C33" t="str">
        <f>'Rate Computation'!C34</f>
        <v>Meas &amp; Reg Station Eqp Ind</v>
      </c>
      <c r="F33" s="257">
        <v>7331118.0327200107</v>
      </c>
      <c r="H33" s="264">
        <f>'Theoretical Reserve'!H709</f>
        <v>5742690.4927719124</v>
      </c>
      <c r="J33" s="257">
        <f t="shared" si="0"/>
        <v>-1588427.5399480984</v>
      </c>
      <c r="L33" s="4">
        <f t="shared" si="1"/>
        <v>-354447.7025097647</v>
      </c>
      <c r="N33" s="4">
        <f t="shared" si="2"/>
        <v>6976670.3302102461</v>
      </c>
    </row>
    <row r="34" spans="1:14" x14ac:dyDescent="0.25">
      <c r="A34">
        <f>'Rate Computation'!A35</f>
        <v>38700</v>
      </c>
      <c r="B34">
        <f>'Rate Computation'!B35</f>
        <v>38700</v>
      </c>
      <c r="C34" t="str">
        <f>'Rate Computation'!C35</f>
        <v>Other Equipment</v>
      </c>
      <c r="F34" s="257">
        <v>5833154.0608999971</v>
      </c>
      <c r="H34" s="264">
        <f>'Theoretical Reserve'!H753</f>
        <v>3505702.0789797986</v>
      </c>
      <c r="J34" s="257">
        <f t="shared" si="0"/>
        <v>-2327451.9819201985</v>
      </c>
      <c r="L34" s="4">
        <f t="shared" si="1"/>
        <v>-519356.39929811854</v>
      </c>
      <c r="N34" s="4">
        <f t="shared" si="2"/>
        <v>5313797.6616018787</v>
      </c>
    </row>
    <row r="35" spans="1:14" x14ac:dyDescent="0.25">
      <c r="C35" t="str">
        <f>'Rate Computation'!C36</f>
        <v>Subtotal Distribution</v>
      </c>
      <c r="F35" s="283">
        <f>SUM(F20:F34)</f>
        <v>823094320.29257977</v>
      </c>
      <c r="G35" s="253"/>
      <c r="H35" s="285">
        <f>SUM(H20:H34)</f>
        <v>670726182.55088437</v>
      </c>
      <c r="I35" s="283"/>
      <c r="J35" s="283">
        <f>SUM(J20:J34)</f>
        <v>-152368137.74169552</v>
      </c>
      <c r="K35" s="253"/>
      <c r="L35" s="283">
        <f>SUM(L20:L34)</f>
        <v>2.1420419216156006E-8</v>
      </c>
      <c r="M35" s="253"/>
      <c r="N35" s="283">
        <f>SUM(N20:N34)</f>
        <v>823094320.29258001</v>
      </c>
    </row>
    <row r="36" spans="1:14" x14ac:dyDescent="0.25">
      <c r="F36" s="257"/>
    </row>
    <row r="37" spans="1:14" x14ac:dyDescent="0.25">
      <c r="F37" s="257"/>
    </row>
    <row r="38" spans="1:14" x14ac:dyDescent="0.25">
      <c r="F38" s="257"/>
    </row>
    <row r="39" spans="1:14" x14ac:dyDescent="0.25">
      <c r="F39" s="257"/>
    </row>
    <row r="40" spans="1:14" x14ac:dyDescent="0.25">
      <c r="F40" s="257"/>
    </row>
    <row r="41" spans="1:14" x14ac:dyDescent="0.25">
      <c r="F41" s="257"/>
    </row>
    <row r="42" spans="1:14" x14ac:dyDescent="0.25">
      <c r="F42" s="257"/>
    </row>
    <row r="43" spans="1:14" x14ac:dyDescent="0.25">
      <c r="F43" s="257"/>
    </row>
    <row r="44" spans="1:14" x14ac:dyDescent="0.25">
      <c r="A44" t="str">
        <f>'Rate Computation'!A45</f>
        <v>General</v>
      </c>
      <c r="B44" t="str">
        <f>'Rate Computation'!B45</f>
        <v>General Plant</v>
      </c>
      <c r="F44" s="257"/>
    </row>
    <row r="45" spans="1:14" x14ac:dyDescent="0.25">
      <c r="A45">
        <f>'Rate Computation'!A46</f>
        <v>39000</v>
      </c>
      <c r="B45">
        <f>'Rate Computation'!B46</f>
        <v>39000</v>
      </c>
      <c r="C45" t="str">
        <f>'Rate Computation'!C46</f>
        <v>Structures &amp; Improvements</v>
      </c>
      <c r="F45" s="257">
        <v>18381.777281599912</v>
      </c>
      <c r="H45" s="264">
        <f>'Theoretical Reserve'!H761</f>
        <v>38627.255438941997</v>
      </c>
      <c r="J45" s="257">
        <f t="shared" ref="J45:J58" si="3">+H45-F45</f>
        <v>20245.478157342084</v>
      </c>
      <c r="N45" s="4">
        <f t="shared" ref="N45:N58" si="4">+F45+L45</f>
        <v>18381.777281599912</v>
      </c>
    </row>
    <row r="46" spans="1:14" x14ac:dyDescent="0.25">
      <c r="A46">
        <f>'Rate Computation'!A47</f>
        <v>39100</v>
      </c>
      <c r="B46">
        <f>'Rate Computation'!B47</f>
        <v>39100</v>
      </c>
      <c r="C46" t="str">
        <f>'Rate Computation'!C47</f>
        <v>Office Furniture</v>
      </c>
      <c r="F46" s="257">
        <v>1114167.3792016273</v>
      </c>
      <c r="H46" s="264">
        <f>'Theoretical Reserve'!H779</f>
        <v>960077.26794117631</v>
      </c>
      <c r="J46" s="257">
        <f t="shared" si="3"/>
        <v>-154090.11126045103</v>
      </c>
      <c r="N46" s="4">
        <f t="shared" si="4"/>
        <v>1114167.3792016273</v>
      </c>
    </row>
    <row r="47" spans="1:14" x14ac:dyDescent="0.25">
      <c r="A47">
        <f>'Rate Computation'!A48</f>
        <v>39101</v>
      </c>
      <c r="B47">
        <f>'Rate Computation'!B48</f>
        <v>39101</v>
      </c>
      <c r="C47" t="str">
        <f>'Rate Computation'!C48</f>
        <v>Computer Equipment</v>
      </c>
      <c r="F47" s="257">
        <v>3431578.3103643819</v>
      </c>
      <c r="H47" s="264">
        <f>'Theoretical Reserve'!H792</f>
        <v>2365045.3070555557</v>
      </c>
      <c r="J47" s="257">
        <f t="shared" si="3"/>
        <v>-1066533.0033088261</v>
      </c>
      <c r="N47" s="4">
        <f t="shared" si="4"/>
        <v>3431578.3103643819</v>
      </c>
    </row>
    <row r="48" spans="1:14" x14ac:dyDescent="0.25">
      <c r="A48">
        <f>'Rate Computation'!A49</f>
        <v>39102</v>
      </c>
      <c r="B48">
        <f>'Rate Computation'!B49</f>
        <v>39102</v>
      </c>
      <c r="C48" t="str">
        <f>'Rate Computation'!C49</f>
        <v>Office Equipment</v>
      </c>
      <c r="F48" s="257">
        <v>965279.09392999986</v>
      </c>
      <c r="H48" s="264">
        <f>'Theoretical Reserve'!H812</f>
        <v>928843.51299999992</v>
      </c>
      <c r="J48" s="257">
        <f t="shared" si="3"/>
        <v>-36435.580929999938</v>
      </c>
      <c r="N48" s="4">
        <f t="shared" si="4"/>
        <v>965279.09392999986</v>
      </c>
    </row>
    <row r="49" spans="1:15" x14ac:dyDescent="0.25">
      <c r="A49">
        <f>'Rate Computation'!A50</f>
        <v>39201</v>
      </c>
      <c r="B49">
        <f>'Rate Computation'!B50</f>
        <v>39201</v>
      </c>
      <c r="C49" t="str">
        <f>'Rate Computation'!C50</f>
        <v>Vehicles up to 1/2 Tons</v>
      </c>
      <c r="F49" s="257">
        <v>6058634.4224653961</v>
      </c>
      <c r="H49" s="264">
        <f>'Theoretical Reserve'!H835</f>
        <v>4781616.8581483997</v>
      </c>
      <c r="J49" s="257">
        <f t="shared" si="3"/>
        <v>-1277017.5643169964</v>
      </c>
      <c r="N49" s="4">
        <f t="shared" si="4"/>
        <v>6058634.4224653961</v>
      </c>
    </row>
    <row r="50" spans="1:15" x14ac:dyDescent="0.25">
      <c r="A50">
        <f>'Rate Computation'!A51</f>
        <v>39202</v>
      </c>
      <c r="B50">
        <f>'Rate Computation'!B51</f>
        <v>39202</v>
      </c>
      <c r="C50" t="str">
        <f>'Rate Computation'!C51</f>
        <v>Vehicles from 1/2 - 1 Tons</v>
      </c>
      <c r="F50" s="257">
        <v>8353208.6126399981</v>
      </c>
      <c r="H50" s="264">
        <f>'Theoretical Reserve'!H855</f>
        <v>6988376.0823803348</v>
      </c>
      <c r="J50" s="257">
        <f t="shared" si="3"/>
        <v>-1364832.5302596632</v>
      </c>
      <c r="N50" s="4">
        <f t="shared" si="4"/>
        <v>8353208.6126399981</v>
      </c>
    </row>
    <row r="51" spans="1:15" x14ac:dyDescent="0.25">
      <c r="A51">
        <f>'Rate Computation'!A52</f>
        <v>39204</v>
      </c>
      <c r="B51">
        <f>'Rate Computation'!B52</f>
        <v>39204</v>
      </c>
      <c r="C51" t="str">
        <f>'Rate Computation'!C52</f>
        <v>Trailers &amp; Other</v>
      </c>
      <c r="F51" s="257">
        <v>821141.15773737081</v>
      </c>
      <c r="H51" s="264">
        <f>'Theoretical Reserve'!H895</f>
        <v>509206.32611688768</v>
      </c>
      <c r="J51" s="257">
        <f t="shared" si="3"/>
        <v>-311934.83162048314</v>
      </c>
      <c r="N51" s="4">
        <f t="shared" si="4"/>
        <v>821141.15773737081</v>
      </c>
    </row>
    <row r="52" spans="1:15" x14ac:dyDescent="0.25">
      <c r="A52">
        <f>'Rate Computation'!A53</f>
        <v>39205</v>
      </c>
      <c r="B52">
        <f>'Rate Computation'!B53</f>
        <v>39205</v>
      </c>
      <c r="C52" t="str">
        <f>'Rate Computation'!C53</f>
        <v>Vehicles over 1 Ton</v>
      </c>
      <c r="F52" s="257">
        <v>1267332.2891799998</v>
      </c>
      <c r="H52" s="264">
        <f>'Theoretical Reserve'!H908</f>
        <v>1004735.7005313487</v>
      </c>
      <c r="J52" s="257">
        <f t="shared" si="3"/>
        <v>-262596.58864865114</v>
      </c>
      <c r="N52" s="4">
        <f t="shared" si="4"/>
        <v>1267332.2891799998</v>
      </c>
    </row>
    <row r="53" spans="1:15" x14ac:dyDescent="0.25">
      <c r="A53">
        <f>'Rate Computation'!A54</f>
        <v>39300</v>
      </c>
      <c r="B53">
        <f>'Rate Computation'!B54</f>
        <v>39300</v>
      </c>
      <c r="C53" t="str">
        <f>'Rate Computation'!C54</f>
        <v>Stores Equipment</v>
      </c>
      <c r="F53" s="257">
        <v>591.86238000006779</v>
      </c>
      <c r="H53" s="264">
        <f>'Theoretical Reserve'!H910</f>
        <v>614.95770833333336</v>
      </c>
      <c r="J53" s="257">
        <f t="shared" si="3"/>
        <v>23.09532833326557</v>
      </c>
      <c r="N53" s="4">
        <f t="shared" si="4"/>
        <v>591.86238000006779</v>
      </c>
    </row>
    <row r="54" spans="1:15" x14ac:dyDescent="0.25">
      <c r="A54">
        <f>'Rate Computation'!A55</f>
        <v>39400</v>
      </c>
      <c r="B54">
        <f>'Rate Computation'!B55</f>
        <v>39400</v>
      </c>
      <c r="C54" t="str">
        <f>'Rate Computation'!C55</f>
        <v>Tools, Shop &amp; Garage Equip</v>
      </c>
      <c r="F54" s="257">
        <v>4420844.3778393846</v>
      </c>
      <c r="H54" s="264">
        <f>'Theoretical Reserve'!H931</f>
        <v>3741179.8491666662</v>
      </c>
      <c r="J54" s="257">
        <f t="shared" si="3"/>
        <v>-679664.52867271844</v>
      </c>
      <c r="N54" s="4">
        <f t="shared" si="4"/>
        <v>4420844.3778393846</v>
      </c>
    </row>
    <row r="55" spans="1:15" x14ac:dyDescent="0.25">
      <c r="A55">
        <f>'Rate Computation'!A56</f>
        <v>39401</v>
      </c>
      <c r="B55">
        <f>'Rate Computation'!B56</f>
        <v>39401</v>
      </c>
      <c r="C55" t="str">
        <f>'Rate Computation'!C56</f>
        <v>CNG Station Equipment</v>
      </c>
      <c r="F55" s="257">
        <v>795268.96250000119</v>
      </c>
      <c r="H55" s="264">
        <f>'Theoretical Reserve'!H940</f>
        <v>821158.67475000001</v>
      </c>
      <c r="J55" s="257">
        <f t="shared" si="3"/>
        <v>25889.712249998818</v>
      </c>
      <c r="N55" s="4">
        <f t="shared" si="4"/>
        <v>795268.96250000119</v>
      </c>
    </row>
    <row r="56" spans="1:15" x14ac:dyDescent="0.25">
      <c r="A56">
        <f>'Rate Computation'!A57</f>
        <v>39600</v>
      </c>
      <c r="B56">
        <f>'Rate Computation'!B57</f>
        <v>39600</v>
      </c>
      <c r="C56" t="str">
        <f>'Rate Computation'!C57</f>
        <v>Power Operated Equipment</v>
      </c>
      <c r="F56" s="257">
        <v>2121059.1343065528</v>
      </c>
      <c r="H56" s="264">
        <f>'Theoretical Reserve'!H975</f>
        <v>1296058.5205168733</v>
      </c>
      <c r="J56" s="257">
        <f t="shared" si="3"/>
        <v>-825000.61378967948</v>
      </c>
      <c r="N56" s="4">
        <f t="shared" si="4"/>
        <v>2121059.1343065528</v>
      </c>
    </row>
    <row r="57" spans="1:15" x14ac:dyDescent="0.25">
      <c r="A57">
        <f>'Rate Computation'!A58</f>
        <v>39700</v>
      </c>
      <c r="B57">
        <f>'Rate Computation'!B58</f>
        <v>39700</v>
      </c>
      <c r="C57" t="str">
        <f>'Rate Computation'!C58</f>
        <v>Communication Equipment</v>
      </c>
      <c r="F57" s="257">
        <v>2936319.9008156708</v>
      </c>
      <c r="H57" s="264">
        <f>'Theoretical Reserve'!H986</f>
        <v>2482364.1496461537</v>
      </c>
      <c r="J57" s="257">
        <f t="shared" si="3"/>
        <v>-453955.75116951717</v>
      </c>
      <c r="N57" s="4">
        <f t="shared" si="4"/>
        <v>2936319.9008156708</v>
      </c>
    </row>
    <row r="58" spans="1:15" x14ac:dyDescent="0.25">
      <c r="A58">
        <f>'Rate Computation'!A59</f>
        <v>39800</v>
      </c>
      <c r="B58">
        <f>'Rate Computation'!B59</f>
        <v>39800</v>
      </c>
      <c r="C58" t="str">
        <f>'Rate Computation'!C59</f>
        <v>Miscellaneous Equipment</v>
      </c>
      <c r="F58" s="257">
        <v>211978.84817832068</v>
      </c>
      <c r="H58" s="264">
        <f>'Theoretical Reserve'!H1002</f>
        <v>128498.92635250001</v>
      </c>
      <c r="J58" s="257">
        <f t="shared" si="3"/>
        <v>-83479.921825820667</v>
      </c>
      <c r="N58" s="4">
        <f t="shared" si="4"/>
        <v>211978.84817832068</v>
      </c>
    </row>
    <row r="59" spans="1:15" x14ac:dyDescent="0.25">
      <c r="A59">
        <f>'Rate Computation'!A60</f>
        <v>0</v>
      </c>
      <c r="B59" t="str">
        <f>'Rate Computation'!B60</f>
        <v xml:space="preserve"> </v>
      </c>
      <c r="C59" t="str">
        <f>'Rate Computation'!C60</f>
        <v>Subtotal General</v>
      </c>
      <c r="F59" s="283">
        <f>SUM(F45:F58)</f>
        <v>32515786.128820304</v>
      </c>
      <c r="G59" s="253"/>
      <c r="H59" s="285">
        <f>SUM(H45:H58)</f>
        <v>26046403.388753176</v>
      </c>
      <c r="I59" s="283"/>
      <c r="J59" s="283">
        <f t="shared" ref="J59:O59" si="5">SUM(J45:J58)</f>
        <v>-6469382.7400671337</v>
      </c>
      <c r="K59" s="283">
        <f t="shared" si="5"/>
        <v>0</v>
      </c>
      <c r="L59" s="283">
        <f t="shared" si="5"/>
        <v>0</v>
      </c>
      <c r="M59" s="283">
        <f t="shared" si="5"/>
        <v>0</v>
      </c>
      <c r="N59" s="283">
        <f t="shared" si="5"/>
        <v>32515786.128820304</v>
      </c>
      <c r="O59" s="257">
        <f t="shared" si="5"/>
        <v>0</v>
      </c>
    </row>
    <row r="60" spans="1:15" x14ac:dyDescent="0.25">
      <c r="F60" s="257"/>
    </row>
    <row r="61" spans="1:15" x14ac:dyDescent="0.25">
      <c r="F61" s="257">
        <f>SUM(F44)</f>
        <v>0</v>
      </c>
    </row>
    <row r="62" spans="1:15" x14ac:dyDescent="0.25">
      <c r="F62" s="257"/>
    </row>
    <row r="63" spans="1:15" x14ac:dyDescent="0.25">
      <c r="F63" s="257"/>
    </row>
    <row r="64" spans="1:15" x14ac:dyDescent="0.25">
      <c r="F64" s="257"/>
    </row>
    <row r="65" spans="1:14" x14ac:dyDescent="0.25">
      <c r="A65">
        <f>'Rate Computation'!A66</f>
        <v>33600</v>
      </c>
      <c r="C65" t="str">
        <f>'Rate Computation'!C66</f>
        <v>Renewable Natural Gas (RNG)</v>
      </c>
      <c r="F65" s="257">
        <v>515471.1447375</v>
      </c>
      <c r="H65" s="264">
        <f>'Theoretical Reserve'!H1005</f>
        <v>254998.94753000568</v>
      </c>
      <c r="J65" s="257">
        <f>+H65-F65</f>
        <v>-260472.19720749432</v>
      </c>
      <c r="N65" s="4">
        <f>+F65+L65</f>
        <v>515471.1447375</v>
      </c>
    </row>
    <row r="66" spans="1:14" x14ac:dyDescent="0.25">
      <c r="A66">
        <v>33601</v>
      </c>
      <c r="C66" t="s">
        <v>1357</v>
      </c>
      <c r="F66" s="257">
        <v>1961772.5391000002</v>
      </c>
      <c r="H66" s="264">
        <f>'Theoretical Reserve'!H1015</f>
        <v>1188953.054</v>
      </c>
      <c r="J66" s="257">
        <f>+H66-F66</f>
        <v>-772819.48510000017</v>
      </c>
      <c r="N66" s="4">
        <f>+F66+L66</f>
        <v>1961772.5391000002</v>
      </c>
    </row>
    <row r="67" spans="1:14" x14ac:dyDescent="0.25">
      <c r="A67">
        <f>'Rate Computation'!A68</f>
        <v>36400</v>
      </c>
      <c r="C67" t="str">
        <f>'Rate Computation'!C68</f>
        <v>Liquified Natural Gas (LNG)</v>
      </c>
      <c r="F67" s="257">
        <v>25561.084675000002</v>
      </c>
      <c r="H67" s="264">
        <f>'Theoretical Reserve'!H1008</f>
        <v>23512.021396247932</v>
      </c>
      <c r="J67" s="257">
        <f>+H67-F67</f>
        <v>-2049.0632787520699</v>
      </c>
      <c r="N67" s="4">
        <f>+F67+L67</f>
        <v>25561.084675000002</v>
      </c>
    </row>
    <row r="68" spans="1:14" x14ac:dyDescent="0.25">
      <c r="C68" s="77" t="s">
        <v>128</v>
      </c>
      <c r="F68" s="257">
        <f>SUM(F65:F67)</f>
        <v>2502804.7685125005</v>
      </c>
      <c r="H68" s="264">
        <f t="shared" ref="H68:N68" si="6">SUM(H65:H67)</f>
        <v>1467464.0229262535</v>
      </c>
      <c r="I68" s="257">
        <f t="shared" si="6"/>
        <v>0</v>
      </c>
      <c r="J68" s="257">
        <f t="shared" si="6"/>
        <v>-1035340.7455862465</v>
      </c>
      <c r="K68" s="257">
        <f t="shared" si="6"/>
        <v>0</v>
      </c>
      <c r="L68" s="257">
        <f t="shared" si="6"/>
        <v>0</v>
      </c>
      <c r="M68" s="257">
        <f t="shared" si="6"/>
        <v>0</v>
      </c>
      <c r="N68" s="257">
        <f t="shared" si="6"/>
        <v>2502804.7685125005</v>
      </c>
    </row>
    <row r="69" spans="1:14" x14ac:dyDescent="0.25">
      <c r="F69" s="257"/>
    </row>
    <row r="70" spans="1:14" x14ac:dyDescent="0.25">
      <c r="C70" t="str">
        <f>'Rate Computation'!C71</f>
        <v>Total Depreciable Plant</v>
      </c>
      <c r="F70" s="257">
        <f>+F68+F59+F35+F16</f>
        <v>889076505.03173602</v>
      </c>
      <c r="H70" s="264">
        <f t="shared" ref="H70:N70" si="7">+H68+H59+H35+H16</f>
        <v>728684347.3185637</v>
      </c>
      <c r="I70" s="257">
        <f t="shared" si="7"/>
        <v>0</v>
      </c>
      <c r="J70" s="257">
        <f t="shared" si="7"/>
        <v>-159872861.22734889</v>
      </c>
      <c r="K70" s="257">
        <f t="shared" si="7"/>
        <v>0</v>
      </c>
      <c r="L70" s="257">
        <f t="shared" si="7"/>
        <v>2.1420419216156006E-8</v>
      </c>
      <c r="M70" s="257">
        <f t="shared" si="7"/>
        <v>0</v>
      </c>
      <c r="N70" s="257">
        <f t="shared" si="7"/>
        <v>889076505.03173625</v>
      </c>
    </row>
    <row r="71" spans="1:14" x14ac:dyDescent="0.25">
      <c r="F71" s="257"/>
    </row>
    <row r="72" spans="1:14" x14ac:dyDescent="0.25">
      <c r="F72" s="257"/>
    </row>
    <row r="73" spans="1:14" x14ac:dyDescent="0.25">
      <c r="F73" s="257"/>
    </row>
    <row r="74" spans="1:14" x14ac:dyDescent="0.25">
      <c r="A74">
        <f>'Rate Computation'!A75</f>
        <v>30100</v>
      </c>
      <c r="C74" t="str">
        <f>'Rate Computation'!C75</f>
        <v>Organization</v>
      </c>
      <c r="F74" s="257"/>
      <c r="N74" s="257">
        <f>'Rate Computation'!M75</f>
        <v>0</v>
      </c>
    </row>
    <row r="75" spans="1:14" x14ac:dyDescent="0.25">
      <c r="A75">
        <f>'Rate Computation'!A76</f>
        <v>37400</v>
      </c>
      <c r="C75" t="str">
        <f>'Rate Computation'!C76</f>
        <v>Land Distribution</v>
      </c>
      <c r="F75" s="257">
        <v>-60224.600000000435</v>
      </c>
      <c r="N75" s="4">
        <f>+F75</f>
        <v>-60224.600000000435</v>
      </c>
    </row>
    <row r="76" spans="1:14" x14ac:dyDescent="0.25">
      <c r="A76">
        <f>'Rate Computation'!A77</f>
        <v>11501</v>
      </c>
      <c r="C76" t="str">
        <f>'Rate Computation'!C77</f>
        <v>PGS Acq Adj</v>
      </c>
      <c r="F76" s="257">
        <v>5028152.9800000144</v>
      </c>
      <c r="N76" s="4">
        <f>+F76</f>
        <v>5028152.9800000144</v>
      </c>
    </row>
    <row r="77" spans="1:14" x14ac:dyDescent="0.25">
      <c r="A77">
        <f>'Rate Computation'!A78</f>
        <v>10500</v>
      </c>
      <c r="C77" t="str">
        <f>'Rate Computation'!C78</f>
        <v>Futre Use</v>
      </c>
      <c r="F77" s="257">
        <f>'Rate Computation'!E78</f>
        <v>0</v>
      </c>
      <c r="N77" s="4">
        <f>+F77</f>
        <v>0</v>
      </c>
    </row>
    <row r="78" spans="1:14" x14ac:dyDescent="0.25">
      <c r="F78" s="257"/>
      <c r="N78" s="4">
        <f>+F78</f>
        <v>0</v>
      </c>
    </row>
    <row r="79" spans="1:14" ht="13" thickBot="1" x14ac:dyDescent="0.3">
      <c r="C79" t="str">
        <f>'Rate Computation'!C81</f>
        <v>Total PGS</v>
      </c>
      <c r="F79" s="284">
        <f>SUM(F70:F78)</f>
        <v>894044433.41173601</v>
      </c>
      <c r="G79" s="249"/>
      <c r="H79" s="284">
        <f>SUM(H70:H78)</f>
        <v>728684347.3185637</v>
      </c>
      <c r="I79" s="284"/>
      <c r="J79" s="284">
        <f>SUM(J70:J78)</f>
        <v>-159872861.22734889</v>
      </c>
      <c r="K79" s="249"/>
      <c r="L79" s="249"/>
      <c r="M79" s="249"/>
      <c r="N79" s="284">
        <f>SUM(N70:N78)</f>
        <v>894044433.41173625</v>
      </c>
    </row>
    <row r="80" spans="1:14" ht="14" thickTop="1" thickBot="1" x14ac:dyDescent="0.35">
      <c r="F80" s="105">
        <v>894044433.41173625</v>
      </c>
      <c r="N80" s="4">
        <f>$F$80</f>
        <v>894044433.41173625</v>
      </c>
    </row>
    <row r="81" spans="6:14" ht="13" thickTop="1" x14ac:dyDescent="0.25">
      <c r="F81" s="257">
        <f>+F79-F80</f>
        <v>0</v>
      </c>
      <c r="N81" s="4">
        <f>+F81</f>
        <v>0</v>
      </c>
    </row>
    <row r="82" spans="6:14" x14ac:dyDescent="0.25">
      <c r="F82" s="257"/>
      <c r="N82" s="4"/>
    </row>
    <row r="83" spans="6:14" x14ac:dyDescent="0.25">
      <c r="F83" s="257"/>
      <c r="N83" s="4"/>
    </row>
    <row r="84" spans="6:14" x14ac:dyDescent="0.25">
      <c r="F84" s="257"/>
      <c r="N84" s="4"/>
    </row>
    <row r="85" spans="6:14" x14ac:dyDescent="0.25">
      <c r="F85" s="257"/>
    </row>
    <row r="86" spans="6:14" x14ac:dyDescent="0.25">
      <c r="F86" s="257"/>
    </row>
    <row r="87" spans="6:14" x14ac:dyDescent="0.25">
      <c r="F87" s="257"/>
    </row>
  </sheetData>
  <pageMargins left="0.7" right="0.7" top="0.75" bottom="0.75" header="0.3" footer="0.3"/>
  <customProperties>
    <customPr name="EpmWorksheetKeyString_GUID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3A057-BD03-4D8B-B8C6-A5B2CE4BA60F}">
  <dimension ref="A1:F1010"/>
  <sheetViews>
    <sheetView topLeftCell="A948" workbookViewId="0">
      <selection activeCell="F958" sqref="F958"/>
    </sheetView>
  </sheetViews>
  <sheetFormatPr defaultRowHeight="12.5" outlineLevelRow="2" x14ac:dyDescent="0.25"/>
  <cols>
    <col min="4" max="4" width="16.54296875" style="257" bestFit="1" customWidth="1"/>
    <col min="5" max="5" width="17.7265625" style="257" bestFit="1" customWidth="1"/>
    <col min="6" max="6" width="9.26953125" style="257" bestFit="1" customWidth="1"/>
  </cols>
  <sheetData>
    <row r="1" spans="1:6" x14ac:dyDescent="0.25">
      <c r="A1" t="s">
        <v>1174</v>
      </c>
      <c r="B1" t="s">
        <v>1169</v>
      </c>
      <c r="C1" t="s">
        <v>1170</v>
      </c>
      <c r="D1" s="257" t="s">
        <v>1171</v>
      </c>
      <c r="E1" s="258" t="s">
        <v>1350</v>
      </c>
      <c r="F1" s="258" t="s">
        <v>1351</v>
      </c>
    </row>
    <row r="2" spans="1:6" outlineLevel="2" x14ac:dyDescent="0.25">
      <c r="A2">
        <v>30300</v>
      </c>
      <c r="B2">
        <v>1993</v>
      </c>
      <c r="C2" s="77">
        <f>2023.5-B2</f>
        <v>30.5</v>
      </c>
      <c r="D2" s="257">
        <v>287968.09000000003</v>
      </c>
      <c r="E2" s="257">
        <f>+C2*D2</f>
        <v>8783026.745000001</v>
      </c>
    </row>
    <row r="3" spans="1:6" outlineLevel="2" x14ac:dyDescent="0.25">
      <c r="A3">
        <v>30300</v>
      </c>
      <c r="B3">
        <v>1995</v>
      </c>
      <c r="C3" s="77">
        <f t="shared" ref="C3:C34" si="0">2023.5-B3</f>
        <v>28.5</v>
      </c>
      <c r="D3" s="257">
        <v>246442.67</v>
      </c>
      <c r="E3" s="257">
        <f>+C3*D3</f>
        <v>7023616.0950000007</v>
      </c>
    </row>
    <row r="4" spans="1:6" outlineLevel="2" x14ac:dyDescent="0.25">
      <c r="A4">
        <v>30300</v>
      </c>
      <c r="B4">
        <v>1997</v>
      </c>
      <c r="C4" s="77">
        <f t="shared" si="0"/>
        <v>26.5</v>
      </c>
      <c r="D4" s="257">
        <v>280914.31</v>
      </c>
      <c r="E4" s="257">
        <f>+C4*D4</f>
        <v>7444229.2149999999</v>
      </c>
    </row>
    <row r="5" spans="1:6" ht="13" outlineLevel="1" x14ac:dyDescent="0.3">
      <c r="A5" s="18" t="s">
        <v>1177</v>
      </c>
      <c r="C5" s="77" t="s">
        <v>1229</v>
      </c>
      <c r="D5" s="257">
        <f>SUBTOTAL(9,D2:D4)</f>
        <v>815325.07000000007</v>
      </c>
      <c r="E5" s="257">
        <f>SUBTOTAL(9,E2:E4)</f>
        <v>23250872.055</v>
      </c>
      <c r="F5" s="257">
        <f>+E5/D5</f>
        <v>28.517302988119816</v>
      </c>
    </row>
    <row r="6" spans="1:6" outlineLevel="2" x14ac:dyDescent="0.25">
      <c r="A6">
        <v>30301</v>
      </c>
      <c r="B6">
        <v>2023</v>
      </c>
      <c r="C6" s="77">
        <f t="shared" si="0"/>
        <v>0.5</v>
      </c>
      <c r="D6" s="257">
        <v>48825616.259999998</v>
      </c>
      <c r="E6" s="257">
        <f t="shared" ref="E6:E27" si="1">+C6*D6</f>
        <v>24412808.129999999</v>
      </c>
    </row>
    <row r="7" spans="1:6" outlineLevel="2" x14ac:dyDescent="0.25">
      <c r="A7">
        <v>30301</v>
      </c>
      <c r="B7">
        <v>2022</v>
      </c>
      <c r="C7" s="77">
        <f t="shared" si="0"/>
        <v>1.5</v>
      </c>
      <c r="D7" s="257">
        <v>6856246.5999999996</v>
      </c>
      <c r="E7" s="257">
        <f t="shared" si="1"/>
        <v>10284369.899999999</v>
      </c>
    </row>
    <row r="8" spans="1:6" outlineLevel="2" x14ac:dyDescent="0.25">
      <c r="A8">
        <v>30301</v>
      </c>
      <c r="B8">
        <v>2021</v>
      </c>
      <c r="C8" s="77">
        <f t="shared" si="0"/>
        <v>2.5</v>
      </c>
      <c r="D8" s="257">
        <v>6333965.1600000001</v>
      </c>
      <c r="E8" s="257">
        <f t="shared" si="1"/>
        <v>15834912.9</v>
      </c>
    </row>
    <row r="9" spans="1:6" outlineLevel="2" x14ac:dyDescent="0.25">
      <c r="A9">
        <v>30301</v>
      </c>
      <c r="B9">
        <v>2020</v>
      </c>
      <c r="C9" s="77">
        <f t="shared" si="0"/>
        <v>3.5</v>
      </c>
      <c r="D9" s="257">
        <v>16288279.029999999</v>
      </c>
      <c r="E9" s="257">
        <f t="shared" si="1"/>
        <v>57008976.604999997</v>
      </c>
    </row>
    <row r="10" spans="1:6" outlineLevel="2" x14ac:dyDescent="0.25">
      <c r="A10">
        <v>30301</v>
      </c>
      <c r="B10">
        <v>2019</v>
      </c>
      <c r="C10" s="77">
        <f t="shared" si="0"/>
        <v>4.5</v>
      </c>
      <c r="D10" s="257">
        <v>2714500.03</v>
      </c>
      <c r="E10" s="257">
        <f t="shared" si="1"/>
        <v>12215250.135</v>
      </c>
    </row>
    <row r="11" spans="1:6" outlineLevel="2" x14ac:dyDescent="0.25">
      <c r="A11">
        <v>30301</v>
      </c>
      <c r="B11">
        <v>2018</v>
      </c>
      <c r="C11" s="77">
        <f t="shared" si="0"/>
        <v>5.5</v>
      </c>
      <c r="D11" s="257">
        <v>2495160.7200000002</v>
      </c>
      <c r="E11" s="257">
        <f t="shared" si="1"/>
        <v>13723383.960000001</v>
      </c>
    </row>
    <row r="12" spans="1:6" outlineLevel="2" x14ac:dyDescent="0.25">
      <c r="A12">
        <v>30301</v>
      </c>
      <c r="B12">
        <v>2017</v>
      </c>
      <c r="C12" s="77">
        <f t="shared" si="0"/>
        <v>6.5</v>
      </c>
      <c r="D12" s="257">
        <v>404501.34</v>
      </c>
      <c r="E12" s="257">
        <f t="shared" si="1"/>
        <v>2629258.71</v>
      </c>
    </row>
    <row r="13" spans="1:6" outlineLevel="2" x14ac:dyDescent="0.25">
      <c r="A13">
        <v>30301</v>
      </c>
      <c r="B13">
        <v>2016</v>
      </c>
      <c r="C13" s="77">
        <f t="shared" si="0"/>
        <v>7.5</v>
      </c>
      <c r="D13" s="257">
        <v>1962769.57</v>
      </c>
      <c r="E13" s="257">
        <f t="shared" si="1"/>
        <v>14720771.775</v>
      </c>
    </row>
    <row r="14" spans="1:6" outlineLevel="2" x14ac:dyDescent="0.25">
      <c r="A14">
        <v>30301</v>
      </c>
      <c r="B14">
        <v>2015</v>
      </c>
      <c r="C14" s="77">
        <f t="shared" si="0"/>
        <v>8.5</v>
      </c>
      <c r="D14" s="257">
        <v>4290931.54</v>
      </c>
      <c r="E14" s="257">
        <f t="shared" si="1"/>
        <v>36472918.090000004</v>
      </c>
    </row>
    <row r="15" spans="1:6" outlineLevel="2" x14ac:dyDescent="0.25">
      <c r="A15">
        <v>30301</v>
      </c>
      <c r="B15">
        <v>2014</v>
      </c>
      <c r="C15" s="77">
        <f t="shared" si="0"/>
        <v>9.5</v>
      </c>
      <c r="D15" s="257">
        <v>1362236.89</v>
      </c>
      <c r="E15" s="257">
        <f t="shared" si="1"/>
        <v>12941250.454999998</v>
      </c>
    </row>
    <row r="16" spans="1:6" outlineLevel="2" x14ac:dyDescent="0.25">
      <c r="A16">
        <v>30301</v>
      </c>
      <c r="B16">
        <v>2013</v>
      </c>
      <c r="C16" s="77">
        <f t="shared" si="0"/>
        <v>10.5</v>
      </c>
      <c r="D16" s="257">
        <v>720847.71</v>
      </c>
      <c r="E16" s="257">
        <f t="shared" si="1"/>
        <v>7568900.9550000001</v>
      </c>
    </row>
    <row r="17" spans="1:6" outlineLevel="2" x14ac:dyDescent="0.25">
      <c r="A17">
        <v>30301</v>
      </c>
      <c r="B17">
        <v>2012</v>
      </c>
      <c r="C17" s="77">
        <f t="shared" si="0"/>
        <v>11.5</v>
      </c>
      <c r="D17" s="257">
        <v>7542446.6799999997</v>
      </c>
      <c r="E17" s="257">
        <f t="shared" si="1"/>
        <v>86738136.819999993</v>
      </c>
    </row>
    <row r="18" spans="1:6" outlineLevel="2" x14ac:dyDescent="0.25">
      <c r="A18">
        <v>30301</v>
      </c>
      <c r="B18">
        <v>2011</v>
      </c>
      <c r="C18" s="77">
        <f t="shared" si="0"/>
        <v>12.5</v>
      </c>
      <c r="D18" s="257">
        <v>2758629.14</v>
      </c>
      <c r="E18" s="257">
        <f t="shared" si="1"/>
        <v>34482864.25</v>
      </c>
    </row>
    <row r="19" spans="1:6" outlineLevel="2" x14ac:dyDescent="0.25">
      <c r="A19">
        <v>30301</v>
      </c>
      <c r="B19">
        <v>2010</v>
      </c>
      <c r="C19" s="77">
        <f t="shared" si="0"/>
        <v>13.5</v>
      </c>
      <c r="D19" s="257">
        <v>1703606.7</v>
      </c>
      <c r="E19" s="257">
        <f t="shared" si="1"/>
        <v>22998690.449999999</v>
      </c>
    </row>
    <row r="20" spans="1:6" outlineLevel="2" x14ac:dyDescent="0.25">
      <c r="A20">
        <v>30301</v>
      </c>
      <c r="B20">
        <v>2009</v>
      </c>
      <c r="C20" s="77">
        <f t="shared" si="0"/>
        <v>14.5</v>
      </c>
      <c r="D20" s="257">
        <v>3203016.29</v>
      </c>
      <c r="E20" s="257">
        <f t="shared" si="1"/>
        <v>46443736.204999998</v>
      </c>
    </row>
    <row r="21" spans="1:6" outlineLevel="2" x14ac:dyDescent="0.25">
      <c r="A21">
        <v>30301</v>
      </c>
      <c r="B21">
        <v>2007</v>
      </c>
      <c r="C21" s="77">
        <f t="shared" si="0"/>
        <v>16.5</v>
      </c>
      <c r="D21" s="257">
        <v>122538.29</v>
      </c>
      <c r="E21" s="257">
        <f t="shared" si="1"/>
        <v>2021881.7849999999</v>
      </c>
    </row>
    <row r="22" spans="1:6" outlineLevel="2" x14ac:dyDescent="0.25">
      <c r="A22">
        <v>30301</v>
      </c>
      <c r="B22">
        <v>2006</v>
      </c>
      <c r="C22" s="77">
        <f t="shared" si="0"/>
        <v>17.5</v>
      </c>
      <c r="D22" s="257">
        <v>371049.12</v>
      </c>
      <c r="E22" s="257">
        <f t="shared" si="1"/>
        <v>6493359.5999999996</v>
      </c>
    </row>
    <row r="23" spans="1:6" outlineLevel="2" x14ac:dyDescent="0.25">
      <c r="A23">
        <v>30301</v>
      </c>
      <c r="B23">
        <v>2005</v>
      </c>
      <c r="C23" s="77">
        <f t="shared" si="0"/>
        <v>18.5</v>
      </c>
      <c r="D23" s="257">
        <v>173913.05</v>
      </c>
      <c r="E23" s="257">
        <f t="shared" si="1"/>
        <v>3217391.4249999998</v>
      </c>
    </row>
    <row r="24" spans="1:6" outlineLevel="2" x14ac:dyDescent="0.25">
      <c r="A24">
        <v>30301</v>
      </c>
      <c r="B24">
        <v>2004</v>
      </c>
      <c r="C24" s="77">
        <f t="shared" si="0"/>
        <v>19.5</v>
      </c>
      <c r="D24" s="257">
        <v>130041.41</v>
      </c>
      <c r="E24" s="257">
        <f t="shared" si="1"/>
        <v>2535807.4950000001</v>
      </c>
    </row>
    <row r="25" spans="1:6" outlineLevel="2" x14ac:dyDescent="0.25">
      <c r="A25">
        <v>30301</v>
      </c>
      <c r="B25">
        <v>2003</v>
      </c>
      <c r="C25" s="77">
        <f t="shared" si="0"/>
        <v>20.5</v>
      </c>
      <c r="D25" s="257">
        <v>29233.07</v>
      </c>
      <c r="E25" s="257">
        <f t="shared" si="1"/>
        <v>599277.93499999994</v>
      </c>
    </row>
    <row r="26" spans="1:6" outlineLevel="2" x14ac:dyDescent="0.25">
      <c r="A26">
        <v>30301</v>
      </c>
      <c r="B26">
        <v>2002</v>
      </c>
      <c r="C26" s="77">
        <f t="shared" si="0"/>
        <v>21.5</v>
      </c>
      <c r="D26" s="257">
        <v>1434764.12</v>
      </c>
      <c r="E26" s="257">
        <f t="shared" si="1"/>
        <v>30847428.580000002</v>
      </c>
    </row>
    <row r="27" spans="1:6" outlineLevel="2" x14ac:dyDescent="0.25">
      <c r="A27">
        <v>30301</v>
      </c>
      <c r="B27">
        <v>2001</v>
      </c>
      <c r="C27" s="77">
        <f t="shared" si="0"/>
        <v>22.5</v>
      </c>
      <c r="D27" s="257">
        <v>802351.27</v>
      </c>
      <c r="E27" s="257">
        <f t="shared" si="1"/>
        <v>18052903.574999999</v>
      </c>
    </row>
    <row r="28" spans="1:6" ht="13" outlineLevel="1" x14ac:dyDescent="0.3">
      <c r="A28" s="18" t="s">
        <v>1178</v>
      </c>
      <c r="C28" s="77">
        <f t="shared" si="0"/>
        <v>2023.5</v>
      </c>
      <c r="D28" s="257">
        <f>SUBTOTAL(9,D6:D27)</f>
        <v>110526643.99000001</v>
      </c>
      <c r="E28" s="257">
        <f>SUBTOTAL(9,E6:E27)</f>
        <v>462244279.73500007</v>
      </c>
      <c r="F28" s="257">
        <f>+E28/D28</f>
        <v>4.1821977312259841</v>
      </c>
    </row>
    <row r="29" spans="1:6" outlineLevel="2" x14ac:dyDescent="0.25">
      <c r="A29">
        <v>33600</v>
      </c>
      <c r="B29">
        <v>2023</v>
      </c>
      <c r="C29" s="77">
        <f t="shared" si="0"/>
        <v>0.5</v>
      </c>
      <c r="D29" s="257">
        <v>16109646.340000002</v>
      </c>
      <c r="E29" s="257">
        <f>+C29*D29</f>
        <v>8054823.1700000009</v>
      </c>
    </row>
    <row r="30" spans="1:6" ht="13" outlineLevel="1" x14ac:dyDescent="0.3">
      <c r="A30" s="18" t="s">
        <v>1261</v>
      </c>
      <c r="C30" s="77">
        <f t="shared" si="0"/>
        <v>2023.5</v>
      </c>
      <c r="D30" s="257">
        <f>SUBTOTAL(9,D29:D29)</f>
        <v>16109646.340000002</v>
      </c>
      <c r="E30" s="257">
        <f>SUBTOTAL(9,E29:E29)</f>
        <v>8054823.1700000009</v>
      </c>
      <c r="F30" s="257">
        <f>+E30/D30</f>
        <v>0.5</v>
      </c>
    </row>
    <row r="31" spans="1:6" outlineLevel="2" x14ac:dyDescent="0.25">
      <c r="A31">
        <v>33601</v>
      </c>
      <c r="B31">
        <v>2023</v>
      </c>
      <c r="C31" s="77">
        <f t="shared" si="0"/>
        <v>0.5</v>
      </c>
      <c r="D31" s="257">
        <v>35668591.620000005</v>
      </c>
      <c r="E31" s="257">
        <f>+C31*D31</f>
        <v>17834295.810000002</v>
      </c>
    </row>
    <row r="32" spans="1:6" ht="13" outlineLevel="1" x14ac:dyDescent="0.3">
      <c r="A32" s="18" t="s">
        <v>1343</v>
      </c>
      <c r="C32" s="77">
        <f t="shared" si="0"/>
        <v>2023.5</v>
      </c>
      <c r="D32" s="257">
        <f>SUBTOTAL(9,D31:D31)</f>
        <v>35668591.620000005</v>
      </c>
      <c r="E32" s="257">
        <f>SUBTOTAL(9,E31:E31)</f>
        <v>17834295.810000002</v>
      </c>
      <c r="F32" s="257">
        <f>+E32/D32</f>
        <v>0.5</v>
      </c>
    </row>
    <row r="33" spans="1:6" outlineLevel="2" x14ac:dyDescent="0.25">
      <c r="A33">
        <v>36400</v>
      </c>
      <c r="B33">
        <v>2023</v>
      </c>
      <c r="C33" s="77">
        <f t="shared" si="0"/>
        <v>0.5</v>
      </c>
      <c r="D33" s="257">
        <v>1485380.05</v>
      </c>
      <c r="E33" s="257">
        <f>+C33*D33</f>
        <v>742690.02500000002</v>
      </c>
    </row>
    <row r="34" spans="1:6" outlineLevel="2" x14ac:dyDescent="0.25">
      <c r="A34">
        <v>36400</v>
      </c>
      <c r="B34">
        <v>2022</v>
      </c>
      <c r="C34" s="77">
        <f t="shared" si="0"/>
        <v>1.5</v>
      </c>
      <c r="D34" s="257">
        <v>0</v>
      </c>
      <c r="E34" s="257">
        <f>+C34*D34</f>
        <v>0</v>
      </c>
    </row>
    <row r="35" spans="1:6" ht="13" outlineLevel="1" x14ac:dyDescent="0.3">
      <c r="A35" s="18" t="s">
        <v>1344</v>
      </c>
      <c r="C35" s="77" t="s">
        <v>1229</v>
      </c>
      <c r="D35" s="257">
        <f>SUBTOTAL(9,D33:D34)</f>
        <v>1485380.05</v>
      </c>
      <c r="E35" s="257">
        <f>SUBTOTAL(9,E33:E34)</f>
        <v>742690.02500000002</v>
      </c>
      <c r="F35" s="257">
        <f>+E35/D35</f>
        <v>0.5</v>
      </c>
    </row>
    <row r="36" spans="1:6" outlineLevel="2" x14ac:dyDescent="0.25">
      <c r="A36">
        <v>37402</v>
      </c>
      <c r="B36">
        <v>2018</v>
      </c>
      <c r="C36" s="77">
        <v>5.5</v>
      </c>
      <c r="D36" s="257">
        <v>60540.78</v>
      </c>
      <c r="E36" s="257">
        <f t="shared" ref="E36:E72" si="2">+C36*D36</f>
        <v>332974.28999999998</v>
      </c>
    </row>
    <row r="37" spans="1:6" outlineLevel="2" x14ac:dyDescent="0.25">
      <c r="A37">
        <v>37402</v>
      </c>
      <c r="B37">
        <v>2017</v>
      </c>
      <c r="C37" s="77">
        <v>6.5</v>
      </c>
      <c r="D37" s="257">
        <v>311775.23</v>
      </c>
      <c r="E37" s="257">
        <f t="shared" si="2"/>
        <v>2026538.9949999999</v>
      </c>
    </row>
    <row r="38" spans="1:6" outlineLevel="2" x14ac:dyDescent="0.25">
      <c r="A38">
        <v>37402</v>
      </c>
      <c r="B38">
        <v>2016</v>
      </c>
      <c r="C38" s="77">
        <v>7.5</v>
      </c>
      <c r="D38" s="257">
        <v>1072853.7</v>
      </c>
      <c r="E38" s="257">
        <f t="shared" si="2"/>
        <v>8046402.75</v>
      </c>
    </row>
    <row r="39" spans="1:6" outlineLevel="2" x14ac:dyDescent="0.25">
      <c r="A39">
        <v>37402</v>
      </c>
      <c r="B39">
        <v>2015</v>
      </c>
      <c r="C39" s="77">
        <v>8.5</v>
      </c>
      <c r="D39" s="257">
        <v>895642.5</v>
      </c>
      <c r="E39" s="257">
        <f t="shared" si="2"/>
        <v>7612961.25</v>
      </c>
    </row>
    <row r="40" spans="1:6" outlineLevel="2" x14ac:dyDescent="0.25">
      <c r="A40">
        <v>37402</v>
      </c>
      <c r="B40">
        <v>2014</v>
      </c>
      <c r="C40" s="77">
        <v>9.5</v>
      </c>
      <c r="D40" s="257">
        <v>267914.88</v>
      </c>
      <c r="E40" s="257">
        <f t="shared" si="2"/>
        <v>2545191.36</v>
      </c>
    </row>
    <row r="41" spans="1:6" outlineLevel="2" x14ac:dyDescent="0.25">
      <c r="A41">
        <v>37402</v>
      </c>
      <c r="B41">
        <v>2013</v>
      </c>
      <c r="C41" s="77">
        <v>10.5</v>
      </c>
      <c r="D41" s="257">
        <v>30114.25</v>
      </c>
      <c r="E41" s="257">
        <f t="shared" si="2"/>
        <v>316199.625</v>
      </c>
    </row>
    <row r="42" spans="1:6" outlineLevel="2" x14ac:dyDescent="0.25">
      <c r="A42">
        <v>37402</v>
      </c>
      <c r="B42">
        <v>2012</v>
      </c>
      <c r="C42" s="77">
        <v>11.5</v>
      </c>
      <c r="D42" s="257">
        <v>70879.62</v>
      </c>
      <c r="E42" s="257">
        <f t="shared" si="2"/>
        <v>815115.62999999989</v>
      </c>
    </row>
    <row r="43" spans="1:6" outlineLevel="2" x14ac:dyDescent="0.25">
      <c r="A43">
        <v>37402</v>
      </c>
      <c r="B43">
        <v>2010</v>
      </c>
      <c r="C43" s="77">
        <v>13.5</v>
      </c>
      <c r="D43" s="257">
        <v>67325.5</v>
      </c>
      <c r="E43" s="257">
        <f t="shared" si="2"/>
        <v>908894.25</v>
      </c>
    </row>
    <row r="44" spans="1:6" outlineLevel="2" x14ac:dyDescent="0.25">
      <c r="A44">
        <v>37402</v>
      </c>
      <c r="B44">
        <v>2009</v>
      </c>
      <c r="C44" s="77">
        <v>14.5</v>
      </c>
      <c r="D44" s="257">
        <v>121055.42</v>
      </c>
      <c r="E44" s="257">
        <f t="shared" si="2"/>
        <v>1755303.59</v>
      </c>
    </row>
    <row r="45" spans="1:6" outlineLevel="2" x14ac:dyDescent="0.25">
      <c r="A45">
        <v>37402</v>
      </c>
      <c r="B45">
        <v>2008</v>
      </c>
      <c r="C45" s="77">
        <v>15.5</v>
      </c>
      <c r="D45" s="257">
        <v>54867.33</v>
      </c>
      <c r="E45" s="257">
        <f t="shared" si="2"/>
        <v>850443.61499999999</v>
      </c>
    </row>
    <row r="46" spans="1:6" outlineLevel="2" x14ac:dyDescent="0.25">
      <c r="A46">
        <v>37402</v>
      </c>
      <c r="B46">
        <v>2006</v>
      </c>
      <c r="C46" s="77">
        <v>17.5</v>
      </c>
      <c r="D46" s="257">
        <v>12725.4</v>
      </c>
      <c r="E46" s="257">
        <f t="shared" si="2"/>
        <v>222694.5</v>
      </c>
    </row>
    <row r="47" spans="1:6" outlineLevel="2" x14ac:dyDescent="0.25">
      <c r="A47">
        <v>37402</v>
      </c>
      <c r="B47">
        <v>2005</v>
      </c>
      <c r="C47" s="77">
        <v>18.5</v>
      </c>
      <c r="D47" s="257">
        <v>46539.37</v>
      </c>
      <c r="E47" s="257">
        <f t="shared" si="2"/>
        <v>860978.34500000009</v>
      </c>
    </row>
    <row r="48" spans="1:6" outlineLevel="2" x14ac:dyDescent="0.25">
      <c r="A48">
        <v>37402</v>
      </c>
      <c r="B48">
        <v>2004</v>
      </c>
      <c r="C48" s="77">
        <v>19.5</v>
      </c>
      <c r="D48" s="257">
        <v>109828.54</v>
      </c>
      <c r="E48" s="257">
        <f t="shared" si="2"/>
        <v>2141656.5299999998</v>
      </c>
    </row>
    <row r="49" spans="1:5" outlineLevel="2" x14ac:dyDescent="0.25">
      <c r="A49">
        <v>37402</v>
      </c>
      <c r="B49">
        <v>2002</v>
      </c>
      <c r="C49" s="77">
        <v>21.5</v>
      </c>
      <c r="D49" s="257">
        <v>62802.66</v>
      </c>
      <c r="E49" s="257">
        <f t="shared" si="2"/>
        <v>1350257.1900000002</v>
      </c>
    </row>
    <row r="50" spans="1:5" outlineLevel="2" x14ac:dyDescent="0.25">
      <c r="A50">
        <v>37402</v>
      </c>
      <c r="B50">
        <v>2000</v>
      </c>
      <c r="C50" s="77">
        <v>23.5</v>
      </c>
      <c r="D50" s="257">
        <v>16248.02</v>
      </c>
      <c r="E50" s="257">
        <f t="shared" si="2"/>
        <v>381828.47000000003</v>
      </c>
    </row>
    <row r="51" spans="1:5" outlineLevel="2" x14ac:dyDescent="0.25">
      <c r="A51">
        <v>37402</v>
      </c>
      <c r="B51">
        <v>1999</v>
      </c>
      <c r="C51" s="77">
        <v>24.5</v>
      </c>
      <c r="D51" s="257">
        <v>122559.84</v>
      </c>
      <c r="E51" s="257">
        <f t="shared" si="2"/>
        <v>3002716.08</v>
      </c>
    </row>
    <row r="52" spans="1:5" outlineLevel="2" x14ac:dyDescent="0.25">
      <c r="A52">
        <v>37402</v>
      </c>
      <c r="B52">
        <v>1996</v>
      </c>
      <c r="C52" s="77">
        <v>27.5</v>
      </c>
      <c r="D52" s="257">
        <v>227583.17</v>
      </c>
      <c r="E52" s="257">
        <f t="shared" si="2"/>
        <v>6258537.1750000007</v>
      </c>
    </row>
    <row r="53" spans="1:5" outlineLevel="2" x14ac:dyDescent="0.25">
      <c r="A53">
        <v>37402</v>
      </c>
      <c r="B53">
        <v>1994</v>
      </c>
      <c r="C53" s="77">
        <v>29.5</v>
      </c>
      <c r="D53" s="257">
        <v>6611.77</v>
      </c>
      <c r="E53" s="257">
        <f t="shared" si="2"/>
        <v>195047.21500000003</v>
      </c>
    </row>
    <row r="54" spans="1:5" outlineLevel="2" x14ac:dyDescent="0.25">
      <c r="A54">
        <v>37402</v>
      </c>
      <c r="B54">
        <v>1993</v>
      </c>
      <c r="C54" s="77">
        <v>30.5</v>
      </c>
      <c r="D54" s="257">
        <v>12037.5</v>
      </c>
      <c r="E54" s="257">
        <f t="shared" si="2"/>
        <v>367143.75</v>
      </c>
    </row>
    <row r="55" spans="1:5" outlineLevel="2" x14ac:dyDescent="0.25">
      <c r="A55">
        <v>37402</v>
      </c>
      <c r="B55">
        <v>1991</v>
      </c>
      <c r="C55" s="77">
        <v>32.5</v>
      </c>
      <c r="D55" s="257">
        <v>12084.68</v>
      </c>
      <c r="E55" s="257">
        <f t="shared" si="2"/>
        <v>392752.10000000003</v>
      </c>
    </row>
    <row r="56" spans="1:5" outlineLevel="2" x14ac:dyDescent="0.25">
      <c r="A56">
        <v>37402</v>
      </c>
      <c r="B56">
        <v>1981</v>
      </c>
      <c r="C56" s="77">
        <v>42.5</v>
      </c>
      <c r="D56" s="257">
        <v>54.26</v>
      </c>
      <c r="E56" s="257">
        <f t="shared" si="2"/>
        <v>2306.0499999999997</v>
      </c>
    </row>
    <row r="57" spans="1:5" outlineLevel="2" x14ac:dyDescent="0.25">
      <c r="A57">
        <v>37402</v>
      </c>
      <c r="B57">
        <v>1975</v>
      </c>
      <c r="C57" s="77">
        <v>48.5</v>
      </c>
      <c r="D57" s="257">
        <v>10955.04</v>
      </c>
      <c r="E57" s="257">
        <f t="shared" si="2"/>
        <v>531319.44000000006</v>
      </c>
    </row>
    <row r="58" spans="1:5" outlineLevel="2" x14ac:dyDescent="0.25">
      <c r="A58">
        <v>37402</v>
      </c>
      <c r="B58">
        <v>1974</v>
      </c>
      <c r="C58" s="77">
        <v>49.5</v>
      </c>
      <c r="D58" s="257">
        <v>14682.24</v>
      </c>
      <c r="E58" s="257">
        <f t="shared" si="2"/>
        <v>726770.88</v>
      </c>
    </row>
    <row r="59" spans="1:5" outlineLevel="2" x14ac:dyDescent="0.25">
      <c r="A59">
        <v>37402</v>
      </c>
      <c r="B59">
        <v>1973</v>
      </c>
      <c r="C59" s="77">
        <v>50.5</v>
      </c>
      <c r="D59" s="257">
        <v>15101.53</v>
      </c>
      <c r="E59" s="257">
        <f t="shared" si="2"/>
        <v>762627.26500000001</v>
      </c>
    </row>
    <row r="60" spans="1:5" outlineLevel="2" x14ac:dyDescent="0.25">
      <c r="A60">
        <v>37402</v>
      </c>
      <c r="B60">
        <v>1972</v>
      </c>
      <c r="C60" s="77">
        <v>51.5</v>
      </c>
      <c r="D60" s="257">
        <v>124757.77</v>
      </c>
      <c r="E60" s="257">
        <f t="shared" si="2"/>
        <v>6425025.1550000003</v>
      </c>
    </row>
    <row r="61" spans="1:5" outlineLevel="2" x14ac:dyDescent="0.25">
      <c r="A61">
        <v>37402</v>
      </c>
      <c r="B61">
        <v>1971</v>
      </c>
      <c r="C61" s="77">
        <v>52.5</v>
      </c>
      <c r="D61" s="257">
        <v>98904.72</v>
      </c>
      <c r="E61" s="257">
        <f t="shared" si="2"/>
        <v>5192497.8</v>
      </c>
    </row>
    <row r="62" spans="1:5" outlineLevel="2" x14ac:dyDescent="0.25">
      <c r="A62">
        <v>37402</v>
      </c>
      <c r="B62">
        <v>1970</v>
      </c>
      <c r="C62" s="77">
        <v>53.5</v>
      </c>
      <c r="D62" s="257">
        <v>116665.02</v>
      </c>
      <c r="E62" s="257">
        <f t="shared" si="2"/>
        <v>6241578.5700000003</v>
      </c>
    </row>
    <row r="63" spans="1:5" outlineLevel="2" x14ac:dyDescent="0.25">
      <c r="A63">
        <v>37402</v>
      </c>
      <c r="B63">
        <v>1969</v>
      </c>
      <c r="C63" s="77">
        <v>54.5</v>
      </c>
      <c r="D63" s="257">
        <v>127678.07</v>
      </c>
      <c r="E63" s="257">
        <f t="shared" si="2"/>
        <v>6958454.8150000004</v>
      </c>
    </row>
    <row r="64" spans="1:5" outlineLevel="2" x14ac:dyDescent="0.25">
      <c r="A64">
        <v>37402</v>
      </c>
      <c r="B64">
        <v>1968</v>
      </c>
      <c r="C64" s="77">
        <v>55.5</v>
      </c>
      <c r="D64" s="257">
        <v>76841.25</v>
      </c>
      <c r="E64" s="257">
        <f t="shared" si="2"/>
        <v>4264689.375</v>
      </c>
    </row>
    <row r="65" spans="1:6" outlineLevel="2" x14ac:dyDescent="0.25">
      <c r="A65">
        <v>37402</v>
      </c>
      <c r="B65">
        <v>1967</v>
      </c>
      <c r="C65" s="77">
        <v>56.5</v>
      </c>
      <c r="D65" s="257">
        <v>27128.87</v>
      </c>
      <c r="E65" s="257">
        <f t="shared" si="2"/>
        <v>1532781.155</v>
      </c>
    </row>
    <row r="66" spans="1:6" outlineLevel="2" x14ac:dyDescent="0.25">
      <c r="A66">
        <v>37402</v>
      </c>
      <c r="B66">
        <v>1966</v>
      </c>
      <c r="C66" s="77">
        <v>57.5</v>
      </c>
      <c r="D66" s="257">
        <v>10891.57</v>
      </c>
      <c r="E66" s="257">
        <f t="shared" si="2"/>
        <v>626265.27500000002</v>
      </c>
    </row>
    <row r="67" spans="1:6" outlineLevel="2" x14ac:dyDescent="0.25">
      <c r="A67">
        <v>37402</v>
      </c>
      <c r="B67">
        <v>1965</v>
      </c>
      <c r="C67" s="77">
        <v>58.5</v>
      </c>
      <c r="D67" s="257">
        <v>35291.61</v>
      </c>
      <c r="E67" s="257">
        <f t="shared" si="2"/>
        <v>2064559.1850000001</v>
      </c>
    </row>
    <row r="68" spans="1:6" outlineLevel="2" x14ac:dyDescent="0.25">
      <c r="A68">
        <v>37402</v>
      </c>
      <c r="B68">
        <v>1964</v>
      </c>
      <c r="C68" s="77">
        <v>59.5</v>
      </c>
      <c r="D68" s="257">
        <v>8772.19</v>
      </c>
      <c r="E68" s="257">
        <f t="shared" si="2"/>
        <v>521945.30500000005</v>
      </c>
    </row>
    <row r="69" spans="1:6" outlineLevel="2" x14ac:dyDescent="0.25">
      <c r="A69">
        <v>37402</v>
      </c>
      <c r="B69">
        <v>1963</v>
      </c>
      <c r="C69" s="77">
        <v>60.5</v>
      </c>
      <c r="D69" s="257">
        <v>8082.6</v>
      </c>
      <c r="E69" s="257">
        <f t="shared" si="2"/>
        <v>488997.30000000005</v>
      </c>
    </row>
    <row r="70" spans="1:6" outlineLevel="2" x14ac:dyDescent="0.25">
      <c r="A70">
        <v>37402</v>
      </c>
      <c r="B70">
        <v>1962</v>
      </c>
      <c r="C70" s="77">
        <v>61.5</v>
      </c>
      <c r="D70" s="257">
        <v>1233.71</v>
      </c>
      <c r="E70" s="257">
        <f t="shared" si="2"/>
        <v>75873.165000000008</v>
      </c>
    </row>
    <row r="71" spans="1:6" outlineLevel="2" x14ac:dyDescent="0.25">
      <c r="A71">
        <v>37402</v>
      </c>
      <c r="B71">
        <v>1960</v>
      </c>
      <c r="C71" s="77">
        <v>63.5</v>
      </c>
      <c r="D71" s="257">
        <v>1079.04</v>
      </c>
      <c r="E71" s="257">
        <f t="shared" si="2"/>
        <v>68519.039999999994</v>
      </c>
    </row>
    <row r="72" spans="1:6" outlineLevel="2" x14ac:dyDescent="0.25">
      <c r="A72">
        <v>37402</v>
      </c>
      <c r="B72">
        <v>1959</v>
      </c>
      <c r="C72" s="77">
        <v>64.5</v>
      </c>
      <c r="D72" s="257">
        <v>8763.01</v>
      </c>
      <c r="E72" s="257">
        <f t="shared" si="2"/>
        <v>565214.14500000002</v>
      </c>
    </row>
    <row r="73" spans="1:6" ht="13" outlineLevel="1" x14ac:dyDescent="0.3">
      <c r="A73" s="18" t="s">
        <v>1179</v>
      </c>
      <c r="C73" s="77" t="s">
        <v>1229</v>
      </c>
      <c r="D73" s="257">
        <f>SUBTOTAL(9,D36:D72)</f>
        <v>4268872.66</v>
      </c>
      <c r="E73" s="257">
        <f>SUBTOTAL(9,E36:E72)</f>
        <v>77433060.630000025</v>
      </c>
      <c r="F73" s="257">
        <f>+E73/D73</f>
        <v>18.1389951861436</v>
      </c>
    </row>
    <row r="74" spans="1:6" outlineLevel="2" x14ac:dyDescent="0.25">
      <c r="A74">
        <v>37500</v>
      </c>
      <c r="B74">
        <v>2023</v>
      </c>
      <c r="C74" s="77">
        <v>0.5</v>
      </c>
      <c r="D74" s="257">
        <v>5278050.99</v>
      </c>
      <c r="E74" s="257">
        <f t="shared" ref="E74:E105" si="3">+C74*D74</f>
        <v>2639025.4950000001</v>
      </c>
    </row>
    <row r="75" spans="1:6" outlineLevel="2" x14ac:dyDescent="0.25">
      <c r="A75">
        <v>37500</v>
      </c>
      <c r="B75">
        <v>2022</v>
      </c>
      <c r="C75" s="77">
        <v>1.5</v>
      </c>
      <c r="D75" s="257">
        <v>706644.96</v>
      </c>
      <c r="E75" s="257">
        <f t="shared" si="3"/>
        <v>1059967.44</v>
      </c>
    </row>
    <row r="76" spans="1:6" outlineLevel="2" x14ac:dyDescent="0.25">
      <c r="A76">
        <v>37500</v>
      </c>
      <c r="B76">
        <v>2021</v>
      </c>
      <c r="C76" s="77">
        <v>2.5</v>
      </c>
      <c r="D76" s="257">
        <v>275473.39</v>
      </c>
      <c r="E76" s="257">
        <f t="shared" si="3"/>
        <v>688683.47500000009</v>
      </c>
    </row>
    <row r="77" spans="1:6" outlineLevel="2" x14ac:dyDescent="0.25">
      <c r="A77">
        <v>37500</v>
      </c>
      <c r="B77">
        <v>2020</v>
      </c>
      <c r="C77" s="77">
        <v>3.5</v>
      </c>
      <c r="D77" s="257">
        <v>317815.46999999997</v>
      </c>
      <c r="E77" s="257">
        <f t="shared" si="3"/>
        <v>1112354.145</v>
      </c>
    </row>
    <row r="78" spans="1:6" outlineLevel="2" x14ac:dyDescent="0.25">
      <c r="A78">
        <v>37500</v>
      </c>
      <c r="B78">
        <v>2019</v>
      </c>
      <c r="C78" s="77">
        <v>4.5</v>
      </c>
      <c r="D78" s="257">
        <v>1536081.73</v>
      </c>
      <c r="E78" s="257">
        <f t="shared" si="3"/>
        <v>6912367.7850000001</v>
      </c>
    </row>
    <row r="79" spans="1:6" outlineLevel="2" x14ac:dyDescent="0.25">
      <c r="A79">
        <v>37500</v>
      </c>
      <c r="B79">
        <v>2018</v>
      </c>
      <c r="C79" s="77">
        <v>5.5</v>
      </c>
      <c r="D79" s="257">
        <v>488977.42</v>
      </c>
      <c r="E79" s="257">
        <f t="shared" si="3"/>
        <v>2689375.81</v>
      </c>
    </row>
    <row r="80" spans="1:6" outlineLevel="2" x14ac:dyDescent="0.25">
      <c r="A80">
        <v>37500</v>
      </c>
      <c r="B80">
        <v>2017</v>
      </c>
      <c r="C80" s="77">
        <v>6.5</v>
      </c>
      <c r="D80" s="257">
        <v>980589.42</v>
      </c>
      <c r="E80" s="257">
        <f t="shared" si="3"/>
        <v>6373831.2300000004</v>
      </c>
    </row>
    <row r="81" spans="1:5" outlineLevel="2" x14ac:dyDescent="0.25">
      <c r="A81">
        <v>37500</v>
      </c>
      <c r="B81">
        <v>2016</v>
      </c>
      <c r="C81" s="77">
        <v>7.5</v>
      </c>
      <c r="D81" s="257">
        <v>6223006.5800000001</v>
      </c>
      <c r="E81" s="257">
        <f t="shared" si="3"/>
        <v>46672549.350000001</v>
      </c>
    </row>
    <row r="82" spans="1:5" outlineLevel="2" x14ac:dyDescent="0.25">
      <c r="A82">
        <v>37500</v>
      </c>
      <c r="B82">
        <v>2015</v>
      </c>
      <c r="C82" s="77">
        <v>8.5</v>
      </c>
      <c r="D82" s="257">
        <v>415971.22</v>
      </c>
      <c r="E82" s="257">
        <f t="shared" si="3"/>
        <v>3535755.3699999996</v>
      </c>
    </row>
    <row r="83" spans="1:5" outlineLevel="2" x14ac:dyDescent="0.25">
      <c r="A83">
        <v>37500</v>
      </c>
      <c r="B83">
        <v>2014</v>
      </c>
      <c r="C83" s="77">
        <v>9.5</v>
      </c>
      <c r="D83" s="257">
        <v>100117.9</v>
      </c>
      <c r="E83" s="257">
        <f t="shared" si="3"/>
        <v>951120.04999999993</v>
      </c>
    </row>
    <row r="84" spans="1:5" outlineLevel="2" x14ac:dyDescent="0.25">
      <c r="A84">
        <v>37500</v>
      </c>
      <c r="B84">
        <v>2013</v>
      </c>
      <c r="C84" s="77">
        <v>10.5</v>
      </c>
      <c r="D84" s="257">
        <v>27683.14</v>
      </c>
      <c r="E84" s="257">
        <f t="shared" si="3"/>
        <v>290672.96999999997</v>
      </c>
    </row>
    <row r="85" spans="1:5" outlineLevel="2" x14ac:dyDescent="0.25">
      <c r="A85">
        <v>37500</v>
      </c>
      <c r="B85">
        <v>2012</v>
      </c>
      <c r="C85" s="77">
        <v>11.5</v>
      </c>
      <c r="D85" s="257">
        <v>130812.33</v>
      </c>
      <c r="E85" s="257">
        <f t="shared" si="3"/>
        <v>1504341.7949999999</v>
      </c>
    </row>
    <row r="86" spans="1:5" outlineLevel="2" x14ac:dyDescent="0.25">
      <c r="A86">
        <v>37500</v>
      </c>
      <c r="B86">
        <v>2011</v>
      </c>
      <c r="C86" s="77">
        <v>12.5</v>
      </c>
      <c r="D86" s="257">
        <v>197577.82</v>
      </c>
      <c r="E86" s="257">
        <f t="shared" si="3"/>
        <v>2469722.75</v>
      </c>
    </row>
    <row r="87" spans="1:5" outlineLevel="2" x14ac:dyDescent="0.25">
      <c r="A87">
        <v>37500</v>
      </c>
      <c r="B87">
        <v>2010</v>
      </c>
      <c r="C87" s="77">
        <v>13.5</v>
      </c>
      <c r="D87" s="257">
        <v>964875.45</v>
      </c>
      <c r="E87" s="257">
        <f t="shared" si="3"/>
        <v>13025818.574999999</v>
      </c>
    </row>
    <row r="88" spans="1:5" outlineLevel="2" x14ac:dyDescent="0.25">
      <c r="A88">
        <v>37500</v>
      </c>
      <c r="B88">
        <v>2009</v>
      </c>
      <c r="C88" s="77">
        <v>14.5</v>
      </c>
      <c r="D88" s="257">
        <v>397892.62</v>
      </c>
      <c r="E88" s="257">
        <f t="shared" si="3"/>
        <v>5769442.9900000002</v>
      </c>
    </row>
    <row r="89" spans="1:5" outlineLevel="2" x14ac:dyDescent="0.25">
      <c r="A89">
        <v>37500</v>
      </c>
      <c r="B89">
        <v>2008</v>
      </c>
      <c r="C89" s="77">
        <v>15.5</v>
      </c>
      <c r="D89" s="257">
        <v>260913.77</v>
      </c>
      <c r="E89" s="257">
        <f t="shared" si="3"/>
        <v>4044163.4350000001</v>
      </c>
    </row>
    <row r="90" spans="1:5" outlineLevel="2" x14ac:dyDescent="0.25">
      <c r="A90">
        <v>37500</v>
      </c>
      <c r="B90">
        <v>2007</v>
      </c>
      <c r="C90" s="77">
        <v>16.5</v>
      </c>
      <c r="D90" s="257">
        <v>1060829.8999999999</v>
      </c>
      <c r="E90" s="257">
        <f t="shared" si="3"/>
        <v>17503693.349999998</v>
      </c>
    </row>
    <row r="91" spans="1:5" outlineLevel="2" x14ac:dyDescent="0.25">
      <c r="A91">
        <v>37500</v>
      </c>
      <c r="B91">
        <v>2006</v>
      </c>
      <c r="C91" s="77">
        <v>17.5</v>
      </c>
      <c r="D91" s="257">
        <v>1110118.6499999999</v>
      </c>
      <c r="E91" s="257">
        <f t="shared" si="3"/>
        <v>19427076.375</v>
      </c>
    </row>
    <row r="92" spans="1:5" outlineLevel="2" x14ac:dyDescent="0.25">
      <c r="A92">
        <v>37500</v>
      </c>
      <c r="B92">
        <v>2005</v>
      </c>
      <c r="C92" s="77">
        <v>18.5</v>
      </c>
      <c r="D92" s="257">
        <v>113895.84</v>
      </c>
      <c r="E92" s="257">
        <f t="shared" si="3"/>
        <v>2107073.04</v>
      </c>
    </row>
    <row r="93" spans="1:5" outlineLevel="2" x14ac:dyDescent="0.25">
      <c r="A93">
        <v>37500</v>
      </c>
      <c r="B93">
        <v>2004</v>
      </c>
      <c r="C93" s="77">
        <v>19.5</v>
      </c>
      <c r="D93" s="257">
        <v>87478.33</v>
      </c>
      <c r="E93" s="257">
        <f t="shared" si="3"/>
        <v>1705827.4350000001</v>
      </c>
    </row>
    <row r="94" spans="1:5" outlineLevel="2" x14ac:dyDescent="0.25">
      <c r="A94">
        <v>37500</v>
      </c>
      <c r="B94">
        <v>2003</v>
      </c>
      <c r="C94" s="77">
        <v>20.5</v>
      </c>
      <c r="D94" s="257">
        <v>1299753.9099999999</v>
      </c>
      <c r="E94" s="257">
        <f t="shared" si="3"/>
        <v>26644955.154999997</v>
      </c>
    </row>
    <row r="95" spans="1:5" outlineLevel="2" x14ac:dyDescent="0.25">
      <c r="A95">
        <v>37500</v>
      </c>
      <c r="B95">
        <v>2002</v>
      </c>
      <c r="C95" s="77">
        <v>21.5</v>
      </c>
      <c r="D95" s="257">
        <v>1449154.67</v>
      </c>
      <c r="E95" s="257">
        <f t="shared" si="3"/>
        <v>31156825.404999997</v>
      </c>
    </row>
    <row r="96" spans="1:5" outlineLevel="2" x14ac:dyDescent="0.25">
      <c r="A96">
        <v>37500</v>
      </c>
      <c r="B96">
        <v>2001</v>
      </c>
      <c r="C96" s="77">
        <v>22.5</v>
      </c>
      <c r="D96" s="257">
        <v>2041211.79</v>
      </c>
      <c r="E96" s="257">
        <f t="shared" si="3"/>
        <v>45927265.274999999</v>
      </c>
    </row>
    <row r="97" spans="1:5" outlineLevel="2" x14ac:dyDescent="0.25">
      <c r="A97">
        <v>37500</v>
      </c>
      <c r="B97">
        <v>2000</v>
      </c>
      <c r="C97" s="77">
        <v>23.5</v>
      </c>
      <c r="D97" s="257">
        <v>451653.38</v>
      </c>
      <c r="E97" s="257">
        <f t="shared" si="3"/>
        <v>10613854.43</v>
      </c>
    </row>
    <row r="98" spans="1:5" outlineLevel="2" x14ac:dyDescent="0.25">
      <c r="A98">
        <v>37500</v>
      </c>
      <c r="B98">
        <v>1999</v>
      </c>
      <c r="C98" s="77">
        <v>24.5</v>
      </c>
      <c r="D98" s="257">
        <v>385489.97</v>
      </c>
      <c r="E98" s="257">
        <f t="shared" si="3"/>
        <v>9444504.2649999987</v>
      </c>
    </row>
    <row r="99" spans="1:5" outlineLevel="2" x14ac:dyDescent="0.25">
      <c r="A99">
        <v>37500</v>
      </c>
      <c r="B99">
        <v>1998</v>
      </c>
      <c r="C99" s="77">
        <v>25.5</v>
      </c>
      <c r="D99" s="257">
        <v>50657.11</v>
      </c>
      <c r="E99" s="257">
        <f t="shared" si="3"/>
        <v>1291756.3049999999</v>
      </c>
    </row>
    <row r="100" spans="1:5" outlineLevel="2" x14ac:dyDescent="0.25">
      <c r="A100">
        <v>37500</v>
      </c>
      <c r="B100">
        <v>1997</v>
      </c>
      <c r="C100" s="77">
        <v>26.5</v>
      </c>
      <c r="D100" s="257">
        <v>195678.27</v>
      </c>
      <c r="E100" s="257">
        <f t="shared" si="3"/>
        <v>5185474.1549999993</v>
      </c>
    </row>
    <row r="101" spans="1:5" outlineLevel="2" x14ac:dyDescent="0.25">
      <c r="A101">
        <v>37500</v>
      </c>
      <c r="B101">
        <v>1996</v>
      </c>
      <c r="C101" s="77">
        <v>27.5</v>
      </c>
      <c r="D101" s="257">
        <v>124991.81</v>
      </c>
      <c r="E101" s="257">
        <f t="shared" si="3"/>
        <v>3437274.7749999999</v>
      </c>
    </row>
    <row r="102" spans="1:5" outlineLevel="2" x14ac:dyDescent="0.25">
      <c r="A102">
        <v>37500</v>
      </c>
      <c r="B102">
        <v>1995</v>
      </c>
      <c r="C102" s="77">
        <v>28.5</v>
      </c>
      <c r="D102" s="257">
        <v>198793.97</v>
      </c>
      <c r="E102" s="257">
        <f t="shared" si="3"/>
        <v>5665628.1450000005</v>
      </c>
    </row>
    <row r="103" spans="1:5" outlineLevel="2" x14ac:dyDescent="0.25">
      <c r="A103">
        <v>37500</v>
      </c>
      <c r="B103">
        <v>1994</v>
      </c>
      <c r="C103" s="77">
        <v>29.5</v>
      </c>
      <c r="D103" s="257">
        <v>522640.75</v>
      </c>
      <c r="E103" s="257">
        <f t="shared" si="3"/>
        <v>15417902.125</v>
      </c>
    </row>
    <row r="104" spans="1:5" outlineLevel="2" x14ac:dyDescent="0.25">
      <c r="A104">
        <v>37500</v>
      </c>
      <c r="B104">
        <v>1993</v>
      </c>
      <c r="C104" s="77">
        <v>30.5</v>
      </c>
      <c r="D104" s="257">
        <v>579915.72</v>
      </c>
      <c r="E104" s="257">
        <f t="shared" si="3"/>
        <v>17687429.460000001</v>
      </c>
    </row>
    <row r="105" spans="1:5" outlineLevel="2" x14ac:dyDescent="0.25">
      <c r="A105">
        <v>37500</v>
      </c>
      <c r="B105">
        <v>1992</v>
      </c>
      <c r="C105" s="77">
        <v>31.5</v>
      </c>
      <c r="D105" s="257">
        <v>74776.08</v>
      </c>
      <c r="E105" s="257">
        <f t="shared" si="3"/>
        <v>2355446.52</v>
      </c>
    </row>
    <row r="106" spans="1:5" outlineLevel="2" x14ac:dyDescent="0.25">
      <c r="A106">
        <v>37500</v>
      </c>
      <c r="B106">
        <v>1991</v>
      </c>
      <c r="C106" s="77">
        <v>32.5</v>
      </c>
      <c r="D106" s="257">
        <v>34420.61</v>
      </c>
      <c r="E106" s="257">
        <f t="shared" ref="E106:E126" si="4">+C106*D106</f>
        <v>1118669.825</v>
      </c>
    </row>
    <row r="107" spans="1:5" outlineLevel="2" x14ac:dyDescent="0.25">
      <c r="A107">
        <v>37500</v>
      </c>
      <c r="B107">
        <v>1990</v>
      </c>
      <c r="C107" s="77">
        <v>33.5</v>
      </c>
      <c r="D107" s="257">
        <v>261229.83</v>
      </c>
      <c r="E107" s="257">
        <f t="shared" si="4"/>
        <v>8751199.3049999997</v>
      </c>
    </row>
    <row r="108" spans="1:5" outlineLevel="2" x14ac:dyDescent="0.25">
      <c r="A108">
        <v>37500</v>
      </c>
      <c r="B108">
        <v>1989</v>
      </c>
      <c r="C108" s="77">
        <v>34.5</v>
      </c>
      <c r="D108" s="257">
        <v>10310.76</v>
      </c>
      <c r="E108" s="257">
        <f t="shared" si="4"/>
        <v>355721.22000000003</v>
      </c>
    </row>
    <row r="109" spans="1:5" outlineLevel="2" x14ac:dyDescent="0.25">
      <c r="A109">
        <v>37500</v>
      </c>
      <c r="B109">
        <v>1988</v>
      </c>
      <c r="C109" s="77">
        <v>35.5</v>
      </c>
      <c r="D109" s="257">
        <v>44231.55</v>
      </c>
      <c r="E109" s="257">
        <f t="shared" si="4"/>
        <v>1570220.0250000001</v>
      </c>
    </row>
    <row r="110" spans="1:5" outlineLevel="2" x14ac:dyDescent="0.25">
      <c r="A110">
        <v>37500</v>
      </c>
      <c r="B110">
        <v>1987</v>
      </c>
      <c r="C110" s="77">
        <v>36.5</v>
      </c>
      <c r="D110" s="257">
        <v>60992.18</v>
      </c>
      <c r="E110" s="257">
        <f t="shared" si="4"/>
        <v>2226214.5699999998</v>
      </c>
    </row>
    <row r="111" spans="1:5" outlineLevel="2" x14ac:dyDescent="0.25">
      <c r="A111">
        <v>37500</v>
      </c>
      <c r="B111">
        <v>1986</v>
      </c>
      <c r="C111" s="77">
        <v>37.5</v>
      </c>
      <c r="D111" s="257">
        <v>2014205.16</v>
      </c>
      <c r="E111" s="257">
        <f t="shared" si="4"/>
        <v>75532693.5</v>
      </c>
    </row>
    <row r="112" spans="1:5" outlineLevel="2" x14ac:dyDescent="0.25">
      <c r="A112">
        <v>37500</v>
      </c>
      <c r="B112">
        <v>1985</v>
      </c>
      <c r="C112" s="77">
        <v>38.5</v>
      </c>
      <c r="D112" s="257">
        <v>94469.78</v>
      </c>
      <c r="E112" s="257">
        <f t="shared" si="4"/>
        <v>3637086.53</v>
      </c>
    </row>
    <row r="113" spans="1:6" outlineLevel="2" x14ac:dyDescent="0.25">
      <c r="A113">
        <v>37500</v>
      </c>
      <c r="B113">
        <v>1984</v>
      </c>
      <c r="C113" s="77">
        <v>39.5</v>
      </c>
      <c r="D113" s="257">
        <v>190895.62</v>
      </c>
      <c r="E113" s="257">
        <f t="shared" si="4"/>
        <v>7540376.9900000002</v>
      </c>
    </row>
    <row r="114" spans="1:6" outlineLevel="2" x14ac:dyDescent="0.25">
      <c r="A114">
        <v>37500</v>
      </c>
      <c r="B114">
        <v>1983</v>
      </c>
      <c r="C114" s="77">
        <v>40.5</v>
      </c>
      <c r="D114" s="257">
        <v>43012.57</v>
      </c>
      <c r="E114" s="257">
        <f t="shared" si="4"/>
        <v>1742009.085</v>
      </c>
    </row>
    <row r="115" spans="1:6" outlineLevel="2" x14ac:dyDescent="0.25">
      <c r="A115">
        <v>37500</v>
      </c>
      <c r="B115">
        <v>1982</v>
      </c>
      <c r="C115" s="77">
        <v>41.5</v>
      </c>
      <c r="D115" s="257">
        <v>1324.83</v>
      </c>
      <c r="E115" s="257">
        <f t="shared" si="4"/>
        <v>54980.445</v>
      </c>
    </row>
    <row r="116" spans="1:6" outlineLevel="2" x14ac:dyDescent="0.25">
      <c r="A116">
        <v>37500</v>
      </c>
      <c r="B116">
        <v>1981</v>
      </c>
      <c r="C116" s="77">
        <v>42.5</v>
      </c>
      <c r="D116" s="257">
        <v>152191.20000000001</v>
      </c>
      <c r="E116" s="257">
        <f t="shared" si="4"/>
        <v>6468126.0000000009</v>
      </c>
    </row>
    <row r="117" spans="1:6" outlineLevel="2" x14ac:dyDescent="0.25">
      <c r="A117">
        <v>37500</v>
      </c>
      <c r="B117">
        <v>1980</v>
      </c>
      <c r="C117" s="77">
        <v>43.5</v>
      </c>
      <c r="D117" s="257">
        <v>9583.74</v>
      </c>
      <c r="E117" s="257">
        <f t="shared" si="4"/>
        <v>416892.69</v>
      </c>
    </row>
    <row r="118" spans="1:6" outlineLevel="2" x14ac:dyDescent="0.25">
      <c r="A118">
        <v>37500</v>
      </c>
      <c r="B118">
        <v>1978</v>
      </c>
      <c r="C118" s="77">
        <v>45.5</v>
      </c>
      <c r="D118" s="257">
        <v>195399.03</v>
      </c>
      <c r="E118" s="257">
        <f t="shared" si="4"/>
        <v>8890655.8650000002</v>
      </c>
    </row>
    <row r="119" spans="1:6" outlineLevel="2" x14ac:dyDescent="0.25">
      <c r="A119">
        <v>37500</v>
      </c>
      <c r="B119">
        <v>1976</v>
      </c>
      <c r="C119" s="77">
        <v>47.5</v>
      </c>
      <c r="D119" s="257">
        <v>10471.11</v>
      </c>
      <c r="E119" s="257">
        <f t="shared" si="4"/>
        <v>497377.72500000003</v>
      </c>
    </row>
    <row r="120" spans="1:6" outlineLevel="2" x14ac:dyDescent="0.25">
      <c r="A120">
        <v>37500</v>
      </c>
      <c r="B120">
        <v>1975</v>
      </c>
      <c r="C120" s="77">
        <v>48.5</v>
      </c>
      <c r="D120" s="257">
        <v>20476.77</v>
      </c>
      <c r="E120" s="257">
        <f t="shared" si="4"/>
        <v>993123.34499999997</v>
      </c>
    </row>
    <row r="121" spans="1:6" outlineLevel="2" x14ac:dyDescent="0.25">
      <c r="A121">
        <v>37500</v>
      </c>
      <c r="B121">
        <v>1974</v>
      </c>
      <c r="C121" s="77">
        <v>49.5</v>
      </c>
      <c r="D121" s="257">
        <v>168528.22</v>
      </c>
      <c r="E121" s="257">
        <f t="shared" si="4"/>
        <v>8342146.8899999997</v>
      </c>
    </row>
    <row r="122" spans="1:6" outlineLevel="2" x14ac:dyDescent="0.25">
      <c r="A122">
        <v>37500</v>
      </c>
      <c r="B122">
        <v>1973</v>
      </c>
      <c r="C122" s="77">
        <v>50.5</v>
      </c>
      <c r="D122" s="257">
        <v>1173.7</v>
      </c>
      <c r="E122" s="257">
        <f t="shared" si="4"/>
        <v>59271.850000000006</v>
      </c>
    </row>
    <row r="123" spans="1:6" outlineLevel="2" x14ac:dyDescent="0.25">
      <c r="A123">
        <v>37500</v>
      </c>
      <c r="B123">
        <v>1971</v>
      </c>
      <c r="C123" s="77">
        <v>52.5</v>
      </c>
      <c r="D123" s="257">
        <v>437.9</v>
      </c>
      <c r="E123" s="257">
        <f t="shared" si="4"/>
        <v>22989.75</v>
      </c>
    </row>
    <row r="124" spans="1:6" outlineLevel="2" x14ac:dyDescent="0.25">
      <c r="A124">
        <v>37500</v>
      </c>
      <c r="B124">
        <v>1969</v>
      </c>
      <c r="C124" s="77">
        <v>54.5</v>
      </c>
      <c r="D124" s="257">
        <v>234</v>
      </c>
      <c r="E124" s="257">
        <f t="shared" si="4"/>
        <v>12753</v>
      </c>
    </row>
    <row r="125" spans="1:6" outlineLevel="2" x14ac:dyDescent="0.25">
      <c r="A125">
        <v>37500</v>
      </c>
      <c r="B125">
        <v>1967</v>
      </c>
      <c r="C125" s="77">
        <v>56.5</v>
      </c>
      <c r="D125" s="257">
        <v>21241.06</v>
      </c>
      <c r="E125" s="257">
        <f t="shared" si="4"/>
        <v>1200119.8900000001</v>
      </c>
    </row>
    <row r="126" spans="1:6" outlineLevel="2" x14ac:dyDescent="0.25">
      <c r="A126">
        <v>37500</v>
      </c>
      <c r="B126">
        <v>1966</v>
      </c>
      <c r="C126" s="77">
        <v>57.5</v>
      </c>
      <c r="D126" s="257">
        <v>2326.0500000000002</v>
      </c>
      <c r="E126" s="257">
        <f t="shared" si="4"/>
        <v>133747.875</v>
      </c>
    </row>
    <row r="127" spans="1:6" ht="13" outlineLevel="1" x14ac:dyDescent="0.3">
      <c r="A127" s="18" t="s">
        <v>1180</v>
      </c>
      <c r="C127" s="77" t="s">
        <v>1229</v>
      </c>
      <c r="D127" s="257">
        <f>SUBTOTAL(9,D74:D126)</f>
        <v>31386680.029999983</v>
      </c>
      <c r="E127" s="257">
        <f>SUBTOTAL(9,E74:E126)</f>
        <v>444877555.25499988</v>
      </c>
      <c r="F127" s="257">
        <f>+E127/D127</f>
        <v>14.17408769674835</v>
      </c>
    </row>
    <row r="128" spans="1:6" outlineLevel="2" x14ac:dyDescent="0.25">
      <c r="A128">
        <v>37600</v>
      </c>
      <c r="B128">
        <v>2023</v>
      </c>
      <c r="C128" s="77">
        <v>0.5</v>
      </c>
      <c r="D128" s="257">
        <v>91298946.5</v>
      </c>
      <c r="E128" s="257">
        <f t="shared" ref="E128:E159" si="5">+C128*D128</f>
        <v>45649473.25</v>
      </c>
    </row>
    <row r="129" spans="1:5" outlineLevel="2" x14ac:dyDescent="0.25">
      <c r="A129">
        <v>37600</v>
      </c>
      <c r="B129">
        <v>2022</v>
      </c>
      <c r="C129" s="77">
        <v>1.5</v>
      </c>
      <c r="D129" s="257">
        <v>59588526.219999999</v>
      </c>
      <c r="E129" s="257">
        <f t="shared" si="5"/>
        <v>89382789.329999998</v>
      </c>
    </row>
    <row r="130" spans="1:5" outlineLevel="2" x14ac:dyDescent="0.25">
      <c r="A130">
        <v>37600</v>
      </c>
      <c r="B130">
        <v>2021</v>
      </c>
      <c r="C130" s="77">
        <v>2.5</v>
      </c>
      <c r="D130" s="257">
        <v>106265901.90000001</v>
      </c>
      <c r="E130" s="257">
        <f t="shared" si="5"/>
        <v>265664754.75</v>
      </c>
    </row>
    <row r="131" spans="1:5" outlineLevel="2" x14ac:dyDescent="0.25">
      <c r="A131">
        <v>37600</v>
      </c>
      <c r="B131">
        <v>2020</v>
      </c>
      <c r="C131" s="77">
        <v>3.5</v>
      </c>
      <c r="D131" s="257">
        <v>84148547.469999999</v>
      </c>
      <c r="E131" s="257">
        <f t="shared" si="5"/>
        <v>294519916.14499998</v>
      </c>
    </row>
    <row r="132" spans="1:5" outlineLevel="2" x14ac:dyDescent="0.25">
      <c r="A132">
        <v>37600</v>
      </c>
      <c r="B132">
        <v>2019</v>
      </c>
      <c r="C132" s="77">
        <v>4.5</v>
      </c>
      <c r="D132" s="257">
        <v>29404985.100000001</v>
      </c>
      <c r="E132" s="257">
        <f t="shared" si="5"/>
        <v>132322432.95</v>
      </c>
    </row>
    <row r="133" spans="1:5" outlineLevel="2" x14ac:dyDescent="0.25">
      <c r="A133">
        <v>37600</v>
      </c>
      <c r="B133">
        <v>2018</v>
      </c>
      <c r="C133" s="77">
        <v>5.5</v>
      </c>
      <c r="D133" s="257">
        <v>24548208.260000002</v>
      </c>
      <c r="E133" s="257">
        <f t="shared" si="5"/>
        <v>135015145.43000001</v>
      </c>
    </row>
    <row r="134" spans="1:5" outlineLevel="2" x14ac:dyDescent="0.25">
      <c r="A134">
        <v>37600</v>
      </c>
      <c r="B134">
        <v>2017</v>
      </c>
      <c r="C134" s="77">
        <v>6.5</v>
      </c>
      <c r="D134" s="257">
        <v>25014029.719999999</v>
      </c>
      <c r="E134" s="257">
        <f t="shared" si="5"/>
        <v>162591193.18000001</v>
      </c>
    </row>
    <row r="135" spans="1:5" outlineLevel="2" x14ac:dyDescent="0.25">
      <c r="A135">
        <v>37600</v>
      </c>
      <c r="B135">
        <v>2016</v>
      </c>
      <c r="C135" s="77">
        <v>7.5</v>
      </c>
      <c r="D135" s="257">
        <v>29365010.199999999</v>
      </c>
      <c r="E135" s="257">
        <f t="shared" si="5"/>
        <v>220237576.5</v>
      </c>
    </row>
    <row r="136" spans="1:5" outlineLevel="2" x14ac:dyDescent="0.25">
      <c r="A136">
        <v>37600</v>
      </c>
      <c r="B136">
        <v>2015</v>
      </c>
      <c r="C136" s="77">
        <v>8.5</v>
      </c>
      <c r="D136" s="257">
        <v>8681159</v>
      </c>
      <c r="E136" s="257">
        <f t="shared" si="5"/>
        <v>73789851.5</v>
      </c>
    </row>
    <row r="137" spans="1:5" outlineLevel="2" x14ac:dyDescent="0.25">
      <c r="A137">
        <v>37600</v>
      </c>
      <c r="B137">
        <v>2014</v>
      </c>
      <c r="C137" s="77">
        <v>9.5</v>
      </c>
      <c r="D137" s="257">
        <v>16693976.66</v>
      </c>
      <c r="E137" s="257">
        <f t="shared" si="5"/>
        <v>158592778.27000001</v>
      </c>
    </row>
    <row r="138" spans="1:5" outlineLevel="2" x14ac:dyDescent="0.25">
      <c r="A138">
        <v>37600</v>
      </c>
      <c r="B138">
        <v>2013</v>
      </c>
      <c r="C138" s="77">
        <v>10.5</v>
      </c>
      <c r="D138" s="257">
        <v>36108503.880000003</v>
      </c>
      <c r="E138" s="257">
        <f t="shared" si="5"/>
        <v>379139290.74000001</v>
      </c>
    </row>
    <row r="139" spans="1:5" outlineLevel="2" x14ac:dyDescent="0.25">
      <c r="A139">
        <v>37600</v>
      </c>
      <c r="B139">
        <v>2012</v>
      </c>
      <c r="C139" s="77">
        <v>11.5</v>
      </c>
      <c r="D139" s="257">
        <v>14835653.58</v>
      </c>
      <c r="E139" s="257">
        <f t="shared" si="5"/>
        <v>170610016.16999999</v>
      </c>
    </row>
    <row r="140" spans="1:5" outlineLevel="2" x14ac:dyDescent="0.25">
      <c r="A140">
        <v>37600</v>
      </c>
      <c r="B140">
        <v>2011</v>
      </c>
      <c r="C140" s="77">
        <v>12.5</v>
      </c>
      <c r="D140" s="257">
        <v>12473481.300000001</v>
      </c>
      <c r="E140" s="257">
        <f t="shared" si="5"/>
        <v>155918516.25</v>
      </c>
    </row>
    <row r="141" spans="1:5" outlineLevel="2" x14ac:dyDescent="0.25">
      <c r="A141">
        <v>37600</v>
      </c>
      <c r="B141">
        <v>2010</v>
      </c>
      <c r="C141" s="77">
        <v>13.5</v>
      </c>
      <c r="D141" s="257">
        <v>27833077.359999999</v>
      </c>
      <c r="E141" s="257">
        <f t="shared" si="5"/>
        <v>375746544.36000001</v>
      </c>
    </row>
    <row r="142" spans="1:5" outlineLevel="2" x14ac:dyDescent="0.25">
      <c r="A142">
        <v>37600</v>
      </c>
      <c r="B142">
        <v>2009</v>
      </c>
      <c r="C142" s="77">
        <v>14.5</v>
      </c>
      <c r="D142" s="257">
        <v>26291133.809999999</v>
      </c>
      <c r="E142" s="257">
        <f t="shared" si="5"/>
        <v>381221440.245</v>
      </c>
    </row>
    <row r="143" spans="1:5" outlineLevel="2" x14ac:dyDescent="0.25">
      <c r="A143">
        <v>37600</v>
      </c>
      <c r="B143">
        <v>2008</v>
      </c>
      <c r="C143" s="77">
        <v>15.5</v>
      </c>
      <c r="D143" s="257">
        <v>5045352.28</v>
      </c>
      <c r="E143" s="257">
        <f t="shared" si="5"/>
        <v>78202960.340000004</v>
      </c>
    </row>
    <row r="144" spans="1:5" outlineLevel="2" x14ac:dyDescent="0.25">
      <c r="A144">
        <v>37600</v>
      </c>
      <c r="B144">
        <v>2007</v>
      </c>
      <c r="C144" s="77">
        <v>16.5</v>
      </c>
      <c r="D144" s="257">
        <v>4182324.87</v>
      </c>
      <c r="E144" s="257">
        <f t="shared" si="5"/>
        <v>69008360.355000004</v>
      </c>
    </row>
    <row r="145" spans="1:5" outlineLevel="2" x14ac:dyDescent="0.25">
      <c r="A145">
        <v>37600</v>
      </c>
      <c r="B145">
        <v>2006</v>
      </c>
      <c r="C145" s="77">
        <v>17.5</v>
      </c>
      <c r="D145" s="257">
        <v>5975408.9100000001</v>
      </c>
      <c r="E145" s="257">
        <f t="shared" si="5"/>
        <v>104569655.925</v>
      </c>
    </row>
    <row r="146" spans="1:5" outlineLevel="2" x14ac:dyDescent="0.25">
      <c r="A146">
        <v>37600</v>
      </c>
      <c r="B146">
        <v>2005</v>
      </c>
      <c r="C146" s="77">
        <v>18.5</v>
      </c>
      <c r="D146" s="257">
        <v>3502683.06</v>
      </c>
      <c r="E146" s="257">
        <f t="shared" si="5"/>
        <v>64799636.609999999</v>
      </c>
    </row>
    <row r="147" spans="1:5" outlineLevel="2" x14ac:dyDescent="0.25">
      <c r="A147">
        <v>37600</v>
      </c>
      <c r="B147">
        <v>2004</v>
      </c>
      <c r="C147" s="77">
        <v>19.5</v>
      </c>
      <c r="D147" s="257">
        <v>3582034.99</v>
      </c>
      <c r="E147" s="257">
        <f t="shared" si="5"/>
        <v>69849682.305000007</v>
      </c>
    </row>
    <row r="148" spans="1:5" outlineLevel="2" x14ac:dyDescent="0.25">
      <c r="A148">
        <v>37600</v>
      </c>
      <c r="B148">
        <v>2003</v>
      </c>
      <c r="C148" s="77">
        <v>20.5</v>
      </c>
      <c r="D148" s="257">
        <v>6676236.9100000001</v>
      </c>
      <c r="E148" s="257">
        <f t="shared" si="5"/>
        <v>136862856.655</v>
      </c>
    </row>
    <row r="149" spans="1:5" outlineLevel="2" x14ac:dyDescent="0.25">
      <c r="A149">
        <v>37600</v>
      </c>
      <c r="B149">
        <v>2002</v>
      </c>
      <c r="C149" s="77">
        <v>21.5</v>
      </c>
      <c r="D149" s="257">
        <v>7192891.7000000002</v>
      </c>
      <c r="E149" s="257">
        <f t="shared" si="5"/>
        <v>154647171.55000001</v>
      </c>
    </row>
    <row r="150" spans="1:5" outlineLevel="2" x14ac:dyDescent="0.25">
      <c r="A150">
        <v>37600</v>
      </c>
      <c r="B150">
        <v>2001</v>
      </c>
      <c r="C150" s="77">
        <v>22.5</v>
      </c>
      <c r="D150" s="257">
        <v>18221210.969999999</v>
      </c>
      <c r="E150" s="257">
        <f t="shared" si="5"/>
        <v>409977246.82499999</v>
      </c>
    </row>
    <row r="151" spans="1:5" outlineLevel="2" x14ac:dyDescent="0.25">
      <c r="A151">
        <v>37600</v>
      </c>
      <c r="B151">
        <v>2000</v>
      </c>
      <c r="C151" s="77">
        <v>23.5</v>
      </c>
      <c r="D151" s="257">
        <v>17050968.489999998</v>
      </c>
      <c r="E151" s="257">
        <f t="shared" si="5"/>
        <v>400697759.51499999</v>
      </c>
    </row>
    <row r="152" spans="1:5" outlineLevel="2" x14ac:dyDescent="0.25">
      <c r="A152">
        <v>37600</v>
      </c>
      <c r="B152">
        <v>1999</v>
      </c>
      <c r="C152" s="77">
        <v>24.5</v>
      </c>
      <c r="D152" s="257">
        <v>28143824.899999999</v>
      </c>
      <c r="E152" s="257">
        <f t="shared" si="5"/>
        <v>689523710.04999995</v>
      </c>
    </row>
    <row r="153" spans="1:5" outlineLevel="2" x14ac:dyDescent="0.25">
      <c r="A153">
        <v>37600</v>
      </c>
      <c r="B153">
        <v>1998</v>
      </c>
      <c r="C153" s="77">
        <v>25.5</v>
      </c>
      <c r="D153" s="257">
        <v>12946362.83</v>
      </c>
      <c r="E153" s="257">
        <f t="shared" si="5"/>
        <v>330132252.16500002</v>
      </c>
    </row>
    <row r="154" spans="1:5" outlineLevel="2" x14ac:dyDescent="0.25">
      <c r="A154">
        <v>37600</v>
      </c>
      <c r="B154">
        <v>1997</v>
      </c>
      <c r="C154" s="77">
        <v>26.5</v>
      </c>
      <c r="D154" s="257">
        <v>5123444.37</v>
      </c>
      <c r="E154" s="257">
        <f t="shared" si="5"/>
        <v>135771275.80500001</v>
      </c>
    </row>
    <row r="155" spans="1:5" outlineLevel="2" x14ac:dyDescent="0.25">
      <c r="A155">
        <v>37600</v>
      </c>
      <c r="B155">
        <v>1996</v>
      </c>
      <c r="C155" s="77">
        <v>27.5</v>
      </c>
      <c r="D155" s="257">
        <v>3389592.79</v>
      </c>
      <c r="E155" s="257">
        <f t="shared" si="5"/>
        <v>93213801.724999994</v>
      </c>
    </row>
    <row r="156" spans="1:5" outlineLevel="2" x14ac:dyDescent="0.25">
      <c r="A156">
        <v>37600</v>
      </c>
      <c r="B156">
        <v>1995</v>
      </c>
      <c r="C156" s="77">
        <v>28.5</v>
      </c>
      <c r="D156" s="257">
        <v>7665962.3799999999</v>
      </c>
      <c r="E156" s="257">
        <f t="shared" si="5"/>
        <v>218479927.82999998</v>
      </c>
    </row>
    <row r="157" spans="1:5" outlineLevel="2" x14ac:dyDescent="0.25">
      <c r="A157">
        <v>37600</v>
      </c>
      <c r="B157">
        <v>1994</v>
      </c>
      <c r="C157" s="77">
        <v>29.5</v>
      </c>
      <c r="D157" s="257">
        <v>3643372.72</v>
      </c>
      <c r="E157" s="257">
        <f t="shared" si="5"/>
        <v>107479495.24000001</v>
      </c>
    </row>
    <row r="158" spans="1:5" outlineLevel="2" x14ac:dyDescent="0.25">
      <c r="A158">
        <v>37600</v>
      </c>
      <c r="B158">
        <v>1993</v>
      </c>
      <c r="C158" s="77">
        <v>30.5</v>
      </c>
      <c r="D158" s="257">
        <v>3468298.06</v>
      </c>
      <c r="E158" s="257">
        <f t="shared" si="5"/>
        <v>105783090.83</v>
      </c>
    </row>
    <row r="159" spans="1:5" outlineLevel="2" x14ac:dyDescent="0.25">
      <c r="A159">
        <v>37600</v>
      </c>
      <c r="B159">
        <v>1992</v>
      </c>
      <c r="C159" s="77">
        <v>31.5</v>
      </c>
      <c r="D159" s="257">
        <v>3164410.09</v>
      </c>
      <c r="E159" s="257">
        <f t="shared" si="5"/>
        <v>99678917.834999993</v>
      </c>
    </row>
    <row r="160" spans="1:5" outlineLevel="2" x14ac:dyDescent="0.25">
      <c r="A160">
        <v>37600</v>
      </c>
      <c r="B160">
        <v>1991</v>
      </c>
      <c r="C160" s="77">
        <v>32.5</v>
      </c>
      <c r="D160" s="257">
        <v>13714329.25</v>
      </c>
      <c r="E160" s="257">
        <f t="shared" ref="E160:E191" si="6">+C160*D160</f>
        <v>445715700.625</v>
      </c>
    </row>
    <row r="161" spans="1:5" outlineLevel="2" x14ac:dyDescent="0.25">
      <c r="A161">
        <v>37600</v>
      </c>
      <c r="B161">
        <v>1990</v>
      </c>
      <c r="C161" s="77">
        <v>33.5</v>
      </c>
      <c r="D161" s="257">
        <v>3606303.17</v>
      </c>
      <c r="E161" s="257">
        <f t="shared" si="6"/>
        <v>120811156.19499999</v>
      </c>
    </row>
    <row r="162" spans="1:5" outlineLevel="2" x14ac:dyDescent="0.25">
      <c r="A162">
        <v>37600</v>
      </c>
      <c r="B162">
        <v>1989</v>
      </c>
      <c r="C162" s="77">
        <v>34.5</v>
      </c>
      <c r="D162" s="257">
        <v>3272556.61</v>
      </c>
      <c r="E162" s="257">
        <f t="shared" si="6"/>
        <v>112903203.045</v>
      </c>
    </row>
    <row r="163" spans="1:5" outlineLevel="2" x14ac:dyDescent="0.25">
      <c r="A163">
        <v>37600</v>
      </c>
      <c r="B163">
        <v>1988</v>
      </c>
      <c r="C163" s="77">
        <v>35.5</v>
      </c>
      <c r="D163" s="257">
        <v>5462988.1200000001</v>
      </c>
      <c r="E163" s="257">
        <f t="shared" si="6"/>
        <v>193936078.25999999</v>
      </c>
    </row>
    <row r="164" spans="1:5" outlineLevel="2" x14ac:dyDescent="0.25">
      <c r="A164">
        <v>37600</v>
      </c>
      <c r="B164">
        <v>1987</v>
      </c>
      <c r="C164" s="77">
        <v>36.5</v>
      </c>
      <c r="D164" s="257">
        <v>2781812.57</v>
      </c>
      <c r="E164" s="257">
        <f t="shared" si="6"/>
        <v>101536158.80499999</v>
      </c>
    </row>
    <row r="165" spans="1:5" outlineLevel="2" x14ac:dyDescent="0.25">
      <c r="A165">
        <v>37600</v>
      </c>
      <c r="B165">
        <v>1986</v>
      </c>
      <c r="C165" s="77">
        <v>37.5</v>
      </c>
      <c r="D165" s="257">
        <v>7785582.6200000001</v>
      </c>
      <c r="E165" s="257">
        <f t="shared" si="6"/>
        <v>291959348.25</v>
      </c>
    </row>
    <row r="166" spans="1:5" outlineLevel="2" x14ac:dyDescent="0.25">
      <c r="A166">
        <v>37600</v>
      </c>
      <c r="B166">
        <v>1985</v>
      </c>
      <c r="C166" s="77">
        <v>38.5</v>
      </c>
      <c r="D166" s="257">
        <v>2225592.44</v>
      </c>
      <c r="E166" s="257">
        <f t="shared" si="6"/>
        <v>85685308.939999998</v>
      </c>
    </row>
    <row r="167" spans="1:5" outlineLevel="2" x14ac:dyDescent="0.25">
      <c r="A167">
        <v>37600</v>
      </c>
      <c r="B167">
        <v>1984</v>
      </c>
      <c r="C167" s="77">
        <v>39.5</v>
      </c>
      <c r="D167" s="257">
        <v>2912319.08</v>
      </c>
      <c r="E167" s="257">
        <f t="shared" si="6"/>
        <v>115036603.66</v>
      </c>
    </row>
    <row r="168" spans="1:5" outlineLevel="2" x14ac:dyDescent="0.25">
      <c r="A168">
        <v>37600</v>
      </c>
      <c r="B168">
        <v>1983</v>
      </c>
      <c r="C168" s="77">
        <v>40.5</v>
      </c>
      <c r="D168" s="257">
        <v>2577191.7599999998</v>
      </c>
      <c r="E168" s="257">
        <f t="shared" si="6"/>
        <v>104376266.27999999</v>
      </c>
    </row>
    <row r="169" spans="1:5" outlineLevel="2" x14ac:dyDescent="0.25">
      <c r="A169">
        <v>37600</v>
      </c>
      <c r="B169">
        <v>1982</v>
      </c>
      <c r="C169" s="77">
        <v>41.5</v>
      </c>
      <c r="D169" s="257">
        <v>2316681.39</v>
      </c>
      <c r="E169" s="257">
        <f t="shared" si="6"/>
        <v>96142277.685000002</v>
      </c>
    </row>
    <row r="170" spans="1:5" outlineLevel="2" x14ac:dyDescent="0.25">
      <c r="A170">
        <v>37600</v>
      </c>
      <c r="B170">
        <v>1981</v>
      </c>
      <c r="C170" s="77">
        <v>42.5</v>
      </c>
      <c r="D170" s="257">
        <v>4298462.59</v>
      </c>
      <c r="E170" s="257">
        <f t="shared" si="6"/>
        <v>182684660.07499999</v>
      </c>
    </row>
    <row r="171" spans="1:5" outlineLevel="2" x14ac:dyDescent="0.25">
      <c r="A171">
        <v>37600</v>
      </c>
      <c r="B171">
        <v>1980</v>
      </c>
      <c r="C171" s="77">
        <v>43.5</v>
      </c>
      <c r="D171" s="257">
        <v>2603156.4300000002</v>
      </c>
      <c r="E171" s="257">
        <f t="shared" si="6"/>
        <v>113237304.70500001</v>
      </c>
    </row>
    <row r="172" spans="1:5" outlineLevel="2" x14ac:dyDescent="0.25">
      <c r="A172">
        <v>37600</v>
      </c>
      <c r="B172">
        <v>1979</v>
      </c>
      <c r="C172" s="77">
        <v>44.5</v>
      </c>
      <c r="D172" s="257">
        <v>3198732.22</v>
      </c>
      <c r="E172" s="257">
        <f t="shared" si="6"/>
        <v>142343583.79000002</v>
      </c>
    </row>
    <row r="173" spans="1:5" outlineLevel="2" x14ac:dyDescent="0.25">
      <c r="A173">
        <v>37600</v>
      </c>
      <c r="B173">
        <v>1978</v>
      </c>
      <c r="C173" s="77">
        <v>45.5</v>
      </c>
      <c r="D173" s="257">
        <v>3089228.06</v>
      </c>
      <c r="E173" s="257">
        <f t="shared" si="6"/>
        <v>140559876.72999999</v>
      </c>
    </row>
    <row r="174" spans="1:5" outlineLevel="2" x14ac:dyDescent="0.25">
      <c r="A174">
        <v>37600</v>
      </c>
      <c r="B174">
        <v>1977</v>
      </c>
      <c r="C174" s="77">
        <v>46.5</v>
      </c>
      <c r="D174" s="257">
        <v>1523530.52</v>
      </c>
      <c r="E174" s="257">
        <f t="shared" si="6"/>
        <v>70844169.180000007</v>
      </c>
    </row>
    <row r="175" spans="1:5" outlineLevel="2" x14ac:dyDescent="0.25">
      <c r="A175">
        <v>37600</v>
      </c>
      <c r="B175">
        <v>1976</v>
      </c>
      <c r="C175" s="77">
        <v>47.5</v>
      </c>
      <c r="D175" s="257">
        <v>1782562.2</v>
      </c>
      <c r="E175" s="257">
        <f t="shared" si="6"/>
        <v>84671704.5</v>
      </c>
    </row>
    <row r="176" spans="1:5" outlineLevel="2" x14ac:dyDescent="0.25">
      <c r="A176">
        <v>37600</v>
      </c>
      <c r="B176">
        <v>1975</v>
      </c>
      <c r="C176" s="77">
        <v>48.5</v>
      </c>
      <c r="D176" s="257">
        <v>2327388</v>
      </c>
      <c r="E176" s="257">
        <f t="shared" si="6"/>
        <v>112878318</v>
      </c>
    </row>
    <row r="177" spans="1:5" outlineLevel="2" x14ac:dyDescent="0.25">
      <c r="A177">
        <v>37600</v>
      </c>
      <c r="B177">
        <v>1974</v>
      </c>
      <c r="C177" s="77">
        <v>49.5</v>
      </c>
      <c r="D177" s="257">
        <v>3379567.11</v>
      </c>
      <c r="E177" s="257">
        <f t="shared" si="6"/>
        <v>167288571.94499999</v>
      </c>
    </row>
    <row r="178" spans="1:5" outlineLevel="2" x14ac:dyDescent="0.25">
      <c r="A178">
        <v>37600</v>
      </c>
      <c r="B178">
        <v>1973</v>
      </c>
      <c r="C178" s="77">
        <v>50.5</v>
      </c>
      <c r="D178" s="257">
        <v>2967031.95</v>
      </c>
      <c r="E178" s="257">
        <f t="shared" si="6"/>
        <v>149835113.47500002</v>
      </c>
    </row>
    <row r="179" spans="1:5" outlineLevel="2" x14ac:dyDescent="0.25">
      <c r="A179">
        <v>37600</v>
      </c>
      <c r="B179">
        <v>1972</v>
      </c>
      <c r="C179" s="77">
        <v>51.5</v>
      </c>
      <c r="D179" s="257">
        <v>1826425.84</v>
      </c>
      <c r="E179" s="257">
        <f t="shared" si="6"/>
        <v>94060930.760000005</v>
      </c>
    </row>
    <row r="180" spans="1:5" outlineLevel="2" x14ac:dyDescent="0.25">
      <c r="A180">
        <v>37600</v>
      </c>
      <c r="B180">
        <v>1971</v>
      </c>
      <c r="C180" s="77">
        <v>52.5</v>
      </c>
      <c r="D180" s="257">
        <v>1731354.86</v>
      </c>
      <c r="E180" s="257">
        <f t="shared" si="6"/>
        <v>90896130.150000006</v>
      </c>
    </row>
    <row r="181" spans="1:5" outlineLevel="2" x14ac:dyDescent="0.25">
      <c r="A181">
        <v>37600</v>
      </c>
      <c r="B181">
        <v>1970</v>
      </c>
      <c r="C181" s="77">
        <v>53.5</v>
      </c>
      <c r="D181" s="257">
        <v>2280716.86</v>
      </c>
      <c r="E181" s="257">
        <f t="shared" si="6"/>
        <v>122018352.00999999</v>
      </c>
    </row>
    <row r="182" spans="1:5" outlineLevel="2" x14ac:dyDescent="0.25">
      <c r="A182">
        <v>37600</v>
      </c>
      <c r="B182">
        <v>1969</v>
      </c>
      <c r="C182" s="77">
        <v>54.5</v>
      </c>
      <c r="D182" s="257">
        <v>1680713.46</v>
      </c>
      <c r="E182" s="257">
        <f t="shared" si="6"/>
        <v>91598883.569999993</v>
      </c>
    </row>
    <row r="183" spans="1:5" outlineLevel="2" x14ac:dyDescent="0.25">
      <c r="A183">
        <v>37600</v>
      </c>
      <c r="B183">
        <v>1968</v>
      </c>
      <c r="C183" s="77">
        <v>55.5</v>
      </c>
      <c r="D183" s="257">
        <v>2399997</v>
      </c>
      <c r="E183" s="257">
        <f t="shared" si="6"/>
        <v>133199833.5</v>
      </c>
    </row>
    <row r="184" spans="1:5" outlineLevel="2" x14ac:dyDescent="0.25">
      <c r="A184">
        <v>37600</v>
      </c>
      <c r="B184">
        <v>1967</v>
      </c>
      <c r="C184" s="77">
        <v>56.5</v>
      </c>
      <c r="D184" s="257">
        <v>1654475.77</v>
      </c>
      <c r="E184" s="257">
        <f t="shared" si="6"/>
        <v>93477881.004999995</v>
      </c>
    </row>
    <row r="185" spans="1:5" outlineLevel="2" x14ac:dyDescent="0.25">
      <c r="A185">
        <v>37600</v>
      </c>
      <c r="B185">
        <v>1966</v>
      </c>
      <c r="C185" s="77">
        <v>57.5</v>
      </c>
      <c r="D185" s="257">
        <v>864612.42</v>
      </c>
      <c r="E185" s="257">
        <f t="shared" si="6"/>
        <v>49715214.150000006</v>
      </c>
    </row>
    <row r="186" spans="1:5" outlineLevel="2" x14ac:dyDescent="0.25">
      <c r="A186">
        <v>37600</v>
      </c>
      <c r="B186">
        <v>1965</v>
      </c>
      <c r="C186" s="77">
        <v>58.5</v>
      </c>
      <c r="D186" s="257">
        <v>1031992.36</v>
      </c>
      <c r="E186" s="257">
        <f t="shared" si="6"/>
        <v>60371553.060000002</v>
      </c>
    </row>
    <row r="187" spans="1:5" outlineLevel="2" x14ac:dyDescent="0.25">
      <c r="A187">
        <v>37600</v>
      </c>
      <c r="B187">
        <v>1964</v>
      </c>
      <c r="C187" s="77">
        <v>59.5</v>
      </c>
      <c r="D187" s="257">
        <v>900359.68000000005</v>
      </c>
      <c r="E187" s="257">
        <f t="shared" si="6"/>
        <v>53571400.960000001</v>
      </c>
    </row>
    <row r="188" spans="1:5" outlineLevel="2" x14ac:dyDescent="0.25">
      <c r="A188">
        <v>37600</v>
      </c>
      <c r="B188">
        <v>1963</v>
      </c>
      <c r="C188" s="77">
        <v>60.5</v>
      </c>
      <c r="D188" s="257">
        <v>688981.37</v>
      </c>
      <c r="E188" s="257">
        <f t="shared" si="6"/>
        <v>41683372.884999998</v>
      </c>
    </row>
    <row r="189" spans="1:5" outlineLevel="2" x14ac:dyDescent="0.25">
      <c r="A189">
        <v>37600</v>
      </c>
      <c r="B189">
        <v>1962</v>
      </c>
      <c r="C189" s="77">
        <v>61.5</v>
      </c>
      <c r="D189" s="257">
        <v>586111.81999999995</v>
      </c>
      <c r="E189" s="257">
        <f t="shared" si="6"/>
        <v>36045876.93</v>
      </c>
    </row>
    <row r="190" spans="1:5" outlineLevel="2" x14ac:dyDescent="0.25">
      <c r="A190">
        <v>37600</v>
      </c>
      <c r="B190">
        <v>1961</v>
      </c>
      <c r="C190" s="77">
        <v>62.5</v>
      </c>
      <c r="D190" s="257">
        <v>488769.68</v>
      </c>
      <c r="E190" s="257">
        <f t="shared" si="6"/>
        <v>30548105</v>
      </c>
    </row>
    <row r="191" spans="1:5" outlineLevel="2" x14ac:dyDescent="0.25">
      <c r="A191">
        <v>37600</v>
      </c>
      <c r="B191">
        <v>1960</v>
      </c>
      <c r="C191" s="77">
        <v>63.5</v>
      </c>
      <c r="D191" s="257">
        <v>2271714.2000000002</v>
      </c>
      <c r="E191" s="257">
        <f t="shared" si="6"/>
        <v>144253851.70000002</v>
      </c>
    </row>
    <row r="192" spans="1:5" outlineLevel="2" x14ac:dyDescent="0.25">
      <c r="A192">
        <v>37600</v>
      </c>
      <c r="B192">
        <v>1959</v>
      </c>
      <c r="C192" s="77">
        <v>64.5</v>
      </c>
      <c r="D192" s="257">
        <v>1864660.07</v>
      </c>
      <c r="E192" s="257">
        <f t="shared" ref="E192:E199" si="7">+C192*D192</f>
        <v>120270574.515</v>
      </c>
    </row>
    <row r="193" spans="1:6" outlineLevel="2" x14ac:dyDescent="0.25">
      <c r="A193">
        <v>37600</v>
      </c>
      <c r="B193">
        <v>1958</v>
      </c>
      <c r="C193" s="77">
        <v>65.5</v>
      </c>
      <c r="D193" s="257">
        <v>1637628.63</v>
      </c>
      <c r="E193" s="257">
        <f t="shared" si="7"/>
        <v>107264675.26499999</v>
      </c>
    </row>
    <row r="194" spans="1:6" outlineLevel="2" x14ac:dyDescent="0.25">
      <c r="A194">
        <v>37600</v>
      </c>
      <c r="B194">
        <v>1957</v>
      </c>
      <c r="C194" s="77">
        <v>66.5</v>
      </c>
      <c r="D194" s="257">
        <v>338124.32</v>
      </c>
      <c r="E194" s="257">
        <f t="shared" si="7"/>
        <v>22485267.280000001</v>
      </c>
    </row>
    <row r="195" spans="1:6" outlineLevel="2" x14ac:dyDescent="0.25">
      <c r="A195">
        <v>37600</v>
      </c>
      <c r="B195">
        <v>1956</v>
      </c>
      <c r="C195" s="77">
        <v>67.5</v>
      </c>
      <c r="D195" s="257">
        <v>245928.86</v>
      </c>
      <c r="E195" s="257">
        <f t="shared" si="7"/>
        <v>16600198.049999999</v>
      </c>
    </row>
    <row r="196" spans="1:6" outlineLevel="2" x14ac:dyDescent="0.25">
      <c r="A196">
        <v>37600</v>
      </c>
      <c r="B196">
        <v>1955</v>
      </c>
      <c r="C196" s="77">
        <v>68.5</v>
      </c>
      <c r="D196" s="257">
        <v>103607.12</v>
      </c>
      <c r="E196" s="257">
        <f t="shared" si="7"/>
        <v>7097087.7199999997</v>
      </c>
    </row>
    <row r="197" spans="1:6" outlineLevel="2" x14ac:dyDescent="0.25">
      <c r="A197">
        <v>37600</v>
      </c>
      <c r="B197">
        <v>1954</v>
      </c>
      <c r="C197" s="77">
        <v>69.5</v>
      </c>
      <c r="D197" s="257">
        <v>136957.85</v>
      </c>
      <c r="E197" s="257">
        <f t="shared" si="7"/>
        <v>9518570.5750000011</v>
      </c>
    </row>
    <row r="198" spans="1:6" outlineLevel="2" x14ac:dyDescent="0.25">
      <c r="A198">
        <v>37600</v>
      </c>
      <c r="B198">
        <v>1953</v>
      </c>
      <c r="C198" s="77">
        <v>70.5</v>
      </c>
      <c r="D198" s="257">
        <v>147668.98000000001</v>
      </c>
      <c r="E198" s="257">
        <f t="shared" si="7"/>
        <v>10410663.09</v>
      </c>
    </row>
    <row r="199" spans="1:6" outlineLevel="2" x14ac:dyDescent="0.25">
      <c r="A199">
        <v>37600</v>
      </c>
      <c r="B199">
        <v>1952</v>
      </c>
      <c r="C199" s="77">
        <v>71.5</v>
      </c>
      <c r="D199" s="257">
        <v>60742.65</v>
      </c>
      <c r="E199" s="257">
        <f t="shared" si="7"/>
        <v>4343099.4750000006</v>
      </c>
    </row>
    <row r="200" spans="1:6" ht="13" outlineLevel="1" x14ac:dyDescent="0.3">
      <c r="A200" s="18" t="s">
        <v>1181</v>
      </c>
      <c r="C200" s="77">
        <f t="shared" ref="C200:C241" si="8">2023.5-B200</f>
        <v>2023.5</v>
      </c>
      <c r="D200" s="257">
        <f>SUBTOTAL(9,D128:D199)</f>
        <v>826292081.17000031</v>
      </c>
      <c r="E200" s="257">
        <f>SUBTOTAL(9,E128:E199)</f>
        <v>10480956446.424997</v>
      </c>
      <c r="F200" s="257">
        <f>+E200/D200</f>
        <v>12.68432396397208</v>
      </c>
    </row>
    <row r="201" spans="1:6" outlineLevel="2" x14ac:dyDescent="0.25">
      <c r="A201">
        <v>37602</v>
      </c>
      <c r="B201">
        <v>2023</v>
      </c>
      <c r="C201" s="77">
        <v>0.5</v>
      </c>
      <c r="D201" s="257">
        <v>227207007.90000001</v>
      </c>
      <c r="E201" s="257">
        <f t="shared" ref="E201:E238" si="9">+C201*D201</f>
        <v>113603503.95</v>
      </c>
    </row>
    <row r="202" spans="1:6" outlineLevel="2" x14ac:dyDescent="0.25">
      <c r="A202">
        <v>37602</v>
      </c>
      <c r="B202">
        <v>2022</v>
      </c>
      <c r="C202" s="77">
        <v>1.5</v>
      </c>
      <c r="D202" s="257">
        <v>38039872.810000002</v>
      </c>
      <c r="E202" s="257">
        <f t="shared" si="9"/>
        <v>57059809.215000004</v>
      </c>
    </row>
    <row r="203" spans="1:6" outlineLevel="2" x14ac:dyDescent="0.25">
      <c r="A203">
        <v>37602</v>
      </c>
      <c r="B203">
        <v>2021</v>
      </c>
      <c r="C203" s="77">
        <v>2.5</v>
      </c>
      <c r="D203" s="257">
        <v>31267391.68</v>
      </c>
      <c r="E203" s="257">
        <f t="shared" si="9"/>
        <v>78168479.200000003</v>
      </c>
    </row>
    <row r="204" spans="1:6" outlineLevel="2" x14ac:dyDescent="0.25">
      <c r="A204">
        <v>37602</v>
      </c>
      <c r="B204">
        <v>2020</v>
      </c>
      <c r="C204" s="77">
        <v>3.5</v>
      </c>
      <c r="D204" s="257">
        <v>78977475.469999999</v>
      </c>
      <c r="E204" s="257">
        <f t="shared" si="9"/>
        <v>276421164.14499998</v>
      </c>
    </row>
    <row r="205" spans="1:6" outlineLevel="2" x14ac:dyDescent="0.25">
      <c r="A205">
        <v>37602</v>
      </c>
      <c r="B205">
        <v>2019</v>
      </c>
      <c r="C205" s="77">
        <v>4.5</v>
      </c>
      <c r="D205" s="257">
        <v>53082641</v>
      </c>
      <c r="E205" s="257">
        <f t="shared" si="9"/>
        <v>238871884.5</v>
      </c>
    </row>
    <row r="206" spans="1:6" outlineLevel="2" x14ac:dyDescent="0.25">
      <c r="A206">
        <v>37602</v>
      </c>
      <c r="B206">
        <v>2018</v>
      </c>
      <c r="C206" s="77">
        <v>5.5</v>
      </c>
      <c r="D206" s="257">
        <v>73780577.069999993</v>
      </c>
      <c r="E206" s="257">
        <f t="shared" si="9"/>
        <v>405793173.88499999</v>
      </c>
    </row>
    <row r="207" spans="1:6" outlineLevel="2" x14ac:dyDescent="0.25">
      <c r="A207">
        <v>37602</v>
      </c>
      <c r="B207">
        <v>2017</v>
      </c>
      <c r="C207" s="77">
        <v>6.5</v>
      </c>
      <c r="D207" s="257">
        <v>45276685.229999997</v>
      </c>
      <c r="E207" s="257">
        <f t="shared" si="9"/>
        <v>294298453.995</v>
      </c>
    </row>
    <row r="208" spans="1:6" outlineLevel="2" x14ac:dyDescent="0.25">
      <c r="A208">
        <v>37602</v>
      </c>
      <c r="B208">
        <v>2016</v>
      </c>
      <c r="C208" s="77">
        <v>7.5</v>
      </c>
      <c r="D208" s="257">
        <v>38451693.170000002</v>
      </c>
      <c r="E208" s="257">
        <f t="shared" si="9"/>
        <v>288387698.77500004</v>
      </c>
    </row>
    <row r="209" spans="1:5" outlineLevel="2" x14ac:dyDescent="0.25">
      <c r="A209">
        <v>37602</v>
      </c>
      <c r="B209">
        <v>2015</v>
      </c>
      <c r="C209" s="77">
        <v>8.5</v>
      </c>
      <c r="D209" s="257">
        <v>31357194.48</v>
      </c>
      <c r="E209" s="257">
        <f t="shared" si="9"/>
        <v>266536153.08000001</v>
      </c>
    </row>
    <row r="210" spans="1:5" outlineLevel="2" x14ac:dyDescent="0.25">
      <c r="A210">
        <v>37602</v>
      </c>
      <c r="B210">
        <v>2014</v>
      </c>
      <c r="C210" s="77">
        <v>9.5</v>
      </c>
      <c r="D210" s="257">
        <v>28285033.16</v>
      </c>
      <c r="E210" s="257">
        <f t="shared" si="9"/>
        <v>268707815.01999998</v>
      </c>
    </row>
    <row r="211" spans="1:5" outlineLevel="2" x14ac:dyDescent="0.25">
      <c r="A211">
        <v>37602</v>
      </c>
      <c r="B211">
        <v>2013</v>
      </c>
      <c r="C211" s="77">
        <v>10.5</v>
      </c>
      <c r="D211" s="257">
        <v>26258034.18</v>
      </c>
      <c r="E211" s="257">
        <f t="shared" si="9"/>
        <v>275709358.88999999</v>
      </c>
    </row>
    <row r="212" spans="1:5" outlineLevel="2" x14ac:dyDescent="0.25">
      <c r="A212">
        <v>37602</v>
      </c>
      <c r="B212">
        <v>2012</v>
      </c>
      <c r="C212" s="77">
        <v>11.5</v>
      </c>
      <c r="D212" s="257">
        <v>14871441.939999999</v>
      </c>
      <c r="E212" s="257">
        <f t="shared" si="9"/>
        <v>171021582.31</v>
      </c>
    </row>
    <row r="213" spans="1:5" outlineLevel="2" x14ac:dyDescent="0.25">
      <c r="A213">
        <v>37602</v>
      </c>
      <c r="B213">
        <v>2011</v>
      </c>
      <c r="C213" s="77">
        <v>12.5</v>
      </c>
      <c r="D213" s="257">
        <v>24071220.66</v>
      </c>
      <c r="E213" s="257">
        <f t="shared" si="9"/>
        <v>300890258.25</v>
      </c>
    </row>
    <row r="214" spans="1:5" outlineLevel="2" x14ac:dyDescent="0.25">
      <c r="A214">
        <v>37602</v>
      </c>
      <c r="B214">
        <v>2010</v>
      </c>
      <c r="C214" s="77">
        <v>13.5</v>
      </c>
      <c r="D214" s="257">
        <v>26634303.5</v>
      </c>
      <c r="E214" s="257">
        <f t="shared" si="9"/>
        <v>359563097.25</v>
      </c>
    </row>
    <row r="215" spans="1:5" outlineLevel="2" x14ac:dyDescent="0.25">
      <c r="A215">
        <v>37602</v>
      </c>
      <c r="B215">
        <v>2009</v>
      </c>
      <c r="C215" s="77">
        <v>14.5</v>
      </c>
      <c r="D215" s="257">
        <v>18994275.920000002</v>
      </c>
      <c r="E215" s="257">
        <f t="shared" si="9"/>
        <v>275417000.84000003</v>
      </c>
    </row>
    <row r="216" spans="1:5" outlineLevel="2" x14ac:dyDescent="0.25">
      <c r="A216">
        <v>37602</v>
      </c>
      <c r="B216">
        <v>2008</v>
      </c>
      <c r="C216" s="77">
        <v>15.5</v>
      </c>
      <c r="D216" s="257">
        <v>7944717.0899999999</v>
      </c>
      <c r="E216" s="257">
        <f t="shared" si="9"/>
        <v>123143114.895</v>
      </c>
    </row>
    <row r="217" spans="1:5" outlineLevel="2" x14ac:dyDescent="0.25">
      <c r="A217">
        <v>37602</v>
      </c>
      <c r="B217">
        <v>2007</v>
      </c>
      <c r="C217" s="77">
        <v>16.5</v>
      </c>
      <c r="D217" s="257">
        <v>6910147.3399999999</v>
      </c>
      <c r="E217" s="257">
        <f t="shared" si="9"/>
        <v>114017431.11</v>
      </c>
    </row>
    <row r="218" spans="1:5" outlineLevel="2" x14ac:dyDescent="0.25">
      <c r="A218">
        <v>37602</v>
      </c>
      <c r="B218">
        <v>2006</v>
      </c>
      <c r="C218" s="77">
        <v>17.5</v>
      </c>
      <c r="D218" s="257">
        <v>5378166.4400000004</v>
      </c>
      <c r="E218" s="257">
        <f t="shared" si="9"/>
        <v>94117912.700000003</v>
      </c>
    </row>
    <row r="219" spans="1:5" outlineLevel="2" x14ac:dyDescent="0.25">
      <c r="A219">
        <v>37602</v>
      </c>
      <c r="B219">
        <v>2005</v>
      </c>
      <c r="C219" s="77">
        <v>18.5</v>
      </c>
      <c r="D219" s="257">
        <v>6249606.4400000004</v>
      </c>
      <c r="E219" s="257">
        <f t="shared" si="9"/>
        <v>115617719.14</v>
      </c>
    </row>
    <row r="220" spans="1:5" outlineLevel="2" x14ac:dyDescent="0.25">
      <c r="A220">
        <v>37602</v>
      </c>
      <c r="B220">
        <v>2004</v>
      </c>
      <c r="C220" s="77">
        <v>19.5</v>
      </c>
      <c r="D220" s="257">
        <v>8146684.54</v>
      </c>
      <c r="E220" s="257">
        <f t="shared" si="9"/>
        <v>158860348.53</v>
      </c>
    </row>
    <row r="221" spans="1:5" outlineLevel="2" x14ac:dyDescent="0.25">
      <c r="A221">
        <v>37602</v>
      </c>
      <c r="B221">
        <v>2003</v>
      </c>
      <c r="C221" s="77">
        <v>20.5</v>
      </c>
      <c r="D221" s="257">
        <v>8943896.3300000001</v>
      </c>
      <c r="E221" s="257">
        <f t="shared" si="9"/>
        <v>183349874.76500002</v>
      </c>
    </row>
    <row r="222" spans="1:5" outlineLevel="2" x14ac:dyDescent="0.25">
      <c r="A222">
        <v>37602</v>
      </c>
      <c r="B222">
        <v>2002</v>
      </c>
      <c r="C222" s="77">
        <v>21.5</v>
      </c>
      <c r="D222" s="257">
        <v>11905807.550000001</v>
      </c>
      <c r="E222" s="257">
        <f t="shared" si="9"/>
        <v>255974862.32500002</v>
      </c>
    </row>
    <row r="223" spans="1:5" outlineLevel="2" x14ac:dyDescent="0.25">
      <c r="A223">
        <v>37602</v>
      </c>
      <c r="B223">
        <v>2001</v>
      </c>
      <c r="C223" s="77">
        <v>22.5</v>
      </c>
      <c r="D223" s="257">
        <v>21121786.010000002</v>
      </c>
      <c r="E223" s="257">
        <f t="shared" si="9"/>
        <v>475240185.22500002</v>
      </c>
    </row>
    <row r="224" spans="1:5" outlineLevel="2" x14ac:dyDescent="0.25">
      <c r="A224">
        <v>37602</v>
      </c>
      <c r="B224">
        <v>2000</v>
      </c>
      <c r="C224" s="77">
        <v>23.5</v>
      </c>
      <c r="D224" s="257">
        <v>27576457.640000001</v>
      </c>
      <c r="E224" s="257">
        <f t="shared" si="9"/>
        <v>648046754.53999996</v>
      </c>
    </row>
    <row r="225" spans="1:6" outlineLevel="2" x14ac:dyDescent="0.25">
      <c r="A225">
        <v>37602</v>
      </c>
      <c r="B225">
        <v>1999</v>
      </c>
      <c r="C225" s="77">
        <v>24.5</v>
      </c>
      <c r="D225" s="257">
        <v>19584429.75</v>
      </c>
      <c r="E225" s="257">
        <f t="shared" si="9"/>
        <v>479818528.875</v>
      </c>
    </row>
    <row r="226" spans="1:6" outlineLevel="2" x14ac:dyDescent="0.25">
      <c r="A226">
        <v>37602</v>
      </c>
      <c r="B226">
        <v>1998</v>
      </c>
      <c r="C226" s="77">
        <v>25.5</v>
      </c>
      <c r="D226" s="257">
        <v>14972124.220000001</v>
      </c>
      <c r="E226" s="257">
        <f t="shared" si="9"/>
        <v>381789167.61000001</v>
      </c>
    </row>
    <row r="227" spans="1:6" outlineLevel="2" x14ac:dyDescent="0.25">
      <c r="A227">
        <v>37602</v>
      </c>
      <c r="B227">
        <v>1997</v>
      </c>
      <c r="C227" s="77">
        <v>26.5</v>
      </c>
      <c r="D227" s="257">
        <v>8036782.1699999999</v>
      </c>
      <c r="E227" s="257">
        <f t="shared" si="9"/>
        <v>212974727.505</v>
      </c>
    </row>
    <row r="228" spans="1:6" outlineLevel="2" x14ac:dyDescent="0.25">
      <c r="A228">
        <v>37602</v>
      </c>
      <c r="B228">
        <v>1996</v>
      </c>
      <c r="C228" s="77">
        <v>27.5</v>
      </c>
      <c r="D228" s="257">
        <v>5350740.22</v>
      </c>
      <c r="E228" s="257">
        <f t="shared" si="9"/>
        <v>147145356.04999998</v>
      </c>
    </row>
    <row r="229" spans="1:6" outlineLevel="2" x14ac:dyDescent="0.25">
      <c r="A229">
        <v>37602</v>
      </c>
      <c r="B229">
        <v>1995</v>
      </c>
      <c r="C229" s="77">
        <v>28.5</v>
      </c>
      <c r="D229" s="257">
        <v>7486976.8200000003</v>
      </c>
      <c r="E229" s="257">
        <f t="shared" si="9"/>
        <v>213378839.37</v>
      </c>
    </row>
    <row r="230" spans="1:6" outlineLevel="2" x14ac:dyDescent="0.25">
      <c r="A230">
        <v>37602</v>
      </c>
      <c r="B230">
        <v>1994</v>
      </c>
      <c r="C230" s="77">
        <v>29.5</v>
      </c>
      <c r="D230" s="257">
        <v>6542540.9100000001</v>
      </c>
      <c r="E230" s="257">
        <f t="shared" si="9"/>
        <v>193004956.845</v>
      </c>
    </row>
    <row r="231" spans="1:6" outlineLevel="2" x14ac:dyDescent="0.25">
      <c r="A231">
        <v>37602</v>
      </c>
      <c r="B231">
        <v>1993</v>
      </c>
      <c r="C231" s="77">
        <v>30.5</v>
      </c>
      <c r="D231" s="257">
        <v>6142817.8099999996</v>
      </c>
      <c r="E231" s="257">
        <f t="shared" si="9"/>
        <v>187355943.20499998</v>
      </c>
    </row>
    <row r="232" spans="1:6" outlineLevel="2" x14ac:dyDescent="0.25">
      <c r="A232">
        <v>37602</v>
      </c>
      <c r="B232">
        <v>1992</v>
      </c>
      <c r="C232" s="77">
        <v>31.5</v>
      </c>
      <c r="D232" s="257">
        <v>3329178.01</v>
      </c>
      <c r="E232" s="257">
        <f t="shared" si="9"/>
        <v>104869107.315</v>
      </c>
    </row>
    <row r="233" spans="1:6" outlineLevel="2" x14ac:dyDescent="0.25">
      <c r="A233">
        <v>37602</v>
      </c>
      <c r="B233">
        <v>1991</v>
      </c>
      <c r="C233" s="77">
        <v>32.5</v>
      </c>
      <c r="D233" s="257">
        <v>3499272.57</v>
      </c>
      <c r="E233" s="257">
        <f t="shared" si="9"/>
        <v>113726358.52499999</v>
      </c>
    </row>
    <row r="234" spans="1:6" outlineLevel="2" x14ac:dyDescent="0.25">
      <c r="A234">
        <v>37602</v>
      </c>
      <c r="B234">
        <v>1990</v>
      </c>
      <c r="C234" s="77">
        <v>33.5</v>
      </c>
      <c r="D234" s="257">
        <v>7581835.6200000001</v>
      </c>
      <c r="E234" s="257">
        <f t="shared" si="9"/>
        <v>253991493.27000001</v>
      </c>
    </row>
    <row r="235" spans="1:6" outlineLevel="2" x14ac:dyDescent="0.25">
      <c r="A235">
        <v>37602</v>
      </c>
      <c r="B235">
        <v>1989</v>
      </c>
      <c r="C235" s="77">
        <v>34.5</v>
      </c>
      <c r="D235" s="257">
        <v>4475620.18</v>
      </c>
      <c r="E235" s="257">
        <f t="shared" si="9"/>
        <v>154408896.20999998</v>
      </c>
    </row>
    <row r="236" spans="1:6" outlineLevel="2" x14ac:dyDescent="0.25">
      <c r="A236">
        <v>37602</v>
      </c>
      <c r="B236">
        <v>1988</v>
      </c>
      <c r="C236" s="77">
        <v>35.5</v>
      </c>
      <c r="D236" s="257">
        <v>5109774.71</v>
      </c>
      <c r="E236" s="257">
        <f t="shared" si="9"/>
        <v>181397002.20500001</v>
      </c>
    </row>
    <row r="237" spans="1:6" outlineLevel="2" x14ac:dyDescent="0.25">
      <c r="A237">
        <v>37602</v>
      </c>
      <c r="B237">
        <v>1987</v>
      </c>
      <c r="C237" s="77">
        <v>36.5</v>
      </c>
      <c r="D237" s="257">
        <v>4162947.95</v>
      </c>
      <c r="E237" s="257">
        <f t="shared" si="9"/>
        <v>151947600.17500001</v>
      </c>
    </row>
    <row r="238" spans="1:6" outlineLevel="2" x14ac:dyDescent="0.25">
      <c r="A238">
        <v>37602</v>
      </c>
      <c r="B238">
        <v>1986</v>
      </c>
      <c r="C238" s="77">
        <v>37.5</v>
      </c>
      <c r="D238" s="257">
        <v>4467074.0599999996</v>
      </c>
      <c r="E238" s="257">
        <f t="shared" si="9"/>
        <v>167515277.24999997</v>
      </c>
    </row>
    <row r="239" spans="1:6" ht="13" outlineLevel="1" x14ac:dyDescent="0.3">
      <c r="A239" s="18" t="s">
        <v>1182</v>
      </c>
      <c r="C239" s="77" t="s">
        <v>1229</v>
      </c>
      <c r="D239" s="257">
        <f>SUBTOTAL(9,D201:D238)</f>
        <v>961474232.54999995</v>
      </c>
      <c r="E239" s="257">
        <f>SUBTOTAL(9,E201:E238)</f>
        <v>8782140890.9449997</v>
      </c>
      <c r="F239" s="257">
        <f>+E239/D239</f>
        <v>9.1340366633156744</v>
      </c>
    </row>
    <row r="240" spans="1:6" outlineLevel="2" x14ac:dyDescent="0.25">
      <c r="A240">
        <v>37700</v>
      </c>
      <c r="B240">
        <v>2022</v>
      </c>
      <c r="C240" s="77">
        <f t="shared" si="8"/>
        <v>1.5</v>
      </c>
      <c r="D240" s="257">
        <v>95350.33</v>
      </c>
      <c r="E240" s="257">
        <f>+C240*D240</f>
        <v>143025.495</v>
      </c>
    </row>
    <row r="241" spans="1:6" outlineLevel="2" x14ac:dyDescent="0.25">
      <c r="A241">
        <v>37700</v>
      </c>
      <c r="B241">
        <v>2021</v>
      </c>
      <c r="C241" s="77">
        <f t="shared" si="8"/>
        <v>2.5</v>
      </c>
      <c r="D241" s="257">
        <v>19091947.57</v>
      </c>
      <c r="E241" s="257">
        <f>+C241*D241</f>
        <v>47729868.924999997</v>
      </c>
    </row>
    <row r="242" spans="1:6" ht="13" outlineLevel="1" x14ac:dyDescent="0.3">
      <c r="A242" s="18" t="s">
        <v>1250</v>
      </c>
      <c r="C242" s="77" t="s">
        <v>1229</v>
      </c>
      <c r="D242" s="257">
        <f>SUBTOTAL(9,D240:D241)</f>
        <v>19187297.899999999</v>
      </c>
      <c r="E242" s="257">
        <f>SUBTOTAL(9,E240:E241)</f>
        <v>47872894.419999994</v>
      </c>
      <c r="F242" s="257">
        <f>+E242/D242</f>
        <v>2.4950305493510889</v>
      </c>
    </row>
    <row r="243" spans="1:6" outlineLevel="2" x14ac:dyDescent="0.25">
      <c r="A243">
        <v>37800</v>
      </c>
      <c r="B243">
        <v>2023</v>
      </c>
      <c r="C243" s="77">
        <v>0.5</v>
      </c>
      <c r="D243" s="257">
        <v>21743.29</v>
      </c>
      <c r="E243" s="257">
        <f t="shared" ref="E243:E287" si="10">+C243*D243</f>
        <v>10871.645</v>
      </c>
    </row>
    <row r="244" spans="1:6" outlineLevel="2" x14ac:dyDescent="0.25">
      <c r="A244">
        <v>37800</v>
      </c>
      <c r="B244">
        <v>2022</v>
      </c>
      <c r="C244" s="77">
        <v>1.5</v>
      </c>
      <c r="D244" s="257">
        <v>934794.95</v>
      </c>
      <c r="E244" s="257">
        <f t="shared" si="10"/>
        <v>1402192.4249999998</v>
      </c>
    </row>
    <row r="245" spans="1:6" outlineLevel="2" x14ac:dyDescent="0.25">
      <c r="A245">
        <v>37800</v>
      </c>
      <c r="B245">
        <v>2021</v>
      </c>
      <c r="C245" s="77">
        <v>2.5</v>
      </c>
      <c r="D245" s="257">
        <v>732413.23</v>
      </c>
      <c r="E245" s="257">
        <f t="shared" si="10"/>
        <v>1831033.075</v>
      </c>
    </row>
    <row r="246" spans="1:6" outlineLevel="2" x14ac:dyDescent="0.25">
      <c r="A246">
        <v>37800</v>
      </c>
      <c r="B246">
        <v>2020</v>
      </c>
      <c r="C246" s="77">
        <v>3.5</v>
      </c>
      <c r="D246" s="257">
        <v>2207938.5499999998</v>
      </c>
      <c r="E246" s="257">
        <f t="shared" si="10"/>
        <v>7727784.9249999989</v>
      </c>
    </row>
    <row r="247" spans="1:6" outlineLevel="2" x14ac:dyDescent="0.25">
      <c r="A247">
        <v>37800</v>
      </c>
      <c r="B247">
        <v>2019</v>
      </c>
      <c r="C247" s="77">
        <v>4.5</v>
      </c>
      <c r="D247" s="257">
        <v>1486548.86</v>
      </c>
      <c r="E247" s="257">
        <f t="shared" si="10"/>
        <v>6689469.8700000001</v>
      </c>
    </row>
    <row r="248" spans="1:6" outlineLevel="2" x14ac:dyDescent="0.25">
      <c r="A248">
        <v>37800</v>
      </c>
      <c r="B248">
        <v>2018</v>
      </c>
      <c r="C248" s="77">
        <v>5.5</v>
      </c>
      <c r="D248" s="257">
        <v>1427896.11</v>
      </c>
      <c r="E248" s="257">
        <f t="shared" si="10"/>
        <v>7853428.6050000004</v>
      </c>
    </row>
    <row r="249" spans="1:6" outlineLevel="2" x14ac:dyDescent="0.25">
      <c r="A249">
        <v>37800</v>
      </c>
      <c r="B249">
        <v>2017</v>
      </c>
      <c r="C249" s="77">
        <v>6.5</v>
      </c>
      <c r="D249" s="257">
        <v>1222336.23</v>
      </c>
      <c r="E249" s="257">
        <f t="shared" si="10"/>
        <v>7945185.4950000001</v>
      </c>
    </row>
    <row r="250" spans="1:6" outlineLevel="2" x14ac:dyDescent="0.25">
      <c r="A250">
        <v>37800</v>
      </c>
      <c r="B250">
        <v>2016</v>
      </c>
      <c r="C250" s="77">
        <v>7.5</v>
      </c>
      <c r="D250" s="257">
        <v>1293894.3700000001</v>
      </c>
      <c r="E250" s="257">
        <f t="shared" si="10"/>
        <v>9704207.7750000004</v>
      </c>
    </row>
    <row r="251" spans="1:6" outlineLevel="2" x14ac:dyDescent="0.25">
      <c r="A251">
        <v>37800</v>
      </c>
      <c r="B251">
        <v>2015</v>
      </c>
      <c r="C251" s="77">
        <v>8.5</v>
      </c>
      <c r="D251" s="257">
        <v>1366134</v>
      </c>
      <c r="E251" s="257">
        <f t="shared" si="10"/>
        <v>11612139</v>
      </c>
    </row>
    <row r="252" spans="1:6" outlineLevel="2" x14ac:dyDescent="0.25">
      <c r="A252">
        <v>37800</v>
      </c>
      <c r="B252">
        <v>2014</v>
      </c>
      <c r="C252" s="77">
        <v>9.5</v>
      </c>
      <c r="D252" s="257">
        <v>1387932.14</v>
      </c>
      <c r="E252" s="257">
        <f t="shared" si="10"/>
        <v>13185355.329999998</v>
      </c>
    </row>
    <row r="253" spans="1:6" outlineLevel="2" x14ac:dyDescent="0.25">
      <c r="A253">
        <v>37800</v>
      </c>
      <c r="B253">
        <v>2013</v>
      </c>
      <c r="C253" s="77">
        <v>10.5</v>
      </c>
      <c r="D253" s="257">
        <v>1294693.44</v>
      </c>
      <c r="E253" s="257">
        <f t="shared" si="10"/>
        <v>13594281.119999999</v>
      </c>
    </row>
    <row r="254" spans="1:6" outlineLevel="2" x14ac:dyDescent="0.25">
      <c r="A254">
        <v>37800</v>
      </c>
      <c r="B254">
        <v>2012</v>
      </c>
      <c r="C254" s="77">
        <v>11.5</v>
      </c>
      <c r="D254" s="257">
        <v>2369059.25</v>
      </c>
      <c r="E254" s="257">
        <f t="shared" si="10"/>
        <v>27244181.375</v>
      </c>
    </row>
    <row r="255" spans="1:6" outlineLevel="2" x14ac:dyDescent="0.25">
      <c r="A255">
        <v>37800</v>
      </c>
      <c r="B255">
        <v>2011</v>
      </c>
      <c r="C255" s="77">
        <v>12.5</v>
      </c>
      <c r="D255" s="257">
        <v>666370.71</v>
      </c>
      <c r="E255" s="257">
        <f t="shared" si="10"/>
        <v>8329633.875</v>
      </c>
    </row>
    <row r="256" spans="1:6" outlineLevel="2" x14ac:dyDescent="0.25">
      <c r="A256">
        <v>37800</v>
      </c>
      <c r="B256">
        <v>2010</v>
      </c>
      <c r="C256" s="77">
        <v>13.5</v>
      </c>
      <c r="D256" s="257">
        <v>321507.76</v>
      </c>
      <c r="E256" s="257">
        <f t="shared" si="10"/>
        <v>4340354.76</v>
      </c>
    </row>
    <row r="257" spans="1:5" outlineLevel="2" x14ac:dyDescent="0.25">
      <c r="A257">
        <v>37800</v>
      </c>
      <c r="B257">
        <v>2009</v>
      </c>
      <c r="C257" s="77">
        <v>14.5</v>
      </c>
      <c r="D257" s="257">
        <v>517632.34</v>
      </c>
      <c r="E257" s="257">
        <f t="shared" si="10"/>
        <v>7505668.9300000006</v>
      </c>
    </row>
    <row r="258" spans="1:5" outlineLevel="2" x14ac:dyDescent="0.25">
      <c r="A258">
        <v>37800</v>
      </c>
      <c r="B258">
        <v>2008</v>
      </c>
      <c r="C258" s="77">
        <v>15.5</v>
      </c>
      <c r="D258" s="257">
        <v>142509.41</v>
      </c>
      <c r="E258" s="257">
        <f t="shared" si="10"/>
        <v>2208895.855</v>
      </c>
    </row>
    <row r="259" spans="1:5" outlineLevel="2" x14ac:dyDescent="0.25">
      <c r="A259">
        <v>37800</v>
      </c>
      <c r="B259">
        <v>2007</v>
      </c>
      <c r="C259" s="77">
        <v>16.5</v>
      </c>
      <c r="D259" s="257">
        <v>366208.4</v>
      </c>
      <c r="E259" s="257">
        <f t="shared" si="10"/>
        <v>6042438.6000000006</v>
      </c>
    </row>
    <row r="260" spans="1:5" outlineLevel="2" x14ac:dyDescent="0.25">
      <c r="A260">
        <v>37800</v>
      </c>
      <c r="B260">
        <v>2006</v>
      </c>
      <c r="C260" s="77">
        <v>17.5</v>
      </c>
      <c r="D260" s="257">
        <v>121820.04</v>
      </c>
      <c r="E260" s="257">
        <f t="shared" si="10"/>
        <v>2131850.6999999997</v>
      </c>
    </row>
    <row r="261" spans="1:5" outlineLevel="2" x14ac:dyDescent="0.25">
      <c r="A261">
        <v>37800</v>
      </c>
      <c r="B261">
        <v>2005</v>
      </c>
      <c r="C261" s="77">
        <v>18.5</v>
      </c>
      <c r="D261" s="257">
        <v>217180.49</v>
      </c>
      <c r="E261" s="257">
        <f t="shared" si="10"/>
        <v>4017839.0649999999</v>
      </c>
    </row>
    <row r="262" spans="1:5" outlineLevel="2" x14ac:dyDescent="0.25">
      <c r="A262">
        <v>37800</v>
      </c>
      <c r="B262">
        <v>2004</v>
      </c>
      <c r="C262" s="77">
        <v>19.5</v>
      </c>
      <c r="D262" s="257">
        <v>129549.57</v>
      </c>
      <c r="E262" s="257">
        <f t="shared" si="10"/>
        <v>2526216.6150000002</v>
      </c>
    </row>
    <row r="263" spans="1:5" outlineLevel="2" x14ac:dyDescent="0.25">
      <c r="A263">
        <v>37800</v>
      </c>
      <c r="B263">
        <v>2003</v>
      </c>
      <c r="C263" s="77">
        <v>20.5</v>
      </c>
      <c r="D263" s="257">
        <v>352362.69</v>
      </c>
      <c r="E263" s="257">
        <f t="shared" si="10"/>
        <v>7223435.1450000005</v>
      </c>
    </row>
    <row r="264" spans="1:5" outlineLevel="2" x14ac:dyDescent="0.25">
      <c r="A264">
        <v>37800</v>
      </c>
      <c r="B264">
        <v>2002</v>
      </c>
      <c r="C264" s="77">
        <v>21.5</v>
      </c>
      <c r="D264" s="257">
        <v>344875.97</v>
      </c>
      <c r="E264" s="257">
        <f t="shared" si="10"/>
        <v>7414833.3549999995</v>
      </c>
    </row>
    <row r="265" spans="1:5" outlineLevel="2" x14ac:dyDescent="0.25">
      <c r="A265">
        <v>37800</v>
      </c>
      <c r="B265">
        <v>2001</v>
      </c>
      <c r="C265" s="77">
        <v>22.5</v>
      </c>
      <c r="D265" s="257">
        <v>774670.69</v>
      </c>
      <c r="E265" s="257">
        <f t="shared" si="10"/>
        <v>17430090.524999999</v>
      </c>
    </row>
    <row r="266" spans="1:5" outlineLevel="2" x14ac:dyDescent="0.25">
      <c r="A266">
        <v>37800</v>
      </c>
      <c r="B266">
        <v>2000</v>
      </c>
      <c r="C266" s="77">
        <v>23.5</v>
      </c>
      <c r="D266" s="257">
        <v>164900.43</v>
      </c>
      <c r="E266" s="257">
        <f t="shared" si="10"/>
        <v>3875160.105</v>
      </c>
    </row>
    <row r="267" spans="1:5" outlineLevel="2" x14ac:dyDescent="0.25">
      <c r="A267">
        <v>37800</v>
      </c>
      <c r="B267">
        <v>1999</v>
      </c>
      <c r="C267" s="77">
        <v>24.5</v>
      </c>
      <c r="D267" s="257">
        <v>487152.63</v>
      </c>
      <c r="E267" s="257">
        <f t="shared" si="10"/>
        <v>11935239.435000001</v>
      </c>
    </row>
    <row r="268" spans="1:5" outlineLevel="2" x14ac:dyDescent="0.25">
      <c r="A268">
        <v>37800</v>
      </c>
      <c r="B268">
        <v>1998</v>
      </c>
      <c r="C268" s="77">
        <v>25.5</v>
      </c>
      <c r="D268" s="257">
        <v>254246.31</v>
      </c>
      <c r="E268" s="257">
        <f t="shared" si="10"/>
        <v>6483280.9050000003</v>
      </c>
    </row>
    <row r="269" spans="1:5" outlineLevel="2" x14ac:dyDescent="0.25">
      <c r="A269">
        <v>37800</v>
      </c>
      <c r="B269">
        <v>1997</v>
      </c>
      <c r="C269" s="77">
        <v>26.5</v>
      </c>
      <c r="D269" s="257">
        <v>98561.99</v>
      </c>
      <c r="E269" s="257">
        <f t="shared" si="10"/>
        <v>2611892.7350000003</v>
      </c>
    </row>
    <row r="270" spans="1:5" outlineLevel="2" x14ac:dyDescent="0.25">
      <c r="A270">
        <v>37800</v>
      </c>
      <c r="B270">
        <v>1996</v>
      </c>
      <c r="C270" s="77">
        <v>27.5</v>
      </c>
      <c r="D270" s="257">
        <v>102023.78</v>
      </c>
      <c r="E270" s="257">
        <f t="shared" si="10"/>
        <v>2805653.95</v>
      </c>
    </row>
    <row r="271" spans="1:5" outlineLevel="2" x14ac:dyDescent="0.25">
      <c r="A271">
        <v>37800</v>
      </c>
      <c r="B271">
        <v>1995</v>
      </c>
      <c r="C271" s="77">
        <v>28.5</v>
      </c>
      <c r="D271" s="257">
        <v>123989.87</v>
      </c>
      <c r="E271" s="257">
        <f t="shared" si="10"/>
        <v>3533711.2949999999</v>
      </c>
    </row>
    <row r="272" spans="1:5" outlineLevel="2" x14ac:dyDescent="0.25">
      <c r="A272">
        <v>37800</v>
      </c>
      <c r="B272">
        <v>1994</v>
      </c>
      <c r="C272" s="77">
        <v>29.5</v>
      </c>
      <c r="D272" s="257">
        <v>178216.59</v>
      </c>
      <c r="E272" s="257">
        <f t="shared" si="10"/>
        <v>5257389.4050000003</v>
      </c>
    </row>
    <row r="273" spans="1:5" outlineLevel="2" x14ac:dyDescent="0.25">
      <c r="A273">
        <v>37800</v>
      </c>
      <c r="B273">
        <v>1993</v>
      </c>
      <c r="C273" s="77">
        <v>30.5</v>
      </c>
      <c r="D273" s="257">
        <v>152375.45000000001</v>
      </c>
      <c r="E273" s="257">
        <f t="shared" si="10"/>
        <v>4647451.2250000006</v>
      </c>
    </row>
    <row r="274" spans="1:5" outlineLevel="2" x14ac:dyDescent="0.25">
      <c r="A274">
        <v>37800</v>
      </c>
      <c r="B274">
        <v>1992</v>
      </c>
      <c r="C274" s="77">
        <v>31.5</v>
      </c>
      <c r="D274" s="257">
        <v>78841.100000000006</v>
      </c>
      <c r="E274" s="257">
        <f t="shared" si="10"/>
        <v>2483494.6500000004</v>
      </c>
    </row>
    <row r="275" spans="1:5" outlineLevel="2" x14ac:dyDescent="0.25">
      <c r="A275">
        <v>37800</v>
      </c>
      <c r="B275">
        <v>1991</v>
      </c>
      <c r="C275" s="77">
        <v>32.5</v>
      </c>
      <c r="D275" s="257">
        <v>65295.08</v>
      </c>
      <c r="E275" s="257">
        <f t="shared" si="10"/>
        <v>2122090.1</v>
      </c>
    </row>
    <row r="276" spans="1:5" outlineLevel="2" x14ac:dyDescent="0.25">
      <c r="A276">
        <v>37800</v>
      </c>
      <c r="B276">
        <v>1990</v>
      </c>
      <c r="C276" s="77">
        <v>33.5</v>
      </c>
      <c r="D276" s="257">
        <v>88392.95</v>
      </c>
      <c r="E276" s="257">
        <f t="shared" si="10"/>
        <v>2961163.8249999997</v>
      </c>
    </row>
    <row r="277" spans="1:5" outlineLevel="2" x14ac:dyDescent="0.25">
      <c r="A277">
        <v>37800</v>
      </c>
      <c r="B277">
        <v>1989</v>
      </c>
      <c r="C277" s="77">
        <v>34.5</v>
      </c>
      <c r="D277" s="257">
        <v>60319.96</v>
      </c>
      <c r="E277" s="257">
        <f t="shared" si="10"/>
        <v>2081038.6199999999</v>
      </c>
    </row>
    <row r="278" spans="1:5" outlineLevel="2" x14ac:dyDescent="0.25">
      <c r="A278">
        <v>37800</v>
      </c>
      <c r="B278">
        <v>1988</v>
      </c>
      <c r="C278" s="77">
        <v>35.5</v>
      </c>
      <c r="D278" s="257">
        <v>23149.66</v>
      </c>
      <c r="E278" s="257">
        <f t="shared" si="10"/>
        <v>821812.93</v>
      </c>
    </row>
    <row r="279" spans="1:5" outlineLevel="2" x14ac:dyDescent="0.25">
      <c r="A279">
        <v>37800</v>
      </c>
      <c r="B279">
        <v>1987</v>
      </c>
      <c r="C279" s="77">
        <v>36.5</v>
      </c>
      <c r="D279" s="257">
        <v>80532.61</v>
      </c>
      <c r="E279" s="257">
        <f t="shared" si="10"/>
        <v>2939440.2650000001</v>
      </c>
    </row>
    <row r="280" spans="1:5" outlineLevel="2" x14ac:dyDescent="0.25">
      <c r="A280">
        <v>37800</v>
      </c>
      <c r="B280">
        <v>1986</v>
      </c>
      <c r="C280" s="77">
        <v>37.5</v>
      </c>
      <c r="D280" s="257">
        <v>63250.7</v>
      </c>
      <c r="E280" s="257">
        <f t="shared" si="10"/>
        <v>2371901.25</v>
      </c>
    </row>
    <row r="281" spans="1:5" outlineLevel="2" x14ac:dyDescent="0.25">
      <c r="A281">
        <v>37800</v>
      </c>
      <c r="B281">
        <v>1985</v>
      </c>
      <c r="C281" s="77">
        <v>38.5</v>
      </c>
      <c r="D281" s="257">
        <v>28594.6</v>
      </c>
      <c r="E281" s="257">
        <f t="shared" si="10"/>
        <v>1100892.0999999999</v>
      </c>
    </row>
    <row r="282" spans="1:5" outlineLevel="2" x14ac:dyDescent="0.25">
      <c r="A282">
        <v>37800</v>
      </c>
      <c r="B282">
        <v>1984</v>
      </c>
      <c r="C282" s="77">
        <v>39.5</v>
      </c>
      <c r="D282" s="257">
        <v>113815.57</v>
      </c>
      <c r="E282" s="257">
        <f t="shared" si="10"/>
        <v>4495715.0150000006</v>
      </c>
    </row>
    <row r="283" spans="1:5" outlineLevel="2" x14ac:dyDescent="0.25">
      <c r="A283">
        <v>37800</v>
      </c>
      <c r="B283">
        <v>1983</v>
      </c>
      <c r="C283" s="77">
        <v>40.5</v>
      </c>
      <c r="D283" s="257">
        <v>11984</v>
      </c>
      <c r="E283" s="257">
        <f t="shared" si="10"/>
        <v>485352</v>
      </c>
    </row>
    <row r="284" spans="1:5" outlineLevel="2" x14ac:dyDescent="0.25">
      <c r="A284">
        <v>37800</v>
      </c>
      <c r="B284">
        <v>1982</v>
      </c>
      <c r="C284" s="77">
        <v>41.5</v>
      </c>
      <c r="D284" s="257">
        <v>18096.580000000002</v>
      </c>
      <c r="E284" s="257">
        <f t="shared" si="10"/>
        <v>751008.07000000007</v>
      </c>
    </row>
    <row r="285" spans="1:5" outlineLevel="2" x14ac:dyDescent="0.25">
      <c r="A285">
        <v>37800</v>
      </c>
      <c r="B285">
        <v>1981</v>
      </c>
      <c r="C285" s="77">
        <v>42.5</v>
      </c>
      <c r="D285" s="257">
        <v>30905.24</v>
      </c>
      <c r="E285" s="257">
        <f t="shared" si="10"/>
        <v>1313472.7</v>
      </c>
    </row>
    <row r="286" spans="1:5" outlineLevel="2" x14ac:dyDescent="0.25">
      <c r="A286">
        <v>37800</v>
      </c>
      <c r="B286">
        <v>1980</v>
      </c>
      <c r="C286" s="77">
        <v>43.5</v>
      </c>
      <c r="D286" s="257">
        <v>24918.38</v>
      </c>
      <c r="E286" s="257">
        <f t="shared" si="10"/>
        <v>1083949.53</v>
      </c>
    </row>
    <row r="287" spans="1:5" outlineLevel="2" x14ac:dyDescent="0.25">
      <c r="A287">
        <v>37800</v>
      </c>
      <c r="B287">
        <v>1979</v>
      </c>
      <c r="C287" s="77">
        <v>44.5</v>
      </c>
      <c r="D287" s="257">
        <v>26955.360000000001</v>
      </c>
      <c r="E287" s="257">
        <f t="shared" si="10"/>
        <v>1199513.52</v>
      </c>
    </row>
    <row r="288" spans="1:5" outlineLevel="2" x14ac:dyDescent="0.25">
      <c r="A288">
        <v>37800</v>
      </c>
      <c r="B288">
        <v>1978</v>
      </c>
      <c r="C288" s="77">
        <v>45.5</v>
      </c>
      <c r="D288" s="257">
        <v>725.61</v>
      </c>
      <c r="E288" s="257">
        <f t="shared" ref="E288:E307" si="11">+C288*D288</f>
        <v>33015.254999999997</v>
      </c>
    </row>
    <row r="289" spans="1:5" outlineLevel="2" x14ac:dyDescent="0.25">
      <c r="A289">
        <v>37800</v>
      </c>
      <c r="B289">
        <v>1977</v>
      </c>
      <c r="C289" s="77">
        <v>46.5</v>
      </c>
      <c r="D289" s="257">
        <v>21624.560000000001</v>
      </c>
      <c r="E289" s="257">
        <f t="shared" si="11"/>
        <v>1005542.04</v>
      </c>
    </row>
    <row r="290" spans="1:5" outlineLevel="2" x14ac:dyDescent="0.25">
      <c r="A290">
        <v>37800</v>
      </c>
      <c r="B290">
        <v>1976</v>
      </c>
      <c r="C290" s="77">
        <v>47.5</v>
      </c>
      <c r="D290" s="257">
        <v>34048.379999999997</v>
      </c>
      <c r="E290" s="257">
        <f t="shared" si="11"/>
        <v>1617298.0499999998</v>
      </c>
    </row>
    <row r="291" spans="1:5" outlineLevel="2" x14ac:dyDescent="0.25">
      <c r="A291">
        <v>37800</v>
      </c>
      <c r="B291">
        <v>1975</v>
      </c>
      <c r="C291" s="77">
        <v>48.5</v>
      </c>
      <c r="D291" s="257">
        <v>13009.55</v>
      </c>
      <c r="E291" s="257">
        <f t="shared" si="11"/>
        <v>630963.17499999993</v>
      </c>
    </row>
    <row r="292" spans="1:5" outlineLevel="2" x14ac:dyDescent="0.25">
      <c r="A292">
        <v>37800</v>
      </c>
      <c r="B292">
        <v>1974</v>
      </c>
      <c r="C292" s="77">
        <v>49.5</v>
      </c>
      <c r="D292" s="257">
        <v>12521.18</v>
      </c>
      <c r="E292" s="257">
        <f t="shared" si="11"/>
        <v>619798.41</v>
      </c>
    </row>
    <row r="293" spans="1:5" outlineLevel="2" x14ac:dyDescent="0.25">
      <c r="A293">
        <v>37800</v>
      </c>
      <c r="B293">
        <v>1973</v>
      </c>
      <c r="C293" s="77">
        <v>50.5</v>
      </c>
      <c r="D293" s="257">
        <v>11865.37</v>
      </c>
      <c r="E293" s="257">
        <f t="shared" si="11"/>
        <v>599201.18500000006</v>
      </c>
    </row>
    <row r="294" spans="1:5" outlineLevel="2" x14ac:dyDescent="0.25">
      <c r="A294">
        <v>37800</v>
      </c>
      <c r="B294">
        <v>1972</v>
      </c>
      <c r="C294" s="77">
        <v>51.5</v>
      </c>
      <c r="D294" s="257">
        <v>4904.6400000000003</v>
      </c>
      <c r="E294" s="257">
        <f t="shared" si="11"/>
        <v>252588.96000000002</v>
      </c>
    </row>
    <row r="295" spans="1:5" outlineLevel="2" x14ac:dyDescent="0.25">
      <c r="A295">
        <v>37800</v>
      </c>
      <c r="B295">
        <v>1971</v>
      </c>
      <c r="C295" s="77">
        <v>52.5</v>
      </c>
      <c r="D295" s="257">
        <v>4116.25</v>
      </c>
      <c r="E295" s="257">
        <f t="shared" si="11"/>
        <v>216103.125</v>
      </c>
    </row>
    <row r="296" spans="1:5" outlineLevel="2" x14ac:dyDescent="0.25">
      <c r="A296">
        <v>37800</v>
      </c>
      <c r="B296">
        <v>1970</v>
      </c>
      <c r="C296" s="77">
        <v>53.5</v>
      </c>
      <c r="D296" s="257">
        <v>2281.9299999999998</v>
      </c>
      <c r="E296" s="257">
        <f t="shared" si="11"/>
        <v>122083.25499999999</v>
      </c>
    </row>
    <row r="297" spans="1:5" outlineLevel="2" x14ac:dyDescent="0.25">
      <c r="A297">
        <v>37800</v>
      </c>
      <c r="B297">
        <v>1969</v>
      </c>
      <c r="C297" s="77">
        <v>54.5</v>
      </c>
      <c r="D297" s="257">
        <v>10152.27</v>
      </c>
      <c r="E297" s="257">
        <f t="shared" si="11"/>
        <v>553298.71499999997</v>
      </c>
    </row>
    <row r="298" spans="1:5" outlineLevel="2" x14ac:dyDescent="0.25">
      <c r="A298">
        <v>37800</v>
      </c>
      <c r="B298">
        <v>1968</v>
      </c>
      <c r="C298" s="77">
        <v>55.5</v>
      </c>
      <c r="D298" s="257">
        <v>17987.04</v>
      </c>
      <c r="E298" s="257">
        <f t="shared" si="11"/>
        <v>998280.72000000009</v>
      </c>
    </row>
    <row r="299" spans="1:5" outlineLevel="2" x14ac:dyDescent="0.25">
      <c r="A299">
        <v>37800</v>
      </c>
      <c r="B299">
        <v>1967</v>
      </c>
      <c r="C299" s="77">
        <v>56.5</v>
      </c>
      <c r="D299" s="257">
        <v>2204.7800000000002</v>
      </c>
      <c r="E299" s="257">
        <f t="shared" si="11"/>
        <v>124570.07</v>
      </c>
    </row>
    <row r="300" spans="1:5" outlineLevel="2" x14ac:dyDescent="0.25">
      <c r="A300">
        <v>37800</v>
      </c>
      <c r="B300">
        <v>1966</v>
      </c>
      <c r="C300" s="77">
        <v>57.5</v>
      </c>
      <c r="D300" s="257">
        <v>6188.37</v>
      </c>
      <c r="E300" s="257">
        <f t="shared" si="11"/>
        <v>355831.27499999997</v>
      </c>
    </row>
    <row r="301" spans="1:5" outlineLevel="2" x14ac:dyDescent="0.25">
      <c r="A301">
        <v>37800</v>
      </c>
      <c r="B301">
        <v>1965</v>
      </c>
      <c r="C301" s="77">
        <v>58.5</v>
      </c>
      <c r="D301" s="257">
        <v>1796.62</v>
      </c>
      <c r="E301" s="257">
        <f t="shared" si="11"/>
        <v>105102.26999999999</v>
      </c>
    </row>
    <row r="302" spans="1:5" outlineLevel="2" x14ac:dyDescent="0.25">
      <c r="A302">
        <v>37800</v>
      </c>
      <c r="B302">
        <v>1964</v>
      </c>
      <c r="C302" s="77">
        <v>59.5</v>
      </c>
      <c r="D302" s="257">
        <v>4861.24</v>
      </c>
      <c r="E302" s="257">
        <f t="shared" si="11"/>
        <v>289243.77999999997</v>
      </c>
    </row>
    <row r="303" spans="1:5" outlineLevel="2" x14ac:dyDescent="0.25">
      <c r="A303">
        <v>37800</v>
      </c>
      <c r="B303">
        <v>1963</v>
      </c>
      <c r="C303" s="77">
        <v>60.5</v>
      </c>
      <c r="D303" s="257">
        <v>435.95</v>
      </c>
      <c r="E303" s="257">
        <f t="shared" si="11"/>
        <v>26374.974999999999</v>
      </c>
    </row>
    <row r="304" spans="1:5" outlineLevel="2" x14ac:dyDescent="0.25">
      <c r="A304">
        <v>37800</v>
      </c>
      <c r="B304">
        <v>1962</v>
      </c>
      <c r="C304" s="77">
        <v>61.5</v>
      </c>
      <c r="D304" s="257">
        <v>3353</v>
      </c>
      <c r="E304" s="257">
        <f t="shared" si="11"/>
        <v>206209.5</v>
      </c>
    </row>
    <row r="305" spans="1:6" outlineLevel="2" x14ac:dyDescent="0.25">
      <c r="A305">
        <v>37800</v>
      </c>
      <c r="B305">
        <v>1960</v>
      </c>
      <c r="C305" s="77">
        <v>63.5</v>
      </c>
      <c r="D305" s="257">
        <v>12071.38</v>
      </c>
      <c r="E305" s="257">
        <f t="shared" si="11"/>
        <v>766532.63</v>
      </c>
    </row>
    <row r="306" spans="1:6" outlineLevel="2" x14ac:dyDescent="0.25">
      <c r="A306">
        <v>37800</v>
      </c>
      <c r="B306">
        <v>1959</v>
      </c>
      <c r="C306" s="77">
        <v>64.5</v>
      </c>
      <c r="D306" s="257">
        <v>6455.78</v>
      </c>
      <c r="E306" s="257">
        <f t="shared" si="11"/>
        <v>416397.81</v>
      </c>
    </row>
    <row r="307" spans="1:6" outlineLevel="2" x14ac:dyDescent="0.25">
      <c r="A307">
        <v>37800</v>
      </c>
      <c r="B307">
        <v>1958</v>
      </c>
      <c r="C307" s="77">
        <v>65.5</v>
      </c>
      <c r="D307" s="257">
        <v>3861.28</v>
      </c>
      <c r="E307" s="257">
        <f t="shared" si="11"/>
        <v>252913.84000000003</v>
      </c>
    </row>
    <row r="308" spans="1:6" ht="13" outlineLevel="1" x14ac:dyDescent="0.3">
      <c r="A308" s="18" t="s">
        <v>1183</v>
      </c>
      <c r="C308" s="77" t="s">
        <v>1229</v>
      </c>
      <c r="D308" s="257">
        <f>SUBTOTAL(9,D243:D307)</f>
        <v>22151056.50999999</v>
      </c>
      <c r="E308" s="257">
        <f>SUBTOTAL(9,E243:E307)</f>
        <v>254523360.73500001</v>
      </c>
      <c r="F308" s="257">
        <f>+E308/D308</f>
        <v>11.49034858089485</v>
      </c>
    </row>
    <row r="309" spans="1:6" outlineLevel="2" x14ac:dyDescent="0.25">
      <c r="A309">
        <v>37900</v>
      </c>
      <c r="B309">
        <v>2023</v>
      </c>
      <c r="C309" s="77">
        <v>0.5</v>
      </c>
      <c r="D309" s="257">
        <v>21433447.27</v>
      </c>
      <c r="E309" s="257">
        <f t="shared" ref="E309:E340" si="12">+C309*D309</f>
        <v>10716723.635</v>
      </c>
    </row>
    <row r="310" spans="1:6" outlineLevel="2" x14ac:dyDescent="0.25">
      <c r="A310">
        <v>37900</v>
      </c>
      <c r="B310">
        <v>2022</v>
      </c>
      <c r="C310" s="77">
        <v>1.5</v>
      </c>
      <c r="D310" s="257">
        <v>11129230.189999999</v>
      </c>
      <c r="E310" s="257">
        <f t="shared" si="12"/>
        <v>16693845.285</v>
      </c>
    </row>
    <row r="311" spans="1:6" outlineLevel="2" x14ac:dyDescent="0.25">
      <c r="A311">
        <v>37900</v>
      </c>
      <c r="B311">
        <v>2021</v>
      </c>
      <c r="C311" s="77">
        <v>2.5</v>
      </c>
      <c r="D311" s="257">
        <v>13736237.609999999</v>
      </c>
      <c r="E311" s="257">
        <f t="shared" si="12"/>
        <v>34340594.024999999</v>
      </c>
    </row>
    <row r="312" spans="1:6" outlineLevel="2" x14ac:dyDescent="0.25">
      <c r="A312">
        <v>37900</v>
      </c>
      <c r="B312">
        <v>2020</v>
      </c>
      <c r="C312" s="77">
        <v>3.5</v>
      </c>
      <c r="D312" s="257">
        <v>6487290.2800000003</v>
      </c>
      <c r="E312" s="257">
        <f t="shared" si="12"/>
        <v>22705515.98</v>
      </c>
    </row>
    <row r="313" spans="1:6" outlineLevel="2" x14ac:dyDescent="0.25">
      <c r="A313">
        <v>37900</v>
      </c>
      <c r="B313">
        <v>2019</v>
      </c>
      <c r="C313" s="77">
        <v>4.5</v>
      </c>
      <c r="D313" s="257">
        <v>5731102.7400000002</v>
      </c>
      <c r="E313" s="257">
        <f t="shared" si="12"/>
        <v>25789962.330000002</v>
      </c>
    </row>
    <row r="314" spans="1:6" outlineLevel="2" x14ac:dyDescent="0.25">
      <c r="A314">
        <v>37900</v>
      </c>
      <c r="B314">
        <v>2018</v>
      </c>
      <c r="C314" s="77">
        <v>5.5</v>
      </c>
      <c r="D314" s="257">
        <v>8329388.4100000001</v>
      </c>
      <c r="E314" s="257">
        <f t="shared" si="12"/>
        <v>45811636.255000003</v>
      </c>
    </row>
    <row r="315" spans="1:6" outlineLevel="2" x14ac:dyDescent="0.25">
      <c r="A315">
        <v>37900</v>
      </c>
      <c r="B315">
        <v>2017</v>
      </c>
      <c r="C315" s="77">
        <v>6.5</v>
      </c>
      <c r="D315" s="257">
        <v>9905033.8800000008</v>
      </c>
      <c r="E315" s="257">
        <f t="shared" si="12"/>
        <v>64382720.220000006</v>
      </c>
    </row>
    <row r="316" spans="1:6" outlineLevel="2" x14ac:dyDescent="0.25">
      <c r="A316">
        <v>37900</v>
      </c>
      <c r="B316">
        <v>2016</v>
      </c>
      <c r="C316" s="77">
        <v>7.5</v>
      </c>
      <c r="D316" s="257">
        <v>6217087.71</v>
      </c>
      <c r="E316" s="257">
        <f t="shared" si="12"/>
        <v>46628157.825000003</v>
      </c>
    </row>
    <row r="317" spans="1:6" outlineLevel="2" x14ac:dyDescent="0.25">
      <c r="A317">
        <v>37900</v>
      </c>
      <c r="B317">
        <v>2015</v>
      </c>
      <c r="C317" s="77">
        <v>8.5</v>
      </c>
      <c r="D317" s="257">
        <v>1279711.0900000001</v>
      </c>
      <c r="E317" s="257">
        <f t="shared" si="12"/>
        <v>10877544.265000001</v>
      </c>
    </row>
    <row r="318" spans="1:6" outlineLevel="2" x14ac:dyDescent="0.25">
      <c r="A318">
        <v>37900</v>
      </c>
      <c r="B318">
        <v>2014</v>
      </c>
      <c r="C318" s="77">
        <v>9.5</v>
      </c>
      <c r="D318" s="257">
        <v>921727.06</v>
      </c>
      <c r="E318" s="257">
        <f t="shared" si="12"/>
        <v>8756407.0700000003</v>
      </c>
    </row>
    <row r="319" spans="1:6" outlineLevel="2" x14ac:dyDescent="0.25">
      <c r="A319">
        <v>37900</v>
      </c>
      <c r="B319">
        <v>2013</v>
      </c>
      <c r="C319" s="77">
        <v>10.5</v>
      </c>
      <c r="D319" s="257">
        <v>6437673.3499999996</v>
      </c>
      <c r="E319" s="257">
        <f t="shared" si="12"/>
        <v>67595570.174999997</v>
      </c>
    </row>
    <row r="320" spans="1:6" outlineLevel="2" x14ac:dyDescent="0.25">
      <c r="A320">
        <v>37900</v>
      </c>
      <c r="B320">
        <v>2012</v>
      </c>
      <c r="C320" s="77">
        <v>11.5</v>
      </c>
      <c r="D320" s="257">
        <v>5305481.2699999996</v>
      </c>
      <c r="E320" s="257">
        <f t="shared" si="12"/>
        <v>61013034.604999997</v>
      </c>
    </row>
    <row r="321" spans="1:5" outlineLevel="2" x14ac:dyDescent="0.25">
      <c r="A321">
        <v>37900</v>
      </c>
      <c r="B321">
        <v>2011</v>
      </c>
      <c r="C321" s="77">
        <v>12.5</v>
      </c>
      <c r="D321" s="257">
        <v>1757563.31</v>
      </c>
      <c r="E321" s="257">
        <f t="shared" si="12"/>
        <v>21969541.375</v>
      </c>
    </row>
    <row r="322" spans="1:5" outlineLevel="2" x14ac:dyDescent="0.25">
      <c r="A322">
        <v>37900</v>
      </c>
      <c r="B322">
        <v>2010</v>
      </c>
      <c r="C322" s="77">
        <v>13.5</v>
      </c>
      <c r="D322" s="257">
        <v>1680854.49</v>
      </c>
      <c r="E322" s="257">
        <f t="shared" si="12"/>
        <v>22691535.614999998</v>
      </c>
    </row>
    <row r="323" spans="1:5" outlineLevel="2" x14ac:dyDescent="0.25">
      <c r="A323">
        <v>37900</v>
      </c>
      <c r="B323">
        <v>2009</v>
      </c>
      <c r="C323" s="77">
        <v>14.5</v>
      </c>
      <c r="D323" s="257">
        <v>5389411.5599999996</v>
      </c>
      <c r="E323" s="257">
        <f t="shared" si="12"/>
        <v>78146467.61999999</v>
      </c>
    </row>
    <row r="324" spans="1:5" outlineLevel="2" x14ac:dyDescent="0.25">
      <c r="A324">
        <v>37900</v>
      </c>
      <c r="B324">
        <v>2008</v>
      </c>
      <c r="C324" s="77">
        <v>15.5</v>
      </c>
      <c r="D324" s="257">
        <v>2190610.46</v>
      </c>
      <c r="E324" s="257">
        <f t="shared" si="12"/>
        <v>33954462.130000003</v>
      </c>
    </row>
    <row r="325" spans="1:5" outlineLevel="2" x14ac:dyDescent="0.25">
      <c r="A325">
        <v>37900</v>
      </c>
      <c r="B325">
        <v>2007</v>
      </c>
      <c r="C325" s="77">
        <v>16.5</v>
      </c>
      <c r="D325" s="257">
        <v>1433160</v>
      </c>
      <c r="E325" s="257">
        <f t="shared" si="12"/>
        <v>23647140</v>
      </c>
    </row>
    <row r="326" spans="1:5" outlineLevel="2" x14ac:dyDescent="0.25">
      <c r="A326">
        <v>37900</v>
      </c>
      <c r="B326">
        <v>2006</v>
      </c>
      <c r="C326" s="77">
        <v>17.5</v>
      </c>
      <c r="D326" s="257">
        <v>170020.62</v>
      </c>
      <c r="E326" s="257">
        <f t="shared" si="12"/>
        <v>2975360.85</v>
      </c>
    </row>
    <row r="327" spans="1:5" outlineLevel="2" x14ac:dyDescent="0.25">
      <c r="A327">
        <v>37900</v>
      </c>
      <c r="B327">
        <v>2005</v>
      </c>
      <c r="C327" s="77">
        <v>18.5</v>
      </c>
      <c r="D327" s="257">
        <v>573393.94999999995</v>
      </c>
      <c r="E327" s="257">
        <f t="shared" si="12"/>
        <v>10607788.074999999</v>
      </c>
    </row>
    <row r="328" spans="1:5" outlineLevel="2" x14ac:dyDescent="0.25">
      <c r="A328">
        <v>37900</v>
      </c>
      <c r="B328">
        <v>2004</v>
      </c>
      <c r="C328" s="77">
        <v>19.5</v>
      </c>
      <c r="D328" s="257">
        <v>851804.9</v>
      </c>
      <c r="E328" s="257">
        <f t="shared" si="12"/>
        <v>16610195.550000001</v>
      </c>
    </row>
    <row r="329" spans="1:5" outlineLevel="2" x14ac:dyDescent="0.25">
      <c r="A329">
        <v>37900</v>
      </c>
      <c r="B329">
        <v>2003</v>
      </c>
      <c r="C329" s="77">
        <v>20.5</v>
      </c>
      <c r="D329" s="257">
        <v>782606.35</v>
      </c>
      <c r="E329" s="257">
        <f t="shared" si="12"/>
        <v>16043430.174999999</v>
      </c>
    </row>
    <row r="330" spans="1:5" outlineLevel="2" x14ac:dyDescent="0.25">
      <c r="A330">
        <v>37900</v>
      </c>
      <c r="B330">
        <v>2002</v>
      </c>
      <c r="C330" s="77">
        <v>21.5</v>
      </c>
      <c r="D330" s="257">
        <v>71617.72</v>
      </c>
      <c r="E330" s="257">
        <f t="shared" si="12"/>
        <v>1539780.98</v>
      </c>
    </row>
    <row r="331" spans="1:5" outlineLevel="2" x14ac:dyDescent="0.25">
      <c r="A331">
        <v>37900</v>
      </c>
      <c r="B331">
        <v>2001</v>
      </c>
      <c r="C331" s="77">
        <v>22.5</v>
      </c>
      <c r="D331" s="257">
        <v>721310.69</v>
      </c>
      <c r="E331" s="257">
        <f t="shared" si="12"/>
        <v>16229490.524999999</v>
      </c>
    </row>
    <row r="332" spans="1:5" outlineLevel="2" x14ac:dyDescent="0.25">
      <c r="A332">
        <v>37900</v>
      </c>
      <c r="B332">
        <v>2000</v>
      </c>
      <c r="C332" s="77">
        <v>23.5</v>
      </c>
      <c r="D332" s="257">
        <v>578125.42000000004</v>
      </c>
      <c r="E332" s="257">
        <f t="shared" si="12"/>
        <v>13585947.370000001</v>
      </c>
    </row>
    <row r="333" spans="1:5" outlineLevel="2" x14ac:dyDescent="0.25">
      <c r="A333">
        <v>37900</v>
      </c>
      <c r="B333">
        <v>1999</v>
      </c>
      <c r="C333" s="77">
        <v>24.5</v>
      </c>
      <c r="D333" s="257">
        <v>438437.77</v>
      </c>
      <c r="E333" s="257">
        <f t="shared" si="12"/>
        <v>10741725.365</v>
      </c>
    </row>
    <row r="334" spans="1:5" outlineLevel="2" x14ac:dyDescent="0.25">
      <c r="A334">
        <v>37900</v>
      </c>
      <c r="B334">
        <v>1998</v>
      </c>
      <c r="C334" s="77">
        <v>25.5</v>
      </c>
      <c r="D334" s="257">
        <v>66630.460000000006</v>
      </c>
      <c r="E334" s="257">
        <f t="shared" si="12"/>
        <v>1699076.7300000002</v>
      </c>
    </row>
    <row r="335" spans="1:5" outlineLevel="2" x14ac:dyDescent="0.25">
      <c r="A335">
        <v>37900</v>
      </c>
      <c r="B335">
        <v>1997</v>
      </c>
      <c r="C335" s="77">
        <v>26.5</v>
      </c>
      <c r="D335" s="257">
        <v>850589.27</v>
      </c>
      <c r="E335" s="257">
        <f t="shared" si="12"/>
        <v>22540615.655000001</v>
      </c>
    </row>
    <row r="336" spans="1:5" outlineLevel="2" x14ac:dyDescent="0.25">
      <c r="A336">
        <v>37900</v>
      </c>
      <c r="B336">
        <v>1996</v>
      </c>
      <c r="C336" s="77">
        <v>27.5</v>
      </c>
      <c r="D336" s="257">
        <v>20975.94</v>
      </c>
      <c r="E336" s="257">
        <f t="shared" si="12"/>
        <v>576838.35</v>
      </c>
    </row>
    <row r="337" spans="1:6" outlineLevel="2" x14ac:dyDescent="0.25">
      <c r="A337">
        <v>37900</v>
      </c>
      <c r="B337">
        <v>1995</v>
      </c>
      <c r="C337" s="77">
        <v>28.5</v>
      </c>
      <c r="D337" s="257">
        <v>33548.79</v>
      </c>
      <c r="E337" s="257">
        <f t="shared" si="12"/>
        <v>956140.51500000001</v>
      </c>
    </row>
    <row r="338" spans="1:6" outlineLevel="2" x14ac:dyDescent="0.25">
      <c r="A338">
        <v>37900</v>
      </c>
      <c r="B338">
        <v>1994</v>
      </c>
      <c r="C338" s="77">
        <v>29.5</v>
      </c>
      <c r="D338" s="257">
        <v>184226.43</v>
      </c>
      <c r="E338" s="257">
        <f t="shared" si="12"/>
        <v>5434679.6849999996</v>
      </c>
    </row>
    <row r="339" spans="1:6" outlineLevel="2" x14ac:dyDescent="0.25">
      <c r="A339">
        <v>37900</v>
      </c>
      <c r="B339">
        <v>1993</v>
      </c>
      <c r="C339" s="77">
        <v>30.5</v>
      </c>
      <c r="D339" s="257">
        <v>939251.71</v>
      </c>
      <c r="E339" s="257">
        <f t="shared" si="12"/>
        <v>28647177.154999997</v>
      </c>
    </row>
    <row r="340" spans="1:6" outlineLevel="2" x14ac:dyDescent="0.25">
      <c r="A340">
        <v>37900</v>
      </c>
      <c r="B340">
        <v>1992</v>
      </c>
      <c r="C340" s="77">
        <v>31.5</v>
      </c>
      <c r="D340" s="257">
        <v>374766.08000000002</v>
      </c>
      <c r="E340" s="257">
        <f t="shared" si="12"/>
        <v>11805131.520000001</v>
      </c>
    </row>
    <row r="341" spans="1:6" ht="13" outlineLevel="1" x14ac:dyDescent="0.3">
      <c r="A341" s="18" t="s">
        <v>1184</v>
      </c>
      <c r="C341" s="77" t="s">
        <v>1229</v>
      </c>
      <c r="D341" s="257">
        <f>SUBTOTAL(9,D309:D340)</f>
        <v>116022316.77999997</v>
      </c>
      <c r="E341" s="257">
        <f>SUBTOTAL(9,E309:E340)</f>
        <v>755714236.90999985</v>
      </c>
      <c r="F341" s="257">
        <f>+E341/D341</f>
        <v>6.5135247931910847</v>
      </c>
    </row>
    <row r="342" spans="1:6" outlineLevel="2" x14ac:dyDescent="0.25">
      <c r="A342">
        <v>38000</v>
      </c>
      <c r="B342">
        <v>2022</v>
      </c>
      <c r="C342" s="77">
        <v>1.5</v>
      </c>
      <c r="D342" s="257">
        <v>5277037.96</v>
      </c>
      <c r="E342" s="257">
        <f t="shared" ref="E342:E373" si="13">+C342*D342</f>
        <v>7915556.9399999995</v>
      </c>
    </row>
    <row r="343" spans="1:6" outlineLevel="2" x14ac:dyDescent="0.25">
      <c r="A343">
        <v>38000</v>
      </c>
      <c r="B343">
        <v>2021</v>
      </c>
      <c r="C343" s="77">
        <v>2.5</v>
      </c>
      <c r="D343" s="257">
        <v>3452917.57</v>
      </c>
      <c r="E343" s="257">
        <f t="shared" si="13"/>
        <v>8632293.9249999989</v>
      </c>
    </row>
    <row r="344" spans="1:6" outlineLevel="2" x14ac:dyDescent="0.25">
      <c r="A344">
        <v>38000</v>
      </c>
      <c r="B344">
        <v>2020</v>
      </c>
      <c r="C344" s="77">
        <v>3.5</v>
      </c>
      <c r="D344" s="257">
        <v>4322446.4000000004</v>
      </c>
      <c r="E344" s="257">
        <f t="shared" si="13"/>
        <v>15128562.400000002</v>
      </c>
    </row>
    <row r="345" spans="1:6" outlineLevel="2" x14ac:dyDescent="0.25">
      <c r="A345">
        <v>38000</v>
      </c>
      <c r="B345">
        <v>2019</v>
      </c>
      <c r="C345" s="77">
        <v>4.5</v>
      </c>
      <c r="D345" s="257">
        <v>3084133.29</v>
      </c>
      <c r="E345" s="257">
        <f t="shared" si="13"/>
        <v>13878599.805</v>
      </c>
    </row>
    <row r="346" spans="1:6" outlineLevel="2" x14ac:dyDescent="0.25">
      <c r="A346">
        <v>38000</v>
      </c>
      <c r="B346">
        <v>2018</v>
      </c>
      <c r="C346" s="77">
        <v>5.5</v>
      </c>
      <c r="D346" s="257">
        <v>2092595.06</v>
      </c>
      <c r="E346" s="257">
        <f t="shared" si="13"/>
        <v>11509272.83</v>
      </c>
    </row>
    <row r="347" spans="1:6" outlineLevel="2" x14ac:dyDescent="0.25">
      <c r="A347">
        <v>38000</v>
      </c>
      <c r="B347">
        <v>2017</v>
      </c>
      <c r="C347" s="77">
        <v>6.5</v>
      </c>
      <c r="D347" s="257">
        <v>2566769.58</v>
      </c>
      <c r="E347" s="257">
        <f t="shared" si="13"/>
        <v>16684002.27</v>
      </c>
    </row>
    <row r="348" spans="1:6" outlineLevel="2" x14ac:dyDescent="0.25">
      <c r="A348">
        <v>38000</v>
      </c>
      <c r="B348">
        <v>2016</v>
      </c>
      <c r="C348" s="77">
        <v>7.5</v>
      </c>
      <c r="D348" s="257">
        <v>2914108.93</v>
      </c>
      <c r="E348" s="257">
        <f t="shared" si="13"/>
        <v>21855816.975000001</v>
      </c>
    </row>
    <row r="349" spans="1:6" outlineLevel="2" x14ac:dyDescent="0.25">
      <c r="A349">
        <v>38000</v>
      </c>
      <c r="B349">
        <v>2015</v>
      </c>
      <c r="C349" s="77">
        <v>8.5</v>
      </c>
      <c r="D349" s="257">
        <v>1643450</v>
      </c>
      <c r="E349" s="257">
        <f t="shared" si="13"/>
        <v>13969325</v>
      </c>
    </row>
    <row r="350" spans="1:6" outlineLevel="2" x14ac:dyDescent="0.25">
      <c r="A350">
        <v>38000</v>
      </c>
      <c r="B350">
        <v>2014</v>
      </c>
      <c r="C350" s="77">
        <v>9.5</v>
      </c>
      <c r="D350" s="257">
        <v>1827716.68</v>
      </c>
      <c r="E350" s="257">
        <f t="shared" si="13"/>
        <v>17363308.460000001</v>
      </c>
    </row>
    <row r="351" spans="1:6" outlineLevel="2" x14ac:dyDescent="0.25">
      <c r="A351">
        <v>38000</v>
      </c>
      <c r="B351">
        <v>2013</v>
      </c>
      <c r="C351" s="77">
        <v>10.5</v>
      </c>
      <c r="D351" s="257">
        <v>2136022.7599999998</v>
      </c>
      <c r="E351" s="257">
        <f t="shared" si="13"/>
        <v>22428238.979999997</v>
      </c>
    </row>
    <row r="352" spans="1:6" outlineLevel="2" x14ac:dyDescent="0.25">
      <c r="A352">
        <v>38000</v>
      </c>
      <c r="B352">
        <v>2012</v>
      </c>
      <c r="C352" s="77">
        <v>11.5</v>
      </c>
      <c r="D352" s="257">
        <v>1424623.53</v>
      </c>
      <c r="E352" s="257">
        <f t="shared" si="13"/>
        <v>16383170.595000001</v>
      </c>
    </row>
    <row r="353" spans="1:5" outlineLevel="2" x14ac:dyDescent="0.25">
      <c r="A353">
        <v>38000</v>
      </c>
      <c r="B353">
        <v>2011</v>
      </c>
      <c r="C353" s="77">
        <v>12.5</v>
      </c>
      <c r="D353" s="257">
        <v>816752.87</v>
      </c>
      <c r="E353" s="257">
        <f t="shared" si="13"/>
        <v>10209410.875</v>
      </c>
    </row>
    <row r="354" spans="1:5" outlineLevel="2" x14ac:dyDescent="0.25">
      <c r="A354">
        <v>38000</v>
      </c>
      <c r="B354">
        <v>2010</v>
      </c>
      <c r="C354" s="77">
        <v>13.5</v>
      </c>
      <c r="D354" s="257">
        <v>873693.91</v>
      </c>
      <c r="E354" s="257">
        <f t="shared" si="13"/>
        <v>11794867.785</v>
      </c>
    </row>
    <row r="355" spans="1:5" outlineLevel="2" x14ac:dyDescent="0.25">
      <c r="A355">
        <v>38000</v>
      </c>
      <c r="B355">
        <v>2009</v>
      </c>
      <c r="C355" s="77">
        <v>14.5</v>
      </c>
      <c r="D355" s="257">
        <v>884794.49</v>
      </c>
      <c r="E355" s="257">
        <f t="shared" si="13"/>
        <v>12829520.105</v>
      </c>
    </row>
    <row r="356" spans="1:5" outlineLevel="2" x14ac:dyDescent="0.25">
      <c r="A356">
        <v>38000</v>
      </c>
      <c r="B356">
        <v>2008</v>
      </c>
      <c r="C356" s="77">
        <v>15.5</v>
      </c>
      <c r="D356" s="257">
        <v>1100388.3</v>
      </c>
      <c r="E356" s="257">
        <f t="shared" si="13"/>
        <v>17056018.650000002</v>
      </c>
    </row>
    <row r="357" spans="1:5" outlineLevel="2" x14ac:dyDescent="0.25">
      <c r="A357">
        <v>38000</v>
      </c>
      <c r="B357">
        <v>2007</v>
      </c>
      <c r="C357" s="77">
        <v>16.5</v>
      </c>
      <c r="D357" s="257">
        <v>1142254.01</v>
      </c>
      <c r="E357" s="257">
        <f t="shared" si="13"/>
        <v>18847191.164999999</v>
      </c>
    </row>
    <row r="358" spans="1:5" outlineLevel="2" x14ac:dyDescent="0.25">
      <c r="A358">
        <v>38000</v>
      </c>
      <c r="B358">
        <v>2006</v>
      </c>
      <c r="C358" s="77">
        <v>17.5</v>
      </c>
      <c r="D358" s="257">
        <v>745953.09</v>
      </c>
      <c r="E358" s="257">
        <f t="shared" si="13"/>
        <v>13054179.074999999</v>
      </c>
    </row>
    <row r="359" spans="1:5" outlineLevel="2" x14ac:dyDescent="0.25">
      <c r="A359">
        <v>38000</v>
      </c>
      <c r="B359">
        <v>2005</v>
      </c>
      <c r="C359" s="77">
        <v>18.5</v>
      </c>
      <c r="D359" s="257">
        <v>712481.44</v>
      </c>
      <c r="E359" s="257">
        <f t="shared" si="13"/>
        <v>13180906.639999999</v>
      </c>
    </row>
    <row r="360" spans="1:5" outlineLevel="2" x14ac:dyDescent="0.25">
      <c r="A360">
        <v>38000</v>
      </c>
      <c r="B360">
        <v>2004</v>
      </c>
      <c r="C360" s="77">
        <v>19.5</v>
      </c>
      <c r="D360" s="257">
        <v>626229.59</v>
      </c>
      <c r="E360" s="257">
        <f t="shared" si="13"/>
        <v>12211477.004999999</v>
      </c>
    </row>
    <row r="361" spans="1:5" outlineLevel="2" x14ac:dyDescent="0.25">
      <c r="A361">
        <v>38000</v>
      </c>
      <c r="B361">
        <v>2003</v>
      </c>
      <c r="C361" s="77">
        <v>20.5</v>
      </c>
      <c r="D361" s="257">
        <v>744756.26</v>
      </c>
      <c r="E361" s="257">
        <f t="shared" si="13"/>
        <v>15267503.33</v>
      </c>
    </row>
    <row r="362" spans="1:5" outlineLevel="2" x14ac:dyDescent="0.25">
      <c r="A362">
        <v>38000</v>
      </c>
      <c r="B362">
        <v>2002</v>
      </c>
      <c r="C362" s="77">
        <v>21.5</v>
      </c>
      <c r="D362" s="257">
        <v>1232262.96</v>
      </c>
      <c r="E362" s="257">
        <f t="shared" si="13"/>
        <v>26493653.640000001</v>
      </c>
    </row>
    <row r="363" spans="1:5" outlineLevel="2" x14ac:dyDescent="0.25">
      <c r="A363">
        <v>38000</v>
      </c>
      <c r="B363">
        <v>2001</v>
      </c>
      <c r="C363" s="77">
        <v>22.5</v>
      </c>
      <c r="D363" s="257">
        <v>43906.43</v>
      </c>
      <c r="E363" s="257">
        <f t="shared" si="13"/>
        <v>987894.67500000005</v>
      </c>
    </row>
    <row r="364" spans="1:5" outlineLevel="2" x14ac:dyDescent="0.25">
      <c r="A364">
        <v>38000</v>
      </c>
      <c r="B364">
        <v>2000</v>
      </c>
      <c r="C364" s="77">
        <v>23.5</v>
      </c>
      <c r="D364" s="257">
        <v>2148333.7599999998</v>
      </c>
      <c r="E364" s="257">
        <f t="shared" si="13"/>
        <v>50485843.359999992</v>
      </c>
    </row>
    <row r="365" spans="1:5" outlineLevel="2" x14ac:dyDescent="0.25">
      <c r="A365">
        <v>38000</v>
      </c>
      <c r="B365">
        <v>1999</v>
      </c>
      <c r="C365" s="77">
        <v>24.5</v>
      </c>
      <c r="D365" s="257">
        <v>1130735.1000000001</v>
      </c>
      <c r="E365" s="257">
        <f t="shared" si="13"/>
        <v>27703009.950000003</v>
      </c>
    </row>
    <row r="366" spans="1:5" outlineLevel="2" x14ac:dyDescent="0.25">
      <c r="A366">
        <v>38000</v>
      </c>
      <c r="B366">
        <v>1998</v>
      </c>
      <c r="C366" s="77">
        <v>25.5</v>
      </c>
      <c r="D366" s="257">
        <v>1140921.68</v>
      </c>
      <c r="E366" s="257">
        <f t="shared" si="13"/>
        <v>29093502.84</v>
      </c>
    </row>
    <row r="367" spans="1:5" outlineLevel="2" x14ac:dyDescent="0.25">
      <c r="A367">
        <v>38000</v>
      </c>
      <c r="B367">
        <v>1997</v>
      </c>
      <c r="C367" s="77">
        <v>26.5</v>
      </c>
      <c r="D367" s="257">
        <v>922458.66</v>
      </c>
      <c r="E367" s="257">
        <f t="shared" si="13"/>
        <v>24445154.490000002</v>
      </c>
    </row>
    <row r="368" spans="1:5" outlineLevel="2" x14ac:dyDescent="0.25">
      <c r="A368">
        <v>38000</v>
      </c>
      <c r="B368">
        <v>1996</v>
      </c>
      <c r="C368" s="77">
        <v>27.5</v>
      </c>
      <c r="D368" s="257">
        <v>556872.81000000006</v>
      </c>
      <c r="E368" s="257">
        <f t="shared" si="13"/>
        <v>15314002.275000002</v>
      </c>
    </row>
    <row r="369" spans="1:5" outlineLevel="2" x14ac:dyDescent="0.25">
      <c r="A369">
        <v>38000</v>
      </c>
      <c r="B369">
        <v>1995</v>
      </c>
      <c r="C369" s="77">
        <v>28.5</v>
      </c>
      <c r="D369" s="257">
        <v>601123.07999999996</v>
      </c>
      <c r="E369" s="257">
        <f t="shared" si="13"/>
        <v>17132007.779999997</v>
      </c>
    </row>
    <row r="370" spans="1:5" outlineLevel="2" x14ac:dyDescent="0.25">
      <c r="A370">
        <v>38000</v>
      </c>
      <c r="B370">
        <v>1994</v>
      </c>
      <c r="C370" s="77">
        <v>29.5</v>
      </c>
      <c r="D370" s="257">
        <v>946759.92</v>
      </c>
      <c r="E370" s="257">
        <f t="shared" si="13"/>
        <v>27929417.640000001</v>
      </c>
    </row>
    <row r="371" spans="1:5" outlineLevel="2" x14ac:dyDescent="0.25">
      <c r="A371">
        <v>38000</v>
      </c>
      <c r="B371">
        <v>1993</v>
      </c>
      <c r="C371" s="77">
        <v>30.5</v>
      </c>
      <c r="D371" s="257">
        <v>870876.44</v>
      </c>
      <c r="E371" s="257">
        <f t="shared" si="13"/>
        <v>26561731.419999998</v>
      </c>
    </row>
    <row r="372" spans="1:5" outlineLevel="2" x14ac:dyDescent="0.25">
      <c r="A372">
        <v>38000</v>
      </c>
      <c r="B372">
        <v>1992</v>
      </c>
      <c r="C372" s="77">
        <v>31.5</v>
      </c>
      <c r="D372" s="257">
        <v>960446.61</v>
      </c>
      <c r="E372" s="257">
        <f t="shared" si="13"/>
        <v>30254068.215</v>
      </c>
    </row>
    <row r="373" spans="1:5" outlineLevel="2" x14ac:dyDescent="0.25">
      <c r="A373">
        <v>38000</v>
      </c>
      <c r="B373">
        <v>1991</v>
      </c>
      <c r="C373" s="77">
        <v>32.5</v>
      </c>
      <c r="D373" s="257">
        <v>1137030.3600000001</v>
      </c>
      <c r="E373" s="257">
        <f t="shared" si="13"/>
        <v>36953486.700000003</v>
      </c>
    </row>
    <row r="374" spans="1:5" outlineLevel="2" x14ac:dyDescent="0.25">
      <c r="A374">
        <v>38000</v>
      </c>
      <c r="B374">
        <v>1990</v>
      </c>
      <c r="C374" s="77">
        <v>33.5</v>
      </c>
      <c r="D374" s="257">
        <v>842641.67</v>
      </c>
      <c r="E374" s="257">
        <f t="shared" ref="E374:E405" si="14">+C374*D374</f>
        <v>28228495.945</v>
      </c>
    </row>
    <row r="375" spans="1:5" outlineLevel="2" x14ac:dyDescent="0.25">
      <c r="A375">
        <v>38000</v>
      </c>
      <c r="B375">
        <v>1989</v>
      </c>
      <c r="C375" s="77">
        <v>34.5</v>
      </c>
      <c r="D375" s="257">
        <v>762659.44</v>
      </c>
      <c r="E375" s="257">
        <f t="shared" si="14"/>
        <v>26311750.68</v>
      </c>
    </row>
    <row r="376" spans="1:5" outlineLevel="2" x14ac:dyDescent="0.25">
      <c r="A376">
        <v>38000</v>
      </c>
      <c r="B376">
        <v>1988</v>
      </c>
      <c r="C376" s="77">
        <v>35.5</v>
      </c>
      <c r="D376" s="257">
        <v>692496.56</v>
      </c>
      <c r="E376" s="257">
        <f t="shared" si="14"/>
        <v>24583627.880000003</v>
      </c>
    </row>
    <row r="377" spans="1:5" outlineLevel="2" x14ac:dyDescent="0.25">
      <c r="A377">
        <v>38000</v>
      </c>
      <c r="B377">
        <v>1987</v>
      </c>
      <c r="C377" s="77">
        <v>36.5</v>
      </c>
      <c r="D377" s="257">
        <v>592113.65</v>
      </c>
      <c r="E377" s="257">
        <f t="shared" si="14"/>
        <v>21612148.225000001</v>
      </c>
    </row>
    <row r="378" spans="1:5" outlineLevel="2" x14ac:dyDescent="0.25">
      <c r="A378">
        <v>38000</v>
      </c>
      <c r="B378">
        <v>1986</v>
      </c>
      <c r="C378" s="77">
        <v>37.5</v>
      </c>
      <c r="D378" s="257">
        <v>517340.04</v>
      </c>
      <c r="E378" s="257">
        <f t="shared" si="14"/>
        <v>19400251.5</v>
      </c>
    </row>
    <row r="379" spans="1:5" outlineLevel="2" x14ac:dyDescent="0.25">
      <c r="A379">
        <v>38000</v>
      </c>
      <c r="B379">
        <v>1985</v>
      </c>
      <c r="C379" s="77">
        <v>38.5</v>
      </c>
      <c r="D379" s="257">
        <v>674867.18</v>
      </c>
      <c r="E379" s="257">
        <f t="shared" si="14"/>
        <v>25982386.430000003</v>
      </c>
    </row>
    <row r="380" spans="1:5" outlineLevel="2" x14ac:dyDescent="0.25">
      <c r="A380">
        <v>38000</v>
      </c>
      <c r="B380">
        <v>1984</v>
      </c>
      <c r="C380" s="77">
        <v>39.5</v>
      </c>
      <c r="D380" s="257">
        <v>466380.12</v>
      </c>
      <c r="E380" s="257">
        <f t="shared" si="14"/>
        <v>18422014.739999998</v>
      </c>
    </row>
    <row r="381" spans="1:5" outlineLevel="2" x14ac:dyDescent="0.25">
      <c r="A381">
        <v>38000</v>
      </c>
      <c r="B381">
        <v>1983</v>
      </c>
      <c r="C381" s="77">
        <v>40.5</v>
      </c>
      <c r="D381" s="257">
        <v>422534.67</v>
      </c>
      <c r="E381" s="257">
        <f t="shared" si="14"/>
        <v>17112654.134999998</v>
      </c>
    </row>
    <row r="382" spans="1:5" outlineLevel="2" x14ac:dyDescent="0.25">
      <c r="A382">
        <v>38000</v>
      </c>
      <c r="B382">
        <v>1982</v>
      </c>
      <c r="C382" s="77">
        <v>41.5</v>
      </c>
      <c r="D382" s="257">
        <v>470461.4</v>
      </c>
      <c r="E382" s="257">
        <f t="shared" si="14"/>
        <v>19524148.100000001</v>
      </c>
    </row>
    <row r="383" spans="1:5" outlineLevel="2" x14ac:dyDescent="0.25">
      <c r="A383">
        <v>38000</v>
      </c>
      <c r="B383">
        <v>1981</v>
      </c>
      <c r="C383" s="77">
        <v>42.5</v>
      </c>
      <c r="D383" s="257">
        <v>555812.49</v>
      </c>
      <c r="E383" s="257">
        <f t="shared" si="14"/>
        <v>23622030.824999999</v>
      </c>
    </row>
    <row r="384" spans="1:5" outlineLevel="2" x14ac:dyDescent="0.25">
      <c r="A384">
        <v>38000</v>
      </c>
      <c r="B384">
        <v>1980</v>
      </c>
      <c r="C384" s="77">
        <v>43.5</v>
      </c>
      <c r="D384" s="257">
        <v>255934.82</v>
      </c>
      <c r="E384" s="257">
        <f t="shared" si="14"/>
        <v>11133164.67</v>
      </c>
    </row>
    <row r="385" spans="1:5" outlineLevel="2" x14ac:dyDescent="0.25">
      <c r="A385">
        <v>38000</v>
      </c>
      <c r="B385">
        <v>1979</v>
      </c>
      <c r="C385" s="77">
        <v>44.5</v>
      </c>
      <c r="D385" s="257">
        <v>633218.64</v>
      </c>
      <c r="E385" s="257">
        <f t="shared" si="14"/>
        <v>28178229.48</v>
      </c>
    </row>
    <row r="386" spans="1:5" outlineLevel="2" x14ac:dyDescent="0.25">
      <c r="A386">
        <v>38000</v>
      </c>
      <c r="B386">
        <v>1978</v>
      </c>
      <c r="C386" s="77">
        <v>45.5</v>
      </c>
      <c r="D386" s="257">
        <v>715074.81</v>
      </c>
      <c r="E386" s="257">
        <f t="shared" si="14"/>
        <v>32535903.855000004</v>
      </c>
    </row>
    <row r="387" spans="1:5" outlineLevel="2" x14ac:dyDescent="0.25">
      <c r="A387">
        <v>38000</v>
      </c>
      <c r="B387">
        <v>1977</v>
      </c>
      <c r="C387" s="77">
        <v>46.5</v>
      </c>
      <c r="D387" s="257">
        <v>377370.85</v>
      </c>
      <c r="E387" s="257">
        <f t="shared" si="14"/>
        <v>17547744.524999999</v>
      </c>
    </row>
    <row r="388" spans="1:5" outlineLevel="2" x14ac:dyDescent="0.25">
      <c r="A388">
        <v>38000</v>
      </c>
      <c r="B388">
        <v>1976</v>
      </c>
      <c r="C388" s="77">
        <v>47.5</v>
      </c>
      <c r="D388" s="257">
        <v>448302.96</v>
      </c>
      <c r="E388" s="257">
        <f t="shared" si="14"/>
        <v>21294390.600000001</v>
      </c>
    </row>
    <row r="389" spans="1:5" outlineLevel="2" x14ac:dyDescent="0.25">
      <c r="A389">
        <v>38000</v>
      </c>
      <c r="B389">
        <v>1975</v>
      </c>
      <c r="C389" s="77">
        <v>48.5</v>
      </c>
      <c r="D389" s="257">
        <v>650802.5</v>
      </c>
      <c r="E389" s="257">
        <f t="shared" si="14"/>
        <v>31563921.25</v>
      </c>
    </row>
    <row r="390" spans="1:5" outlineLevel="2" x14ac:dyDescent="0.25">
      <c r="A390">
        <v>38000</v>
      </c>
      <c r="B390">
        <v>1974</v>
      </c>
      <c r="C390" s="77">
        <v>49.5</v>
      </c>
      <c r="D390" s="257">
        <v>1002722.32</v>
      </c>
      <c r="E390" s="257">
        <f t="shared" si="14"/>
        <v>49634754.839999996</v>
      </c>
    </row>
    <row r="391" spans="1:5" outlineLevel="2" x14ac:dyDescent="0.25">
      <c r="A391">
        <v>38000</v>
      </c>
      <c r="B391">
        <v>1973</v>
      </c>
      <c r="C391" s="77">
        <v>50.5</v>
      </c>
      <c r="D391" s="257">
        <v>1103856.42</v>
      </c>
      <c r="E391" s="257">
        <f t="shared" si="14"/>
        <v>55744749.209999993</v>
      </c>
    </row>
    <row r="392" spans="1:5" outlineLevel="2" x14ac:dyDescent="0.25">
      <c r="A392">
        <v>38000</v>
      </c>
      <c r="B392">
        <v>1972</v>
      </c>
      <c r="C392" s="77">
        <v>51.5</v>
      </c>
      <c r="D392" s="257">
        <v>718089.58</v>
      </c>
      <c r="E392" s="257">
        <f t="shared" si="14"/>
        <v>36981613.369999997</v>
      </c>
    </row>
    <row r="393" spans="1:5" outlineLevel="2" x14ac:dyDescent="0.25">
      <c r="A393">
        <v>38000</v>
      </c>
      <c r="B393">
        <v>1971</v>
      </c>
      <c r="C393" s="77">
        <v>52.5</v>
      </c>
      <c r="D393" s="257">
        <v>568804.89</v>
      </c>
      <c r="E393" s="257">
        <f t="shared" si="14"/>
        <v>29862256.725000001</v>
      </c>
    </row>
    <row r="394" spans="1:5" outlineLevel="2" x14ac:dyDescent="0.25">
      <c r="A394">
        <v>38000</v>
      </c>
      <c r="B394">
        <v>1970</v>
      </c>
      <c r="C394" s="77">
        <v>53.5</v>
      </c>
      <c r="D394" s="257">
        <v>358544.46</v>
      </c>
      <c r="E394" s="257">
        <f t="shared" si="14"/>
        <v>19182128.609999999</v>
      </c>
    </row>
    <row r="395" spans="1:5" outlineLevel="2" x14ac:dyDescent="0.25">
      <c r="A395">
        <v>38000</v>
      </c>
      <c r="B395">
        <v>1969</v>
      </c>
      <c r="C395" s="77">
        <v>54.5</v>
      </c>
      <c r="D395" s="257">
        <v>473081.02</v>
      </c>
      <c r="E395" s="257">
        <f t="shared" si="14"/>
        <v>25782915.59</v>
      </c>
    </row>
    <row r="396" spans="1:5" outlineLevel="2" x14ac:dyDescent="0.25">
      <c r="A396">
        <v>38000</v>
      </c>
      <c r="B396">
        <v>1968</v>
      </c>
      <c r="C396" s="77">
        <v>55.5</v>
      </c>
      <c r="D396" s="257">
        <v>454367.57</v>
      </c>
      <c r="E396" s="257">
        <f t="shared" si="14"/>
        <v>25217400.135000002</v>
      </c>
    </row>
    <row r="397" spans="1:5" outlineLevel="2" x14ac:dyDescent="0.25">
      <c r="A397">
        <v>38000</v>
      </c>
      <c r="B397">
        <v>1967</v>
      </c>
      <c r="C397" s="77">
        <v>56.5</v>
      </c>
      <c r="D397" s="257">
        <v>625501.99</v>
      </c>
      <c r="E397" s="257">
        <f t="shared" si="14"/>
        <v>35340862.435000002</v>
      </c>
    </row>
    <row r="398" spans="1:5" outlineLevel="2" x14ac:dyDescent="0.25">
      <c r="A398">
        <v>38000</v>
      </c>
      <c r="B398">
        <v>1966</v>
      </c>
      <c r="C398" s="77">
        <v>57.5</v>
      </c>
      <c r="D398" s="257">
        <v>585399.56999999995</v>
      </c>
      <c r="E398" s="257">
        <f t="shared" si="14"/>
        <v>33660475.274999999</v>
      </c>
    </row>
    <row r="399" spans="1:5" outlineLevel="2" x14ac:dyDescent="0.25">
      <c r="A399">
        <v>38000</v>
      </c>
      <c r="B399">
        <v>1965</v>
      </c>
      <c r="C399" s="77">
        <v>58.5</v>
      </c>
      <c r="D399" s="257">
        <v>213189.43</v>
      </c>
      <c r="E399" s="257">
        <f t="shared" si="14"/>
        <v>12471581.654999999</v>
      </c>
    </row>
    <row r="400" spans="1:5" outlineLevel="2" x14ac:dyDescent="0.25">
      <c r="A400">
        <v>38000</v>
      </c>
      <c r="B400">
        <v>1964</v>
      </c>
      <c r="C400" s="77">
        <v>59.5</v>
      </c>
      <c r="D400" s="257">
        <v>251214.54</v>
      </c>
      <c r="E400" s="257">
        <f t="shared" si="14"/>
        <v>14947265.130000001</v>
      </c>
    </row>
    <row r="401" spans="1:5" outlineLevel="2" x14ac:dyDescent="0.25">
      <c r="A401">
        <v>38000</v>
      </c>
      <c r="B401">
        <v>1963</v>
      </c>
      <c r="C401" s="77">
        <v>60.5</v>
      </c>
      <c r="D401" s="257">
        <v>181908.15</v>
      </c>
      <c r="E401" s="257">
        <f t="shared" si="14"/>
        <v>11005443.074999999</v>
      </c>
    </row>
    <row r="402" spans="1:5" outlineLevel="2" x14ac:dyDescent="0.25">
      <c r="A402">
        <v>38000</v>
      </c>
      <c r="B402">
        <v>1962</v>
      </c>
      <c r="C402" s="77">
        <v>61.5</v>
      </c>
      <c r="D402" s="257">
        <v>173420.77</v>
      </c>
      <c r="E402" s="257">
        <f t="shared" si="14"/>
        <v>10665377.354999999</v>
      </c>
    </row>
    <row r="403" spans="1:5" outlineLevel="2" x14ac:dyDescent="0.25">
      <c r="A403">
        <v>38000</v>
      </c>
      <c r="B403">
        <v>1961</v>
      </c>
      <c r="C403" s="77">
        <v>62.5</v>
      </c>
      <c r="D403" s="257">
        <v>169007.38</v>
      </c>
      <c r="E403" s="257">
        <f t="shared" si="14"/>
        <v>10562961.25</v>
      </c>
    </row>
    <row r="404" spans="1:5" outlineLevel="2" x14ac:dyDescent="0.25">
      <c r="A404">
        <v>38000</v>
      </c>
      <c r="B404">
        <v>1960</v>
      </c>
      <c r="C404" s="77">
        <v>63.5</v>
      </c>
      <c r="D404" s="257">
        <v>420949.1</v>
      </c>
      <c r="E404" s="257">
        <f t="shared" si="14"/>
        <v>26730267.849999998</v>
      </c>
    </row>
    <row r="405" spans="1:5" outlineLevel="2" x14ac:dyDescent="0.25">
      <c r="A405">
        <v>38000</v>
      </c>
      <c r="B405">
        <v>1959</v>
      </c>
      <c r="C405" s="77">
        <v>64.5</v>
      </c>
      <c r="D405" s="257">
        <v>1055736.48</v>
      </c>
      <c r="E405" s="257">
        <f t="shared" si="14"/>
        <v>68095002.959999993</v>
      </c>
    </row>
    <row r="406" spans="1:5" outlineLevel="2" x14ac:dyDescent="0.25">
      <c r="A406">
        <v>38000</v>
      </c>
      <c r="B406">
        <v>1958</v>
      </c>
      <c r="C406" s="77">
        <v>65.5</v>
      </c>
      <c r="D406" s="257">
        <v>197644.32</v>
      </c>
      <c r="E406" s="257">
        <f t="shared" ref="E406:E433" si="15">+C406*D406</f>
        <v>12945702.960000001</v>
      </c>
    </row>
    <row r="407" spans="1:5" outlineLevel="2" x14ac:dyDescent="0.25">
      <c r="A407">
        <v>38000</v>
      </c>
      <c r="B407">
        <v>1957</v>
      </c>
      <c r="C407" s="77">
        <v>66.5</v>
      </c>
      <c r="D407" s="257">
        <v>102028.47</v>
      </c>
      <c r="E407" s="257">
        <f t="shared" si="15"/>
        <v>6784893.2549999999</v>
      </c>
    </row>
    <row r="408" spans="1:5" outlineLevel="2" x14ac:dyDescent="0.25">
      <c r="A408">
        <v>38000</v>
      </c>
      <c r="B408">
        <v>1956</v>
      </c>
      <c r="C408" s="77">
        <v>67.5</v>
      </c>
      <c r="D408" s="257">
        <v>65169.81</v>
      </c>
      <c r="E408" s="257">
        <f t="shared" si="15"/>
        <v>4398962.1749999998</v>
      </c>
    </row>
    <row r="409" spans="1:5" outlineLevel="2" x14ac:dyDescent="0.25">
      <c r="A409">
        <v>38000</v>
      </c>
      <c r="B409">
        <v>1955</v>
      </c>
      <c r="C409" s="77">
        <v>68.5</v>
      </c>
      <c r="D409" s="257">
        <v>18368.150000000001</v>
      </c>
      <c r="E409" s="257">
        <f t="shared" si="15"/>
        <v>1258218.2750000001</v>
      </c>
    </row>
    <row r="410" spans="1:5" outlineLevel="2" x14ac:dyDescent="0.25">
      <c r="A410">
        <v>38000</v>
      </c>
      <c r="B410">
        <v>1954</v>
      </c>
      <c r="C410" s="77">
        <v>69.5</v>
      </c>
      <c r="D410" s="257">
        <v>18214.09</v>
      </c>
      <c r="E410" s="257">
        <f t="shared" si="15"/>
        <v>1265879.2550000001</v>
      </c>
    </row>
    <row r="411" spans="1:5" outlineLevel="2" x14ac:dyDescent="0.25">
      <c r="A411">
        <v>38000</v>
      </c>
      <c r="B411">
        <v>1953</v>
      </c>
      <c r="C411" s="77">
        <v>70.5</v>
      </c>
      <c r="D411" s="257">
        <v>7647.47</v>
      </c>
      <c r="E411" s="257">
        <f t="shared" si="15"/>
        <v>539146.63500000001</v>
      </c>
    </row>
    <row r="412" spans="1:5" outlineLevel="2" x14ac:dyDescent="0.25">
      <c r="A412">
        <v>38000</v>
      </c>
      <c r="B412">
        <v>1952</v>
      </c>
      <c r="C412" s="77">
        <v>71.5</v>
      </c>
      <c r="D412" s="257">
        <v>17254.91</v>
      </c>
      <c r="E412" s="257">
        <f t="shared" si="15"/>
        <v>1233726.0649999999</v>
      </c>
    </row>
    <row r="413" spans="1:5" outlineLevel="2" x14ac:dyDescent="0.25">
      <c r="A413">
        <v>38000</v>
      </c>
      <c r="B413">
        <v>1951</v>
      </c>
      <c r="C413" s="77">
        <v>72.5</v>
      </c>
      <c r="D413" s="257">
        <v>8833.85</v>
      </c>
      <c r="E413" s="257">
        <f t="shared" si="15"/>
        <v>640454.125</v>
      </c>
    </row>
    <row r="414" spans="1:5" outlineLevel="2" x14ac:dyDescent="0.25">
      <c r="A414">
        <v>38000</v>
      </c>
      <c r="B414">
        <v>1950</v>
      </c>
      <c r="C414" s="77">
        <v>73.5</v>
      </c>
      <c r="D414" s="257">
        <v>11168.13</v>
      </c>
      <c r="E414" s="257">
        <f t="shared" si="15"/>
        <v>820857.55499999993</v>
      </c>
    </row>
    <row r="415" spans="1:5" outlineLevel="2" x14ac:dyDescent="0.25">
      <c r="A415">
        <v>38000</v>
      </c>
      <c r="B415">
        <v>1949</v>
      </c>
      <c r="C415" s="77">
        <v>74.5</v>
      </c>
      <c r="D415" s="257">
        <v>16287.73</v>
      </c>
      <c r="E415" s="257">
        <f t="shared" si="15"/>
        <v>1213435.885</v>
      </c>
    </row>
    <row r="416" spans="1:5" outlineLevel="2" x14ac:dyDescent="0.25">
      <c r="A416">
        <v>38000</v>
      </c>
      <c r="B416">
        <v>1948</v>
      </c>
      <c r="C416" s="77">
        <v>75.5</v>
      </c>
      <c r="D416" s="257">
        <v>40407.839999999997</v>
      </c>
      <c r="E416" s="257">
        <f t="shared" si="15"/>
        <v>3050791.92</v>
      </c>
    </row>
    <row r="417" spans="1:5" outlineLevel="2" x14ac:dyDescent="0.25">
      <c r="A417">
        <v>38000</v>
      </c>
      <c r="B417">
        <v>1947</v>
      </c>
      <c r="C417" s="77">
        <v>76.5</v>
      </c>
      <c r="D417" s="257">
        <v>4023.91</v>
      </c>
      <c r="E417" s="257">
        <f t="shared" si="15"/>
        <v>307829.11499999999</v>
      </c>
    </row>
    <row r="418" spans="1:5" outlineLevel="2" x14ac:dyDescent="0.25">
      <c r="A418">
        <v>38000</v>
      </c>
      <c r="B418">
        <v>1946</v>
      </c>
      <c r="C418" s="77">
        <v>77.5</v>
      </c>
      <c r="D418" s="257">
        <v>17282.78</v>
      </c>
      <c r="E418" s="257">
        <f t="shared" si="15"/>
        <v>1339415.45</v>
      </c>
    </row>
    <row r="419" spans="1:5" outlineLevel="2" x14ac:dyDescent="0.25">
      <c r="A419">
        <v>38000</v>
      </c>
      <c r="B419">
        <v>1945</v>
      </c>
      <c r="C419" s="77">
        <v>78.5</v>
      </c>
      <c r="D419" s="257">
        <v>127.48</v>
      </c>
      <c r="E419" s="257">
        <f t="shared" si="15"/>
        <v>10007.18</v>
      </c>
    </row>
    <row r="420" spans="1:5" outlineLevel="2" x14ac:dyDescent="0.25">
      <c r="A420">
        <v>38000</v>
      </c>
      <c r="B420">
        <v>1944</v>
      </c>
      <c r="C420" s="77">
        <v>79.5</v>
      </c>
      <c r="D420" s="257">
        <v>5546.35</v>
      </c>
      <c r="E420" s="257">
        <f t="shared" si="15"/>
        <v>440934.82500000001</v>
      </c>
    </row>
    <row r="421" spans="1:5" outlineLevel="2" x14ac:dyDescent="0.25">
      <c r="A421">
        <v>38000</v>
      </c>
      <c r="B421">
        <v>1943</v>
      </c>
      <c r="C421" s="77">
        <v>80.5</v>
      </c>
      <c r="D421" s="257">
        <v>17809.830000000002</v>
      </c>
      <c r="E421" s="257">
        <f t="shared" si="15"/>
        <v>1433691.3150000002</v>
      </c>
    </row>
    <row r="422" spans="1:5" outlineLevel="2" x14ac:dyDescent="0.25">
      <c r="A422">
        <v>38000</v>
      </c>
      <c r="B422">
        <v>1942</v>
      </c>
      <c r="C422" s="77">
        <v>81.5</v>
      </c>
      <c r="D422" s="257">
        <v>8296.66</v>
      </c>
      <c r="E422" s="257">
        <f t="shared" si="15"/>
        <v>676177.79</v>
      </c>
    </row>
    <row r="423" spans="1:5" outlineLevel="2" x14ac:dyDescent="0.25">
      <c r="A423">
        <v>38000</v>
      </c>
      <c r="B423">
        <v>1941</v>
      </c>
      <c r="C423" s="77">
        <v>82.5</v>
      </c>
      <c r="D423" s="257">
        <v>4729.75</v>
      </c>
      <c r="E423" s="257">
        <f t="shared" si="15"/>
        <v>390204.375</v>
      </c>
    </row>
    <row r="424" spans="1:5" outlineLevel="2" x14ac:dyDescent="0.25">
      <c r="A424">
        <v>38000</v>
      </c>
      <c r="B424">
        <v>1940</v>
      </c>
      <c r="C424" s="77">
        <v>83.5</v>
      </c>
      <c r="D424" s="257">
        <v>81.069999999999993</v>
      </c>
      <c r="E424" s="257">
        <f t="shared" si="15"/>
        <v>6769.3449999999993</v>
      </c>
    </row>
    <row r="425" spans="1:5" outlineLevel="2" x14ac:dyDescent="0.25">
      <c r="A425">
        <v>38000</v>
      </c>
      <c r="B425">
        <v>1939</v>
      </c>
      <c r="C425" s="77">
        <v>84.5</v>
      </c>
      <c r="D425" s="257">
        <v>1710.51</v>
      </c>
      <c r="E425" s="257">
        <f t="shared" si="15"/>
        <v>144538.095</v>
      </c>
    </row>
    <row r="426" spans="1:5" outlineLevel="2" x14ac:dyDescent="0.25">
      <c r="A426">
        <v>38000</v>
      </c>
      <c r="B426">
        <v>1938</v>
      </c>
      <c r="C426" s="77">
        <v>85.5</v>
      </c>
      <c r="D426" s="257">
        <v>2962.28</v>
      </c>
      <c r="E426" s="257">
        <f t="shared" si="15"/>
        <v>253274.94000000003</v>
      </c>
    </row>
    <row r="427" spans="1:5" outlineLevel="2" x14ac:dyDescent="0.25">
      <c r="A427">
        <v>38000</v>
      </c>
      <c r="B427">
        <v>1937</v>
      </c>
      <c r="C427" s="77">
        <v>86.5</v>
      </c>
      <c r="D427" s="257">
        <v>59.6</v>
      </c>
      <c r="E427" s="257">
        <f t="shared" si="15"/>
        <v>5155.4000000000005</v>
      </c>
    </row>
    <row r="428" spans="1:5" outlineLevel="2" x14ac:dyDescent="0.25">
      <c r="A428">
        <v>38000</v>
      </c>
      <c r="B428">
        <v>1936</v>
      </c>
      <c r="C428" s="77">
        <v>87.5</v>
      </c>
      <c r="D428" s="257">
        <v>2038.16</v>
      </c>
      <c r="E428" s="257">
        <f t="shared" si="15"/>
        <v>178339</v>
      </c>
    </row>
    <row r="429" spans="1:5" outlineLevel="2" x14ac:dyDescent="0.25">
      <c r="A429">
        <v>38000</v>
      </c>
      <c r="B429">
        <v>1935</v>
      </c>
      <c r="C429" s="77">
        <v>88.5</v>
      </c>
      <c r="D429" s="257">
        <v>103.11</v>
      </c>
      <c r="E429" s="257">
        <f t="shared" si="15"/>
        <v>9125.2350000000006</v>
      </c>
    </row>
    <row r="430" spans="1:5" outlineLevel="2" x14ac:dyDescent="0.25">
      <c r="A430">
        <v>38000</v>
      </c>
      <c r="B430">
        <v>1934</v>
      </c>
      <c r="C430" s="77">
        <v>89.5</v>
      </c>
      <c r="D430" s="257">
        <v>84.24</v>
      </c>
      <c r="E430" s="257">
        <f t="shared" si="15"/>
        <v>7539.48</v>
      </c>
    </row>
    <row r="431" spans="1:5" outlineLevel="2" x14ac:dyDescent="0.25">
      <c r="A431">
        <v>38000</v>
      </c>
      <c r="B431">
        <v>1933</v>
      </c>
      <c r="C431" s="77">
        <v>90.5</v>
      </c>
      <c r="D431" s="257">
        <v>157.80000000000001</v>
      </c>
      <c r="E431" s="257">
        <f t="shared" si="15"/>
        <v>14280.900000000001</v>
      </c>
    </row>
    <row r="432" spans="1:5" outlineLevel="2" x14ac:dyDescent="0.25">
      <c r="A432">
        <v>38000</v>
      </c>
      <c r="B432">
        <v>1932</v>
      </c>
      <c r="C432" s="77">
        <v>91.5</v>
      </c>
      <c r="D432" s="257">
        <v>1402.61</v>
      </c>
      <c r="E432" s="257">
        <f t="shared" si="15"/>
        <v>128338.81499999999</v>
      </c>
    </row>
    <row r="433" spans="1:6" outlineLevel="2" x14ac:dyDescent="0.25">
      <c r="A433">
        <v>38000</v>
      </c>
      <c r="B433">
        <v>1930</v>
      </c>
      <c r="C433" s="77">
        <v>93.5</v>
      </c>
      <c r="D433" s="257">
        <v>1242.3800000000001</v>
      </c>
      <c r="E433" s="257">
        <f t="shared" si="15"/>
        <v>116162.53000000001</v>
      </c>
    </row>
    <row r="434" spans="1:6" ht="13" outlineLevel="1" x14ac:dyDescent="0.3">
      <c r="A434" s="18" t="s">
        <v>1185</v>
      </c>
      <c r="C434" s="77" t="s">
        <v>1229</v>
      </c>
      <c r="D434" s="257">
        <f>SUBTOTAL(9,D342:D433)</f>
        <v>68085342.289999977</v>
      </c>
      <c r="E434" s="257">
        <f>SUBTOTAL(9,E342:E433)</f>
        <v>1476104765.9950006</v>
      </c>
      <c r="F434" s="257">
        <f>+E434/D434</f>
        <v>21.680213631118121</v>
      </c>
    </row>
    <row r="435" spans="1:6" outlineLevel="2" x14ac:dyDescent="0.25">
      <c r="A435">
        <v>38002</v>
      </c>
      <c r="B435">
        <v>2023</v>
      </c>
      <c r="C435" s="77">
        <v>0.5</v>
      </c>
      <c r="D435" s="257">
        <v>66087725.829999998</v>
      </c>
      <c r="E435" s="257">
        <f t="shared" ref="E435:E477" si="16">+C435*D435</f>
        <v>33043862.914999999</v>
      </c>
    </row>
    <row r="436" spans="1:6" outlineLevel="2" x14ac:dyDescent="0.25">
      <c r="A436">
        <v>38002</v>
      </c>
      <c r="B436">
        <v>2022</v>
      </c>
      <c r="C436" s="77">
        <v>1.5</v>
      </c>
      <c r="D436" s="257">
        <v>62233681.32</v>
      </c>
      <c r="E436" s="257">
        <f t="shared" si="16"/>
        <v>93350521.980000004</v>
      </c>
    </row>
    <row r="437" spans="1:6" outlineLevel="2" x14ac:dyDescent="0.25">
      <c r="A437">
        <v>38002</v>
      </c>
      <c r="B437">
        <v>2021</v>
      </c>
      <c r="C437" s="77">
        <v>2.5</v>
      </c>
      <c r="D437" s="257">
        <v>54543732.350000001</v>
      </c>
      <c r="E437" s="257">
        <f t="shared" si="16"/>
        <v>136359330.875</v>
      </c>
    </row>
    <row r="438" spans="1:6" outlineLevel="2" x14ac:dyDescent="0.25">
      <c r="A438">
        <v>38002</v>
      </c>
      <c r="B438">
        <v>2020</v>
      </c>
      <c r="C438" s="77">
        <v>3.5</v>
      </c>
      <c r="D438" s="257">
        <v>49738113.32</v>
      </c>
      <c r="E438" s="257">
        <f t="shared" si="16"/>
        <v>174083396.62</v>
      </c>
    </row>
    <row r="439" spans="1:6" outlineLevel="2" x14ac:dyDescent="0.25">
      <c r="A439">
        <v>38002</v>
      </c>
      <c r="B439">
        <v>2019</v>
      </c>
      <c r="C439" s="77">
        <v>4.5</v>
      </c>
      <c r="D439" s="257">
        <v>41279315.600000001</v>
      </c>
      <c r="E439" s="257">
        <f t="shared" si="16"/>
        <v>185756920.20000002</v>
      </c>
    </row>
    <row r="440" spans="1:6" outlineLevel="2" x14ac:dyDescent="0.25">
      <c r="A440">
        <v>38002</v>
      </c>
      <c r="B440">
        <v>2018</v>
      </c>
      <c r="C440" s="77">
        <v>5.5</v>
      </c>
      <c r="D440" s="257">
        <v>42070531.100000001</v>
      </c>
      <c r="E440" s="257">
        <f t="shared" si="16"/>
        <v>231387921.05000001</v>
      </c>
    </row>
    <row r="441" spans="1:6" outlineLevel="2" x14ac:dyDescent="0.25">
      <c r="A441">
        <v>38002</v>
      </c>
      <c r="B441">
        <v>2017</v>
      </c>
      <c r="C441" s="77">
        <v>6.5</v>
      </c>
      <c r="D441" s="257">
        <v>25325870.02</v>
      </c>
      <c r="E441" s="257">
        <f t="shared" si="16"/>
        <v>164618155.13</v>
      </c>
    </row>
    <row r="442" spans="1:6" outlineLevel="2" x14ac:dyDescent="0.25">
      <c r="A442">
        <v>38002</v>
      </c>
      <c r="B442">
        <v>2016</v>
      </c>
      <c r="C442" s="77">
        <v>7.5</v>
      </c>
      <c r="D442" s="257">
        <v>24706396.629999999</v>
      </c>
      <c r="E442" s="257">
        <f t="shared" si="16"/>
        <v>185297974.72499999</v>
      </c>
    </row>
    <row r="443" spans="1:6" outlineLevel="2" x14ac:dyDescent="0.25">
      <c r="A443">
        <v>38002</v>
      </c>
      <c r="B443">
        <v>2015</v>
      </c>
      <c r="C443" s="77">
        <v>8.5</v>
      </c>
      <c r="D443" s="257">
        <v>17667666.34</v>
      </c>
      <c r="E443" s="257">
        <f t="shared" si="16"/>
        <v>150175163.88999999</v>
      </c>
    </row>
    <row r="444" spans="1:6" outlineLevel="2" x14ac:dyDescent="0.25">
      <c r="A444">
        <v>38002</v>
      </c>
      <c r="B444">
        <v>2014</v>
      </c>
      <c r="C444" s="77">
        <v>9.5</v>
      </c>
      <c r="D444" s="257">
        <v>16039838.689999999</v>
      </c>
      <c r="E444" s="257">
        <f t="shared" si="16"/>
        <v>152378467.55500001</v>
      </c>
    </row>
    <row r="445" spans="1:6" outlineLevel="2" x14ac:dyDescent="0.25">
      <c r="A445">
        <v>38002</v>
      </c>
      <c r="B445">
        <v>2013</v>
      </c>
      <c r="C445" s="77">
        <v>10.5</v>
      </c>
      <c r="D445" s="257">
        <v>13640697.210000001</v>
      </c>
      <c r="E445" s="257">
        <f t="shared" si="16"/>
        <v>143227320.70500001</v>
      </c>
    </row>
    <row r="446" spans="1:6" outlineLevel="2" x14ac:dyDescent="0.25">
      <c r="A446">
        <v>38002</v>
      </c>
      <c r="B446">
        <v>2012</v>
      </c>
      <c r="C446" s="77">
        <v>11.5</v>
      </c>
      <c r="D446" s="257">
        <v>11400806.609999999</v>
      </c>
      <c r="E446" s="257">
        <f t="shared" si="16"/>
        <v>131109276.01499999</v>
      </c>
    </row>
    <row r="447" spans="1:6" outlineLevel="2" x14ac:dyDescent="0.25">
      <c r="A447">
        <v>38002</v>
      </c>
      <c r="B447">
        <v>2011</v>
      </c>
      <c r="C447" s="77">
        <v>12.5</v>
      </c>
      <c r="D447" s="257">
        <v>9120883.8599999994</v>
      </c>
      <c r="E447" s="257">
        <f t="shared" si="16"/>
        <v>114011048.25</v>
      </c>
    </row>
    <row r="448" spans="1:6" outlineLevel="2" x14ac:dyDescent="0.25">
      <c r="A448">
        <v>38002</v>
      </c>
      <c r="B448">
        <v>2010</v>
      </c>
      <c r="C448" s="77">
        <v>13.5</v>
      </c>
      <c r="D448" s="257">
        <v>8235451.8300000001</v>
      </c>
      <c r="E448" s="257">
        <f t="shared" si="16"/>
        <v>111178599.705</v>
      </c>
    </row>
    <row r="449" spans="1:5" outlineLevel="2" x14ac:dyDescent="0.25">
      <c r="A449">
        <v>38002</v>
      </c>
      <c r="B449">
        <v>2009</v>
      </c>
      <c r="C449" s="77">
        <v>14.5</v>
      </c>
      <c r="D449" s="257">
        <v>6158919.2699999996</v>
      </c>
      <c r="E449" s="257">
        <f t="shared" si="16"/>
        <v>89304329.414999992</v>
      </c>
    </row>
    <row r="450" spans="1:5" outlineLevel="2" x14ac:dyDescent="0.25">
      <c r="A450">
        <v>38002</v>
      </c>
      <c r="B450">
        <v>2008</v>
      </c>
      <c r="C450" s="77">
        <v>15.5</v>
      </c>
      <c r="D450" s="257">
        <v>7961666.0899999999</v>
      </c>
      <c r="E450" s="257">
        <f t="shared" si="16"/>
        <v>123405824.395</v>
      </c>
    </row>
    <row r="451" spans="1:5" outlineLevel="2" x14ac:dyDescent="0.25">
      <c r="A451">
        <v>38002</v>
      </c>
      <c r="B451">
        <v>2007</v>
      </c>
      <c r="C451" s="77">
        <v>16.5</v>
      </c>
      <c r="D451" s="257">
        <v>9570012.0700000003</v>
      </c>
      <c r="E451" s="257">
        <f t="shared" si="16"/>
        <v>157905199.155</v>
      </c>
    </row>
    <row r="452" spans="1:5" outlineLevel="2" x14ac:dyDescent="0.25">
      <c r="A452">
        <v>38002</v>
      </c>
      <c r="B452">
        <v>2006</v>
      </c>
      <c r="C452" s="77">
        <v>17.5</v>
      </c>
      <c r="D452" s="257">
        <v>10833211.640000001</v>
      </c>
      <c r="E452" s="257">
        <f t="shared" si="16"/>
        <v>189581203.70000002</v>
      </c>
    </row>
    <row r="453" spans="1:5" outlineLevel="2" x14ac:dyDescent="0.25">
      <c r="A453">
        <v>38002</v>
      </c>
      <c r="B453">
        <v>2005</v>
      </c>
      <c r="C453" s="77">
        <v>18.5</v>
      </c>
      <c r="D453" s="257">
        <v>10242225.91</v>
      </c>
      <c r="E453" s="257">
        <f t="shared" si="16"/>
        <v>189481179.33500001</v>
      </c>
    </row>
    <row r="454" spans="1:5" outlineLevel="2" x14ac:dyDescent="0.25">
      <c r="A454">
        <v>38002</v>
      </c>
      <c r="B454">
        <v>2004</v>
      </c>
      <c r="C454" s="77">
        <v>19.5</v>
      </c>
      <c r="D454" s="257">
        <v>10785749.57</v>
      </c>
      <c r="E454" s="257">
        <f t="shared" si="16"/>
        <v>210322116.61500001</v>
      </c>
    </row>
    <row r="455" spans="1:5" outlineLevel="2" x14ac:dyDescent="0.25">
      <c r="A455">
        <v>38002</v>
      </c>
      <c r="B455">
        <v>2003</v>
      </c>
      <c r="C455" s="77">
        <v>20.5</v>
      </c>
      <c r="D455" s="257">
        <v>10675414.15</v>
      </c>
      <c r="E455" s="257">
        <f t="shared" si="16"/>
        <v>218845990.07500002</v>
      </c>
    </row>
    <row r="456" spans="1:5" outlineLevel="2" x14ac:dyDescent="0.25">
      <c r="A456">
        <v>38002</v>
      </c>
      <c r="B456">
        <v>2002</v>
      </c>
      <c r="C456" s="77">
        <v>21.5</v>
      </c>
      <c r="D456" s="257">
        <v>9561016.3100000005</v>
      </c>
      <c r="E456" s="257">
        <f t="shared" si="16"/>
        <v>205561850.66500002</v>
      </c>
    </row>
    <row r="457" spans="1:5" outlineLevel="2" x14ac:dyDescent="0.25">
      <c r="A457">
        <v>38002</v>
      </c>
      <c r="B457">
        <v>2001</v>
      </c>
      <c r="C457" s="77">
        <v>22.5</v>
      </c>
      <c r="D457" s="257">
        <v>2636333.21</v>
      </c>
      <c r="E457" s="257">
        <f t="shared" si="16"/>
        <v>59317497.225000001</v>
      </c>
    </row>
    <row r="458" spans="1:5" outlineLevel="2" x14ac:dyDescent="0.25">
      <c r="A458">
        <v>38002</v>
      </c>
      <c r="B458">
        <v>2000</v>
      </c>
      <c r="C458" s="77">
        <v>23.5</v>
      </c>
      <c r="D458" s="257">
        <v>22372714.649999999</v>
      </c>
      <c r="E458" s="257">
        <f t="shared" si="16"/>
        <v>525758794.27499998</v>
      </c>
    </row>
    <row r="459" spans="1:5" outlineLevel="2" x14ac:dyDescent="0.25">
      <c r="A459">
        <v>38002</v>
      </c>
      <c r="B459">
        <v>1999</v>
      </c>
      <c r="C459" s="77">
        <v>24.5</v>
      </c>
      <c r="D459" s="257">
        <v>7483457.8899999997</v>
      </c>
      <c r="E459" s="257">
        <f t="shared" si="16"/>
        <v>183344718.30499998</v>
      </c>
    </row>
    <row r="460" spans="1:5" outlineLevel="2" x14ac:dyDescent="0.25">
      <c r="A460">
        <v>38002</v>
      </c>
      <c r="B460">
        <v>1998</v>
      </c>
      <c r="C460" s="77">
        <v>25.5</v>
      </c>
      <c r="D460" s="257">
        <v>5783972.9000000004</v>
      </c>
      <c r="E460" s="257">
        <f t="shared" si="16"/>
        <v>147491308.95000002</v>
      </c>
    </row>
    <row r="461" spans="1:5" outlineLevel="2" x14ac:dyDescent="0.25">
      <c r="A461">
        <v>38002</v>
      </c>
      <c r="B461">
        <v>1997</v>
      </c>
      <c r="C461" s="77">
        <v>26.5</v>
      </c>
      <c r="D461" s="257">
        <v>5793613.7400000002</v>
      </c>
      <c r="E461" s="257">
        <f t="shared" si="16"/>
        <v>153530764.11000001</v>
      </c>
    </row>
    <row r="462" spans="1:5" outlineLevel="2" x14ac:dyDescent="0.25">
      <c r="A462">
        <v>38002</v>
      </c>
      <c r="B462">
        <v>1996</v>
      </c>
      <c r="C462" s="77">
        <v>27.5</v>
      </c>
      <c r="D462" s="257">
        <v>4978692.4400000004</v>
      </c>
      <c r="E462" s="257">
        <f t="shared" si="16"/>
        <v>136914042.10000002</v>
      </c>
    </row>
    <row r="463" spans="1:5" outlineLevel="2" x14ac:dyDescent="0.25">
      <c r="A463">
        <v>38002</v>
      </c>
      <c r="B463">
        <v>1995</v>
      </c>
      <c r="C463" s="77">
        <v>28.5</v>
      </c>
      <c r="D463" s="257">
        <v>4686480.8600000003</v>
      </c>
      <c r="E463" s="257">
        <f t="shared" si="16"/>
        <v>133564704.51000001</v>
      </c>
    </row>
    <row r="464" spans="1:5" outlineLevel="2" x14ac:dyDescent="0.25">
      <c r="A464">
        <v>38002</v>
      </c>
      <c r="B464">
        <v>1994</v>
      </c>
      <c r="C464" s="77">
        <v>29.5</v>
      </c>
      <c r="D464" s="257">
        <v>4973523.9800000004</v>
      </c>
      <c r="E464" s="257">
        <f t="shared" si="16"/>
        <v>146718957.41000003</v>
      </c>
    </row>
    <row r="465" spans="1:6" outlineLevel="2" x14ac:dyDescent="0.25">
      <c r="A465">
        <v>38002</v>
      </c>
      <c r="B465">
        <v>1993</v>
      </c>
      <c r="C465" s="77">
        <v>30.5</v>
      </c>
      <c r="D465" s="257">
        <v>4886374.05</v>
      </c>
      <c r="E465" s="257">
        <f t="shared" si="16"/>
        <v>149034408.52500001</v>
      </c>
    </row>
    <row r="466" spans="1:6" outlineLevel="2" x14ac:dyDescent="0.25">
      <c r="A466">
        <v>38002</v>
      </c>
      <c r="B466">
        <v>1992</v>
      </c>
      <c r="C466" s="77">
        <v>31.5</v>
      </c>
      <c r="D466" s="257">
        <v>3616386.29</v>
      </c>
      <c r="E466" s="257">
        <f t="shared" si="16"/>
        <v>113916168.13500001</v>
      </c>
    </row>
    <row r="467" spans="1:6" outlineLevel="2" x14ac:dyDescent="0.25">
      <c r="A467">
        <v>38002</v>
      </c>
      <c r="B467">
        <v>1991</v>
      </c>
      <c r="C467" s="77">
        <v>32.5</v>
      </c>
      <c r="D467" s="257">
        <v>3654743.39</v>
      </c>
      <c r="E467" s="257">
        <f t="shared" si="16"/>
        <v>118779160.175</v>
      </c>
    </row>
    <row r="468" spans="1:6" outlineLevel="2" x14ac:dyDescent="0.25">
      <c r="A468">
        <v>38002</v>
      </c>
      <c r="B468">
        <v>1990</v>
      </c>
      <c r="C468" s="77">
        <v>33.5</v>
      </c>
      <c r="D468" s="257">
        <v>3839374.61</v>
      </c>
      <c r="E468" s="257">
        <f t="shared" si="16"/>
        <v>128619049.435</v>
      </c>
    </row>
    <row r="469" spans="1:6" outlineLevel="2" x14ac:dyDescent="0.25">
      <c r="A469">
        <v>38002</v>
      </c>
      <c r="B469">
        <v>1989</v>
      </c>
      <c r="C469" s="77">
        <v>34.5</v>
      </c>
      <c r="D469" s="257">
        <v>2931766.99</v>
      </c>
      <c r="E469" s="257">
        <f t="shared" si="16"/>
        <v>101145961.155</v>
      </c>
    </row>
    <row r="470" spans="1:6" outlineLevel="2" x14ac:dyDescent="0.25">
      <c r="A470">
        <v>38002</v>
      </c>
      <c r="B470">
        <v>1988</v>
      </c>
      <c r="C470" s="77">
        <v>35.5</v>
      </c>
      <c r="D470" s="257">
        <v>3232091.47</v>
      </c>
      <c r="E470" s="257">
        <f t="shared" si="16"/>
        <v>114739247.185</v>
      </c>
    </row>
    <row r="471" spans="1:6" outlineLevel="2" x14ac:dyDescent="0.25">
      <c r="A471">
        <v>38002</v>
      </c>
      <c r="B471">
        <v>1987</v>
      </c>
      <c r="C471" s="77">
        <v>36.5</v>
      </c>
      <c r="D471" s="257">
        <v>2663338.87</v>
      </c>
      <c r="E471" s="257">
        <f t="shared" si="16"/>
        <v>97211868.75500001</v>
      </c>
    </row>
    <row r="472" spans="1:6" outlineLevel="2" x14ac:dyDescent="0.25">
      <c r="A472">
        <v>38002</v>
      </c>
      <c r="B472">
        <v>1986</v>
      </c>
      <c r="C472" s="77">
        <v>37.5</v>
      </c>
      <c r="D472" s="257">
        <v>2463685.46</v>
      </c>
      <c r="E472" s="257">
        <f t="shared" si="16"/>
        <v>92388204.75</v>
      </c>
    </row>
    <row r="473" spans="1:6" outlineLevel="2" x14ac:dyDescent="0.25">
      <c r="A473">
        <v>38002</v>
      </c>
      <c r="B473">
        <v>1985</v>
      </c>
      <c r="C473" s="77">
        <v>38.5</v>
      </c>
      <c r="D473" s="257">
        <v>1754453.59</v>
      </c>
      <c r="E473" s="257">
        <f t="shared" si="16"/>
        <v>67546463.215000004</v>
      </c>
    </row>
    <row r="474" spans="1:6" outlineLevel="2" x14ac:dyDescent="0.25">
      <c r="A474">
        <v>38002</v>
      </c>
      <c r="B474">
        <v>1984</v>
      </c>
      <c r="C474" s="77">
        <v>39.5</v>
      </c>
      <c r="D474" s="257">
        <v>1386418.34</v>
      </c>
      <c r="E474" s="257">
        <f t="shared" si="16"/>
        <v>54763524.43</v>
      </c>
    </row>
    <row r="475" spans="1:6" outlineLevel="2" x14ac:dyDescent="0.25">
      <c r="A475">
        <v>38002</v>
      </c>
      <c r="B475">
        <v>1983</v>
      </c>
      <c r="C475" s="77">
        <v>40.5</v>
      </c>
      <c r="D475" s="257">
        <v>1383346.29</v>
      </c>
      <c r="E475" s="257">
        <f t="shared" si="16"/>
        <v>56025524.745000005</v>
      </c>
    </row>
    <row r="476" spans="1:6" outlineLevel="2" x14ac:dyDescent="0.25">
      <c r="A476">
        <v>38002</v>
      </c>
      <c r="B476">
        <v>1982</v>
      </c>
      <c r="C476" s="77">
        <v>41.5</v>
      </c>
      <c r="D476" s="257">
        <v>1200463.74</v>
      </c>
      <c r="E476" s="257">
        <f t="shared" si="16"/>
        <v>49819245.210000001</v>
      </c>
    </row>
    <row r="477" spans="1:6" outlineLevel="2" x14ac:dyDescent="0.25">
      <c r="A477">
        <v>38002</v>
      </c>
      <c r="B477">
        <v>1981</v>
      </c>
      <c r="C477" s="77">
        <v>42.5</v>
      </c>
      <c r="D477" s="257">
        <v>480379.85</v>
      </c>
      <c r="E477" s="257">
        <f t="shared" si="16"/>
        <v>20416143.625</v>
      </c>
    </row>
    <row r="478" spans="1:6" ht="13" outlineLevel="1" x14ac:dyDescent="0.3">
      <c r="A478" s="18" t="s">
        <v>1186</v>
      </c>
      <c r="C478" s="77"/>
      <c r="D478" s="257">
        <f>SUBTOTAL(9,D435:D477)</f>
        <v>610080538.33000004</v>
      </c>
      <c r="E478" s="257">
        <f>SUBTOTAL(9,E435:E477)</f>
        <v>6041431409.1950016</v>
      </c>
      <c r="F478" s="257">
        <f>+E478/D478</f>
        <v>9.9026784655882878</v>
      </c>
    </row>
    <row r="479" spans="1:6" outlineLevel="2" x14ac:dyDescent="0.25">
      <c r="A479">
        <v>38100</v>
      </c>
      <c r="B479">
        <v>2023</v>
      </c>
      <c r="C479" s="77">
        <v>0.5</v>
      </c>
      <c r="D479" s="257">
        <v>7270521.6100000003</v>
      </c>
      <c r="E479" s="257">
        <f t="shared" ref="E479:E502" si="17">+C479*D479</f>
        <v>3635260.8050000002</v>
      </c>
    </row>
    <row r="480" spans="1:6" outlineLevel="2" x14ac:dyDescent="0.25">
      <c r="A480">
        <v>38100</v>
      </c>
      <c r="B480">
        <v>2022</v>
      </c>
      <c r="C480" s="77">
        <v>1.5</v>
      </c>
      <c r="D480" s="257">
        <v>7955614.29</v>
      </c>
      <c r="E480" s="257">
        <f t="shared" si="17"/>
        <v>11933421.435000001</v>
      </c>
    </row>
    <row r="481" spans="1:5" outlineLevel="2" x14ac:dyDescent="0.25">
      <c r="A481">
        <v>38100</v>
      </c>
      <c r="B481">
        <v>2021</v>
      </c>
      <c r="C481" s="77">
        <v>2.5</v>
      </c>
      <c r="D481" s="257">
        <v>6363475.7999999998</v>
      </c>
      <c r="E481" s="257">
        <f t="shared" si="17"/>
        <v>15908689.5</v>
      </c>
    </row>
    <row r="482" spans="1:5" outlineLevel="2" x14ac:dyDescent="0.25">
      <c r="A482">
        <v>38100</v>
      </c>
      <c r="B482">
        <v>2020</v>
      </c>
      <c r="C482" s="77">
        <v>3.5</v>
      </c>
      <c r="D482" s="257">
        <v>4880024.6900000004</v>
      </c>
      <c r="E482" s="257">
        <f t="shared" si="17"/>
        <v>17080086.415000003</v>
      </c>
    </row>
    <row r="483" spans="1:5" outlineLevel="2" x14ac:dyDescent="0.25">
      <c r="A483">
        <v>38100</v>
      </c>
      <c r="B483">
        <v>2019</v>
      </c>
      <c r="C483" s="77">
        <v>4.5</v>
      </c>
      <c r="D483" s="257">
        <v>5992488.0499999998</v>
      </c>
      <c r="E483" s="257">
        <f t="shared" si="17"/>
        <v>26966196.224999998</v>
      </c>
    </row>
    <row r="484" spans="1:5" outlineLevel="2" x14ac:dyDescent="0.25">
      <c r="A484">
        <v>38100</v>
      </c>
      <c r="B484">
        <v>2018</v>
      </c>
      <c r="C484" s="77">
        <v>5.5</v>
      </c>
      <c r="D484" s="257">
        <v>3781157.14</v>
      </c>
      <c r="E484" s="257">
        <f t="shared" si="17"/>
        <v>20796364.27</v>
      </c>
    </row>
    <row r="485" spans="1:5" outlineLevel="2" x14ac:dyDescent="0.25">
      <c r="A485">
        <v>38100</v>
      </c>
      <c r="B485">
        <v>2017</v>
      </c>
      <c r="C485" s="77">
        <v>6.5</v>
      </c>
      <c r="D485" s="257">
        <v>5069819.4800000004</v>
      </c>
      <c r="E485" s="257">
        <f t="shared" si="17"/>
        <v>32953826.620000005</v>
      </c>
    </row>
    <row r="486" spans="1:5" outlineLevel="2" x14ac:dyDescent="0.25">
      <c r="A486">
        <v>38100</v>
      </c>
      <c r="B486">
        <v>2016</v>
      </c>
      <c r="C486" s="77">
        <v>7.5</v>
      </c>
      <c r="D486" s="257">
        <v>3923394.52</v>
      </c>
      <c r="E486" s="257">
        <f t="shared" si="17"/>
        <v>29425458.899999999</v>
      </c>
    </row>
    <row r="487" spans="1:5" outlineLevel="2" x14ac:dyDescent="0.25">
      <c r="A487">
        <v>38100</v>
      </c>
      <c r="B487">
        <v>2015</v>
      </c>
      <c r="C487" s="77">
        <v>8.5</v>
      </c>
      <c r="D487" s="257">
        <v>4293558.7300000004</v>
      </c>
      <c r="E487" s="257">
        <f t="shared" si="17"/>
        <v>36495249.205000006</v>
      </c>
    </row>
    <row r="488" spans="1:5" outlineLevel="2" x14ac:dyDescent="0.25">
      <c r="A488">
        <v>38100</v>
      </c>
      <c r="B488">
        <v>2014</v>
      </c>
      <c r="C488" s="77">
        <v>9.5</v>
      </c>
      <c r="D488" s="257">
        <v>2359484.58</v>
      </c>
      <c r="E488" s="257">
        <f t="shared" si="17"/>
        <v>22415103.510000002</v>
      </c>
    </row>
    <row r="489" spans="1:5" outlineLevel="2" x14ac:dyDescent="0.25">
      <c r="A489">
        <v>38100</v>
      </c>
      <c r="B489">
        <v>2013</v>
      </c>
      <c r="C489" s="77">
        <v>10.5</v>
      </c>
      <c r="D489" s="257">
        <v>2991226.1</v>
      </c>
      <c r="E489" s="257">
        <f t="shared" si="17"/>
        <v>31407874.050000001</v>
      </c>
    </row>
    <row r="490" spans="1:5" outlineLevel="2" x14ac:dyDescent="0.25">
      <c r="A490">
        <v>38100</v>
      </c>
      <c r="B490">
        <v>2012</v>
      </c>
      <c r="C490" s="77">
        <v>11.5</v>
      </c>
      <c r="D490" s="257">
        <v>4915452.76</v>
      </c>
      <c r="E490" s="257">
        <f t="shared" si="17"/>
        <v>56527706.739999995</v>
      </c>
    </row>
    <row r="491" spans="1:5" outlineLevel="2" x14ac:dyDescent="0.25">
      <c r="A491">
        <v>38100</v>
      </c>
      <c r="B491">
        <v>2011</v>
      </c>
      <c r="C491" s="77">
        <v>12.5</v>
      </c>
      <c r="D491" s="257">
        <v>8431805.2899999991</v>
      </c>
      <c r="E491" s="257">
        <f t="shared" si="17"/>
        <v>105397566.12499999</v>
      </c>
    </row>
    <row r="492" spans="1:5" outlineLevel="2" x14ac:dyDescent="0.25">
      <c r="A492">
        <v>38100</v>
      </c>
      <c r="B492">
        <v>2010</v>
      </c>
      <c r="C492" s="77">
        <v>13.5</v>
      </c>
      <c r="D492" s="257">
        <v>5179866.3600000003</v>
      </c>
      <c r="E492" s="257">
        <f t="shared" si="17"/>
        <v>69928195.859999999</v>
      </c>
    </row>
    <row r="493" spans="1:5" outlineLevel="2" x14ac:dyDescent="0.25">
      <c r="A493">
        <v>38100</v>
      </c>
      <c r="B493">
        <v>2009</v>
      </c>
      <c r="C493" s="77">
        <v>14.5</v>
      </c>
      <c r="D493" s="257">
        <v>1718648.02</v>
      </c>
      <c r="E493" s="257">
        <f t="shared" si="17"/>
        <v>24920396.289999999</v>
      </c>
    </row>
    <row r="494" spans="1:5" outlineLevel="2" x14ac:dyDescent="0.25">
      <c r="A494">
        <v>38100</v>
      </c>
      <c r="B494">
        <v>2008</v>
      </c>
      <c r="C494" s="77">
        <v>15.5</v>
      </c>
      <c r="D494" s="257">
        <v>3289624.18</v>
      </c>
      <c r="E494" s="257">
        <f t="shared" si="17"/>
        <v>50989174.789999999</v>
      </c>
    </row>
    <row r="495" spans="1:5" outlineLevel="2" x14ac:dyDescent="0.25">
      <c r="A495">
        <v>38100</v>
      </c>
      <c r="B495">
        <v>2007</v>
      </c>
      <c r="C495" s="77">
        <v>16.5</v>
      </c>
      <c r="D495" s="257">
        <v>2734232.59</v>
      </c>
      <c r="E495" s="257">
        <f t="shared" si="17"/>
        <v>45114837.734999999</v>
      </c>
    </row>
    <row r="496" spans="1:5" outlineLevel="2" x14ac:dyDescent="0.25">
      <c r="A496">
        <v>38100</v>
      </c>
      <c r="B496">
        <v>2006</v>
      </c>
      <c r="C496" s="77">
        <v>17.5</v>
      </c>
      <c r="D496" s="257">
        <v>3243483.56</v>
      </c>
      <c r="E496" s="257">
        <f t="shared" si="17"/>
        <v>56760962.300000004</v>
      </c>
    </row>
    <row r="497" spans="1:6" outlineLevel="2" x14ac:dyDescent="0.25">
      <c r="A497">
        <v>38100</v>
      </c>
      <c r="B497">
        <v>2005</v>
      </c>
      <c r="C497" s="77">
        <v>18.5</v>
      </c>
      <c r="D497" s="257">
        <v>2881541.76</v>
      </c>
      <c r="E497" s="257">
        <f t="shared" si="17"/>
        <v>53308522.559999995</v>
      </c>
    </row>
    <row r="498" spans="1:6" outlineLevel="2" x14ac:dyDescent="0.25">
      <c r="A498">
        <v>38100</v>
      </c>
      <c r="B498">
        <v>2004</v>
      </c>
      <c r="C498" s="77">
        <v>19.5</v>
      </c>
      <c r="D498" s="257">
        <v>2552262.56</v>
      </c>
      <c r="E498" s="257">
        <f t="shared" si="17"/>
        <v>49769119.920000002</v>
      </c>
    </row>
    <row r="499" spans="1:6" outlineLevel="2" x14ac:dyDescent="0.25">
      <c r="A499">
        <v>38100</v>
      </c>
      <c r="B499">
        <v>2003</v>
      </c>
      <c r="C499" s="77">
        <v>20.5</v>
      </c>
      <c r="D499" s="257">
        <v>2680422.5</v>
      </c>
      <c r="E499" s="257">
        <f t="shared" si="17"/>
        <v>54948661.25</v>
      </c>
    </row>
    <row r="500" spans="1:6" outlineLevel="2" x14ac:dyDescent="0.25">
      <c r="A500">
        <v>38100</v>
      </c>
      <c r="B500">
        <v>2002</v>
      </c>
      <c r="C500" s="77">
        <v>21.5</v>
      </c>
      <c r="D500" s="257">
        <v>2433788.38</v>
      </c>
      <c r="E500" s="257">
        <f t="shared" si="17"/>
        <v>52326450.169999994</v>
      </c>
    </row>
    <row r="501" spans="1:6" outlineLevel="2" x14ac:dyDescent="0.25">
      <c r="A501">
        <v>38100</v>
      </c>
      <c r="B501">
        <v>2000</v>
      </c>
      <c r="C501" s="77">
        <v>23.5</v>
      </c>
      <c r="D501" s="257">
        <v>4241241.4400000004</v>
      </c>
      <c r="E501" s="257">
        <f t="shared" si="17"/>
        <v>99669173.840000004</v>
      </c>
    </row>
    <row r="502" spans="1:6" outlineLevel="2" x14ac:dyDescent="0.25">
      <c r="A502">
        <v>38100</v>
      </c>
      <c r="B502">
        <v>1999</v>
      </c>
      <c r="C502" s="77">
        <v>24.5</v>
      </c>
      <c r="D502" s="257">
        <v>87559.89</v>
      </c>
      <c r="E502" s="257">
        <f t="shared" si="17"/>
        <v>2145217.3050000002</v>
      </c>
    </row>
    <row r="503" spans="1:6" ht="13" outlineLevel="1" x14ac:dyDescent="0.3">
      <c r="A503" s="18" t="s">
        <v>1187</v>
      </c>
      <c r="C503" s="77" t="s">
        <v>1229</v>
      </c>
      <c r="D503" s="257">
        <f>SUBTOTAL(9,D479:D502)</f>
        <v>99270694.280000001</v>
      </c>
      <c r="E503" s="257">
        <f>SUBTOTAL(9,E479:E502)</f>
        <v>970823515.81999981</v>
      </c>
      <c r="F503" s="257">
        <f>+E503/D503</f>
        <v>9.7795580343351229</v>
      </c>
    </row>
    <row r="504" spans="1:6" outlineLevel="2" x14ac:dyDescent="0.25">
      <c r="A504">
        <v>38200</v>
      </c>
      <c r="B504">
        <v>2023</v>
      </c>
      <c r="C504" s="77">
        <v>0.5</v>
      </c>
      <c r="D504" s="257">
        <v>14647230.449999999</v>
      </c>
      <c r="E504" s="257">
        <f t="shared" ref="E504:E549" si="18">+C504*D504</f>
        <v>7323615.2249999996</v>
      </c>
    </row>
    <row r="505" spans="1:6" outlineLevel="2" x14ac:dyDescent="0.25">
      <c r="A505">
        <v>38200</v>
      </c>
      <c r="B505">
        <v>2022</v>
      </c>
      <c r="C505" s="77">
        <v>1.5</v>
      </c>
      <c r="D505" s="257">
        <v>10932158.810000001</v>
      </c>
      <c r="E505" s="257">
        <f t="shared" si="18"/>
        <v>16398238.215</v>
      </c>
    </row>
    <row r="506" spans="1:6" outlineLevel="2" x14ac:dyDescent="0.25">
      <c r="A506">
        <v>38200</v>
      </c>
      <c r="B506">
        <v>2021</v>
      </c>
      <c r="C506" s="77">
        <v>2.5</v>
      </c>
      <c r="D506" s="257">
        <v>8410531.6300000008</v>
      </c>
      <c r="E506" s="257">
        <f t="shared" si="18"/>
        <v>21026329.075000003</v>
      </c>
    </row>
    <row r="507" spans="1:6" outlineLevel="2" x14ac:dyDescent="0.25">
      <c r="A507">
        <v>38200</v>
      </c>
      <c r="B507">
        <v>2020</v>
      </c>
      <c r="C507" s="77">
        <v>3.5</v>
      </c>
      <c r="D507" s="257">
        <v>7085783.1100000003</v>
      </c>
      <c r="E507" s="257">
        <f t="shared" si="18"/>
        <v>24800240.885000002</v>
      </c>
    </row>
    <row r="508" spans="1:6" outlineLevel="2" x14ac:dyDescent="0.25">
      <c r="A508">
        <v>38200</v>
      </c>
      <c r="B508">
        <v>2019</v>
      </c>
      <c r="C508" s="77">
        <v>4.5</v>
      </c>
      <c r="D508" s="257">
        <v>5760374.3600000003</v>
      </c>
      <c r="E508" s="257">
        <f t="shared" si="18"/>
        <v>25921684.620000001</v>
      </c>
    </row>
    <row r="509" spans="1:6" outlineLevel="2" x14ac:dyDescent="0.25">
      <c r="A509">
        <v>38200</v>
      </c>
      <c r="B509">
        <v>2018</v>
      </c>
      <c r="C509" s="77">
        <v>5.5</v>
      </c>
      <c r="D509" s="257">
        <v>5206038.25</v>
      </c>
      <c r="E509" s="257">
        <f t="shared" si="18"/>
        <v>28633210.375</v>
      </c>
    </row>
    <row r="510" spans="1:6" outlineLevel="2" x14ac:dyDescent="0.25">
      <c r="A510">
        <v>38200</v>
      </c>
      <c r="B510">
        <v>2017</v>
      </c>
      <c r="C510" s="77">
        <v>6.5</v>
      </c>
      <c r="D510" s="257">
        <v>3370499.49</v>
      </c>
      <c r="E510" s="257">
        <f t="shared" si="18"/>
        <v>21908246.685000002</v>
      </c>
    </row>
    <row r="511" spans="1:6" outlineLevel="2" x14ac:dyDescent="0.25">
      <c r="A511">
        <v>38200</v>
      </c>
      <c r="B511">
        <v>2016</v>
      </c>
      <c r="C511" s="77">
        <v>7.5</v>
      </c>
      <c r="D511" s="257">
        <v>3590691.31</v>
      </c>
      <c r="E511" s="257">
        <f t="shared" si="18"/>
        <v>26930184.824999999</v>
      </c>
    </row>
    <row r="512" spans="1:6" outlineLevel="2" x14ac:dyDescent="0.25">
      <c r="A512">
        <v>38200</v>
      </c>
      <c r="B512">
        <v>2015</v>
      </c>
      <c r="C512" s="77">
        <v>8.5</v>
      </c>
      <c r="D512" s="257">
        <v>2450705.7200000002</v>
      </c>
      <c r="E512" s="257">
        <f t="shared" si="18"/>
        <v>20830998.620000001</v>
      </c>
    </row>
    <row r="513" spans="1:5" outlineLevel="2" x14ac:dyDescent="0.25">
      <c r="A513">
        <v>38200</v>
      </c>
      <c r="B513">
        <v>2014</v>
      </c>
      <c r="C513" s="77">
        <v>9.5</v>
      </c>
      <c r="D513" s="257">
        <v>2327250.21</v>
      </c>
      <c r="E513" s="257">
        <f t="shared" si="18"/>
        <v>22108876.995000001</v>
      </c>
    </row>
    <row r="514" spans="1:5" outlineLevel="2" x14ac:dyDescent="0.25">
      <c r="A514">
        <v>38200</v>
      </c>
      <c r="B514">
        <v>2013</v>
      </c>
      <c r="C514" s="77">
        <v>10.5</v>
      </c>
      <c r="D514" s="257">
        <v>1834052</v>
      </c>
      <c r="E514" s="257">
        <f t="shared" si="18"/>
        <v>19257546</v>
      </c>
    </row>
    <row r="515" spans="1:5" outlineLevel="2" x14ac:dyDescent="0.25">
      <c r="A515">
        <v>38200</v>
      </c>
      <c r="B515">
        <v>2012</v>
      </c>
      <c r="C515" s="77">
        <v>11.5</v>
      </c>
      <c r="D515" s="257">
        <v>1918712.59</v>
      </c>
      <c r="E515" s="257">
        <f t="shared" si="18"/>
        <v>22065194.785</v>
      </c>
    </row>
    <row r="516" spans="1:5" outlineLevel="2" x14ac:dyDescent="0.25">
      <c r="A516">
        <v>38200</v>
      </c>
      <c r="B516">
        <v>2011</v>
      </c>
      <c r="C516" s="77">
        <v>12.5</v>
      </c>
      <c r="D516" s="257">
        <v>2197867.62</v>
      </c>
      <c r="E516" s="257">
        <f t="shared" si="18"/>
        <v>27473345.25</v>
      </c>
    </row>
    <row r="517" spans="1:5" outlineLevel="2" x14ac:dyDescent="0.25">
      <c r="A517">
        <v>38200</v>
      </c>
      <c r="B517">
        <v>2010</v>
      </c>
      <c r="C517" s="77">
        <v>13.5</v>
      </c>
      <c r="D517" s="257">
        <v>2001925.56</v>
      </c>
      <c r="E517" s="257">
        <f t="shared" si="18"/>
        <v>27025995.060000002</v>
      </c>
    </row>
    <row r="518" spans="1:5" outlineLevel="2" x14ac:dyDescent="0.25">
      <c r="A518">
        <v>38200</v>
      </c>
      <c r="B518">
        <v>2009</v>
      </c>
      <c r="C518" s="77">
        <v>14.5</v>
      </c>
      <c r="D518" s="257">
        <v>2030124.35</v>
      </c>
      <c r="E518" s="257">
        <f t="shared" si="18"/>
        <v>29436803.075000003</v>
      </c>
    </row>
    <row r="519" spans="1:5" outlineLevel="2" x14ac:dyDescent="0.25">
      <c r="A519">
        <v>38200</v>
      </c>
      <c r="B519">
        <v>2008</v>
      </c>
      <c r="C519" s="77">
        <v>15.5</v>
      </c>
      <c r="D519" s="257">
        <v>2136983.83</v>
      </c>
      <c r="E519" s="257">
        <f t="shared" si="18"/>
        <v>33123249.365000002</v>
      </c>
    </row>
    <row r="520" spans="1:5" outlineLevel="2" x14ac:dyDescent="0.25">
      <c r="A520">
        <v>38200</v>
      </c>
      <c r="B520">
        <v>2007</v>
      </c>
      <c r="C520" s="77">
        <v>16.5</v>
      </c>
      <c r="D520" s="257">
        <v>2126369.48</v>
      </c>
      <c r="E520" s="257">
        <f t="shared" si="18"/>
        <v>35085096.420000002</v>
      </c>
    </row>
    <row r="521" spans="1:5" outlineLevel="2" x14ac:dyDescent="0.25">
      <c r="A521">
        <v>38200</v>
      </c>
      <c r="B521">
        <v>2006</v>
      </c>
      <c r="C521" s="77">
        <v>17.5</v>
      </c>
      <c r="D521" s="257">
        <v>2554516.2599999998</v>
      </c>
      <c r="E521" s="257">
        <f t="shared" si="18"/>
        <v>44704034.549999997</v>
      </c>
    </row>
    <row r="522" spans="1:5" outlineLevel="2" x14ac:dyDescent="0.25">
      <c r="A522">
        <v>38200</v>
      </c>
      <c r="B522">
        <v>2005</v>
      </c>
      <c r="C522" s="77">
        <v>18.5</v>
      </c>
      <c r="D522" s="257">
        <v>2891763.22</v>
      </c>
      <c r="E522" s="257">
        <f t="shared" si="18"/>
        <v>53497619.57</v>
      </c>
    </row>
    <row r="523" spans="1:5" outlineLevel="2" x14ac:dyDescent="0.25">
      <c r="A523">
        <v>38200</v>
      </c>
      <c r="B523">
        <v>2004</v>
      </c>
      <c r="C523" s="77">
        <v>19.5</v>
      </c>
      <c r="D523" s="257">
        <v>2184983.46</v>
      </c>
      <c r="E523" s="257">
        <f t="shared" si="18"/>
        <v>42607177.469999999</v>
      </c>
    </row>
    <row r="524" spans="1:5" outlineLevel="2" x14ac:dyDescent="0.25">
      <c r="A524">
        <v>38200</v>
      </c>
      <c r="B524">
        <v>2003</v>
      </c>
      <c r="C524" s="77">
        <v>20.5</v>
      </c>
      <c r="D524" s="257">
        <v>2356242.9300000002</v>
      </c>
      <c r="E524" s="257">
        <f t="shared" si="18"/>
        <v>48302980.065000005</v>
      </c>
    </row>
    <row r="525" spans="1:5" outlineLevel="2" x14ac:dyDescent="0.25">
      <c r="A525">
        <v>38200</v>
      </c>
      <c r="B525">
        <v>2002</v>
      </c>
      <c r="C525" s="77">
        <v>21.5</v>
      </c>
      <c r="D525" s="257">
        <v>1936021.23</v>
      </c>
      <c r="E525" s="257">
        <f t="shared" si="18"/>
        <v>41624456.445</v>
      </c>
    </row>
    <row r="526" spans="1:5" outlineLevel="2" x14ac:dyDescent="0.25">
      <c r="A526">
        <v>38200</v>
      </c>
      <c r="B526">
        <v>2001</v>
      </c>
      <c r="C526" s="77">
        <v>22.5</v>
      </c>
      <c r="D526" s="257">
        <v>860.3</v>
      </c>
      <c r="E526" s="257">
        <f t="shared" si="18"/>
        <v>19356.75</v>
      </c>
    </row>
    <row r="527" spans="1:5" outlineLevel="2" x14ac:dyDescent="0.25">
      <c r="A527">
        <v>38200</v>
      </c>
      <c r="B527">
        <v>2000</v>
      </c>
      <c r="C527" s="77">
        <v>23.5</v>
      </c>
      <c r="D527" s="257">
        <v>3555689.47</v>
      </c>
      <c r="E527" s="257">
        <f t="shared" si="18"/>
        <v>83558702.545000002</v>
      </c>
    </row>
    <row r="528" spans="1:5" outlineLevel="2" x14ac:dyDescent="0.25">
      <c r="A528">
        <v>38200</v>
      </c>
      <c r="B528">
        <v>1999</v>
      </c>
      <c r="C528" s="77">
        <v>24.5</v>
      </c>
      <c r="D528" s="257">
        <v>2960143.64</v>
      </c>
      <c r="E528" s="257">
        <f t="shared" si="18"/>
        <v>72523519.180000007</v>
      </c>
    </row>
    <row r="529" spans="1:5" outlineLevel="2" x14ac:dyDescent="0.25">
      <c r="A529">
        <v>38200</v>
      </c>
      <c r="B529">
        <v>1998</v>
      </c>
      <c r="C529" s="77">
        <v>25.5</v>
      </c>
      <c r="D529" s="257">
        <v>909280.63</v>
      </c>
      <c r="E529" s="257">
        <f t="shared" si="18"/>
        <v>23186656.065000001</v>
      </c>
    </row>
    <row r="530" spans="1:5" outlineLevel="2" x14ac:dyDescent="0.25">
      <c r="A530">
        <v>38200</v>
      </c>
      <c r="B530">
        <v>1997</v>
      </c>
      <c r="C530" s="77">
        <v>26.5</v>
      </c>
      <c r="D530" s="257">
        <v>706298.75</v>
      </c>
      <c r="E530" s="257">
        <f t="shared" si="18"/>
        <v>18716916.875</v>
      </c>
    </row>
    <row r="531" spans="1:5" outlineLevel="2" x14ac:dyDescent="0.25">
      <c r="A531">
        <v>38200</v>
      </c>
      <c r="B531">
        <v>1996</v>
      </c>
      <c r="C531" s="77">
        <v>27.5</v>
      </c>
      <c r="D531" s="257">
        <v>400813.82</v>
      </c>
      <c r="E531" s="257">
        <f t="shared" si="18"/>
        <v>11022380.050000001</v>
      </c>
    </row>
    <row r="532" spans="1:5" outlineLevel="2" x14ac:dyDescent="0.25">
      <c r="A532">
        <v>38200</v>
      </c>
      <c r="B532">
        <v>1995</v>
      </c>
      <c r="C532" s="77">
        <v>28.5</v>
      </c>
      <c r="D532" s="257">
        <v>759707.64</v>
      </c>
      <c r="E532" s="257">
        <f t="shared" si="18"/>
        <v>21651667.740000002</v>
      </c>
    </row>
    <row r="533" spans="1:5" outlineLevel="2" x14ac:dyDescent="0.25">
      <c r="A533">
        <v>38200</v>
      </c>
      <c r="B533">
        <v>1994</v>
      </c>
      <c r="C533" s="77">
        <v>29.5</v>
      </c>
      <c r="D533" s="257">
        <v>890223.38</v>
      </c>
      <c r="E533" s="257">
        <f t="shared" si="18"/>
        <v>26261589.710000001</v>
      </c>
    </row>
    <row r="534" spans="1:5" outlineLevel="2" x14ac:dyDescent="0.25">
      <c r="A534">
        <v>38200</v>
      </c>
      <c r="B534">
        <v>1993</v>
      </c>
      <c r="C534" s="77">
        <v>30.5</v>
      </c>
      <c r="D534" s="257">
        <v>548952.93000000005</v>
      </c>
      <c r="E534" s="257">
        <f t="shared" si="18"/>
        <v>16743064.365000002</v>
      </c>
    </row>
    <row r="535" spans="1:5" outlineLevel="2" x14ac:dyDescent="0.25">
      <c r="A535">
        <v>38200</v>
      </c>
      <c r="B535">
        <v>1992</v>
      </c>
      <c r="C535" s="77">
        <v>31.5</v>
      </c>
      <c r="D535" s="257">
        <v>422953.73</v>
      </c>
      <c r="E535" s="257">
        <f t="shared" si="18"/>
        <v>13323042.494999999</v>
      </c>
    </row>
    <row r="536" spans="1:5" outlineLevel="2" x14ac:dyDescent="0.25">
      <c r="A536">
        <v>38200</v>
      </c>
      <c r="B536">
        <v>1991</v>
      </c>
      <c r="C536" s="77">
        <v>32.5</v>
      </c>
      <c r="D536" s="257">
        <v>356198.1</v>
      </c>
      <c r="E536" s="257">
        <f t="shared" si="18"/>
        <v>11576438.25</v>
      </c>
    </row>
    <row r="537" spans="1:5" outlineLevel="2" x14ac:dyDescent="0.25">
      <c r="A537">
        <v>38200</v>
      </c>
      <c r="B537">
        <v>1990</v>
      </c>
      <c r="C537" s="77">
        <v>33.5</v>
      </c>
      <c r="D537" s="257">
        <v>401454.8</v>
      </c>
      <c r="E537" s="257">
        <f t="shared" si="18"/>
        <v>13448735.799999999</v>
      </c>
    </row>
    <row r="538" spans="1:5" outlineLevel="2" x14ac:dyDescent="0.25">
      <c r="A538">
        <v>38200</v>
      </c>
      <c r="B538">
        <v>1989</v>
      </c>
      <c r="C538" s="77">
        <v>34.5</v>
      </c>
      <c r="D538" s="257">
        <v>310063.90000000002</v>
      </c>
      <c r="E538" s="257">
        <f t="shared" si="18"/>
        <v>10697204.550000001</v>
      </c>
    </row>
    <row r="539" spans="1:5" outlineLevel="2" x14ac:dyDescent="0.25">
      <c r="A539">
        <v>38200</v>
      </c>
      <c r="B539">
        <v>1988</v>
      </c>
      <c r="C539" s="77">
        <v>35.5</v>
      </c>
      <c r="D539" s="257">
        <v>284334.36</v>
      </c>
      <c r="E539" s="257">
        <f t="shared" si="18"/>
        <v>10093869.779999999</v>
      </c>
    </row>
    <row r="540" spans="1:5" outlineLevel="2" x14ac:dyDescent="0.25">
      <c r="A540">
        <v>38200</v>
      </c>
      <c r="B540">
        <v>1987</v>
      </c>
      <c r="C540" s="77">
        <v>36.5</v>
      </c>
      <c r="D540" s="257">
        <v>277394.90999999997</v>
      </c>
      <c r="E540" s="257">
        <f t="shared" si="18"/>
        <v>10124914.215</v>
      </c>
    </row>
    <row r="541" spans="1:5" outlineLevel="2" x14ac:dyDescent="0.25">
      <c r="A541">
        <v>38200</v>
      </c>
      <c r="B541">
        <v>1986</v>
      </c>
      <c r="C541" s="77">
        <v>37.5</v>
      </c>
      <c r="D541" s="257">
        <v>250344.31</v>
      </c>
      <c r="E541" s="257">
        <f t="shared" si="18"/>
        <v>9387911.625</v>
      </c>
    </row>
    <row r="542" spans="1:5" outlineLevel="2" x14ac:dyDescent="0.25">
      <c r="A542">
        <v>38200</v>
      </c>
      <c r="B542">
        <v>1985</v>
      </c>
      <c r="C542" s="77">
        <v>38.5</v>
      </c>
      <c r="D542" s="257">
        <v>466387.68</v>
      </c>
      <c r="E542" s="257">
        <f t="shared" si="18"/>
        <v>17955925.68</v>
      </c>
    </row>
    <row r="543" spans="1:5" outlineLevel="2" x14ac:dyDescent="0.25">
      <c r="A543">
        <v>38200</v>
      </c>
      <c r="B543">
        <v>1984</v>
      </c>
      <c r="C543" s="77">
        <v>39.5</v>
      </c>
      <c r="D543" s="257">
        <v>332099.58</v>
      </c>
      <c r="E543" s="257">
        <f t="shared" si="18"/>
        <v>13117933.41</v>
      </c>
    </row>
    <row r="544" spans="1:5" outlineLevel="2" x14ac:dyDescent="0.25">
      <c r="A544">
        <v>38200</v>
      </c>
      <c r="B544">
        <v>1983</v>
      </c>
      <c r="C544" s="77">
        <v>40.5</v>
      </c>
      <c r="D544" s="257">
        <v>403951.26</v>
      </c>
      <c r="E544" s="257">
        <f t="shared" si="18"/>
        <v>16360026.030000001</v>
      </c>
    </row>
    <row r="545" spans="1:6" outlineLevel="2" x14ac:dyDescent="0.25">
      <c r="A545">
        <v>38200</v>
      </c>
      <c r="B545">
        <v>1982</v>
      </c>
      <c r="C545" s="77">
        <v>41.5</v>
      </c>
      <c r="D545" s="257">
        <v>317266.28999999998</v>
      </c>
      <c r="E545" s="257">
        <f t="shared" si="18"/>
        <v>13166551.034999998</v>
      </c>
    </row>
    <row r="546" spans="1:6" outlineLevel="2" x14ac:dyDescent="0.25">
      <c r="A546">
        <v>38200</v>
      </c>
      <c r="B546">
        <v>1981</v>
      </c>
      <c r="C546" s="77">
        <v>42.5</v>
      </c>
      <c r="D546" s="257">
        <v>349363.34</v>
      </c>
      <c r="E546" s="257">
        <f t="shared" si="18"/>
        <v>14847941.950000001</v>
      </c>
    </row>
    <row r="547" spans="1:6" outlineLevel="2" x14ac:dyDescent="0.25">
      <c r="A547">
        <v>38200</v>
      </c>
      <c r="B547">
        <v>1980</v>
      </c>
      <c r="C547" s="77">
        <v>43.5</v>
      </c>
      <c r="D547" s="257">
        <v>589644.05000000005</v>
      </c>
      <c r="E547" s="257">
        <f t="shared" si="18"/>
        <v>25649516.175000001</v>
      </c>
    </row>
    <row r="548" spans="1:6" outlineLevel="2" x14ac:dyDescent="0.25">
      <c r="A548">
        <v>38200</v>
      </c>
      <c r="B548">
        <v>1979</v>
      </c>
      <c r="C548" s="77">
        <v>44.5</v>
      </c>
      <c r="D548" s="257">
        <v>261103.99</v>
      </c>
      <c r="E548" s="257">
        <f t="shared" si="18"/>
        <v>11619127.555</v>
      </c>
    </row>
    <row r="549" spans="1:6" outlineLevel="2" x14ac:dyDescent="0.25">
      <c r="A549">
        <v>38200</v>
      </c>
      <c r="B549">
        <v>1978</v>
      </c>
      <c r="C549" s="77">
        <v>45.5</v>
      </c>
      <c r="D549" s="257">
        <v>115134.54</v>
      </c>
      <c r="E549" s="257">
        <f t="shared" si="18"/>
        <v>5238621.5699999994</v>
      </c>
    </row>
    <row r="550" spans="1:6" ht="13" outlineLevel="1" x14ac:dyDescent="0.3">
      <c r="A550" s="18" t="s">
        <v>1188</v>
      </c>
      <c r="C550" s="77" t="s">
        <v>1229</v>
      </c>
      <c r="D550" s="257">
        <f>SUBTOTAL(9,D504:D549)</f>
        <v>105820491.27000003</v>
      </c>
      <c r="E550" s="257">
        <f>SUBTOTAL(9,E504:E549)</f>
        <v>1110376736.9750001</v>
      </c>
      <c r="F550" s="257">
        <f>+E550/D550</f>
        <v>10.49302194356558</v>
      </c>
    </row>
    <row r="551" spans="1:6" outlineLevel="2" x14ac:dyDescent="0.25">
      <c r="A551">
        <v>38300</v>
      </c>
      <c r="B551">
        <v>2023</v>
      </c>
      <c r="C551" s="77">
        <v>0.5</v>
      </c>
      <c r="D551" s="257">
        <v>914170.27</v>
      </c>
      <c r="E551" s="257">
        <f t="shared" ref="E551:E582" si="19">+C551*D551</f>
        <v>457085.13500000001</v>
      </c>
    </row>
    <row r="552" spans="1:6" outlineLevel="2" x14ac:dyDescent="0.25">
      <c r="A552">
        <v>38300</v>
      </c>
      <c r="B552">
        <v>2022</v>
      </c>
      <c r="C552" s="77">
        <v>1.5</v>
      </c>
      <c r="D552" s="257">
        <v>1638332.48</v>
      </c>
      <c r="E552" s="257">
        <f t="shared" si="19"/>
        <v>2457498.7199999997</v>
      </c>
    </row>
    <row r="553" spans="1:6" outlineLevel="2" x14ac:dyDescent="0.25">
      <c r="A553">
        <v>38300</v>
      </c>
      <c r="B553">
        <v>2021</v>
      </c>
      <c r="C553" s="77">
        <v>2.5</v>
      </c>
      <c r="D553" s="257">
        <v>868691.52</v>
      </c>
      <c r="E553" s="257">
        <f t="shared" si="19"/>
        <v>2171728.7999999998</v>
      </c>
    </row>
    <row r="554" spans="1:6" outlineLevel="2" x14ac:dyDescent="0.25">
      <c r="A554">
        <v>38300</v>
      </c>
      <c r="B554">
        <v>2020</v>
      </c>
      <c r="C554" s="77">
        <v>3.5</v>
      </c>
      <c r="D554" s="257">
        <v>515586.03</v>
      </c>
      <c r="E554" s="257">
        <f t="shared" si="19"/>
        <v>1804551.105</v>
      </c>
    </row>
    <row r="555" spans="1:6" outlineLevel="2" x14ac:dyDescent="0.25">
      <c r="A555">
        <v>38300</v>
      </c>
      <c r="B555">
        <v>2019</v>
      </c>
      <c r="C555" s="77">
        <v>4.5</v>
      </c>
      <c r="D555" s="257">
        <v>779945.35</v>
      </c>
      <c r="E555" s="257">
        <f t="shared" si="19"/>
        <v>3509754.0749999997</v>
      </c>
    </row>
    <row r="556" spans="1:6" outlineLevel="2" x14ac:dyDescent="0.25">
      <c r="A556">
        <v>38300</v>
      </c>
      <c r="B556">
        <v>2018</v>
      </c>
      <c r="C556" s="77">
        <v>5.5</v>
      </c>
      <c r="D556" s="257">
        <v>575744.87</v>
      </c>
      <c r="E556" s="257">
        <f t="shared" si="19"/>
        <v>3166596.7850000001</v>
      </c>
    </row>
    <row r="557" spans="1:6" outlineLevel="2" x14ac:dyDescent="0.25">
      <c r="A557">
        <v>38300</v>
      </c>
      <c r="B557">
        <v>2017</v>
      </c>
      <c r="C557" s="77">
        <v>6.5</v>
      </c>
      <c r="D557" s="257">
        <v>698193.88</v>
      </c>
      <c r="E557" s="257">
        <f t="shared" si="19"/>
        <v>4538260.22</v>
      </c>
    </row>
    <row r="558" spans="1:6" outlineLevel="2" x14ac:dyDescent="0.25">
      <c r="A558">
        <v>38300</v>
      </c>
      <c r="B558">
        <v>2016</v>
      </c>
      <c r="C558" s="77">
        <v>7.5</v>
      </c>
      <c r="D558" s="257">
        <v>651105.68000000005</v>
      </c>
      <c r="E558" s="257">
        <f t="shared" si="19"/>
        <v>4883292.6000000006</v>
      </c>
    </row>
    <row r="559" spans="1:6" outlineLevel="2" x14ac:dyDescent="0.25">
      <c r="A559">
        <v>38300</v>
      </c>
      <c r="B559">
        <v>2015</v>
      </c>
      <c r="C559" s="77">
        <v>8.5</v>
      </c>
      <c r="D559" s="257">
        <v>492213.31</v>
      </c>
      <c r="E559" s="257">
        <f t="shared" si="19"/>
        <v>4183813.1349999998</v>
      </c>
    </row>
    <row r="560" spans="1:6" outlineLevel="2" x14ac:dyDescent="0.25">
      <c r="A560">
        <v>38300</v>
      </c>
      <c r="B560">
        <v>2014</v>
      </c>
      <c r="C560" s="77">
        <v>9.5</v>
      </c>
      <c r="D560" s="257">
        <v>673543.25</v>
      </c>
      <c r="E560" s="257">
        <f t="shared" si="19"/>
        <v>6398660.875</v>
      </c>
    </row>
    <row r="561" spans="1:5" outlineLevel="2" x14ac:dyDescent="0.25">
      <c r="A561">
        <v>38300</v>
      </c>
      <c r="B561">
        <v>2013</v>
      </c>
      <c r="C561" s="77">
        <v>10.5</v>
      </c>
      <c r="D561" s="257">
        <v>624879.43999999994</v>
      </c>
      <c r="E561" s="257">
        <f t="shared" si="19"/>
        <v>6561234.1199999992</v>
      </c>
    </row>
    <row r="562" spans="1:5" outlineLevel="2" x14ac:dyDescent="0.25">
      <c r="A562">
        <v>38300</v>
      </c>
      <c r="B562">
        <v>2012</v>
      </c>
      <c r="C562" s="77">
        <v>11.5</v>
      </c>
      <c r="D562" s="257">
        <v>647202.85</v>
      </c>
      <c r="E562" s="257">
        <f t="shared" si="19"/>
        <v>7442832.7749999994</v>
      </c>
    </row>
    <row r="563" spans="1:5" outlineLevel="2" x14ac:dyDescent="0.25">
      <c r="A563">
        <v>38300</v>
      </c>
      <c r="B563">
        <v>2011</v>
      </c>
      <c r="C563" s="77">
        <v>12.5</v>
      </c>
      <c r="D563" s="257">
        <v>762531.28</v>
      </c>
      <c r="E563" s="257">
        <f t="shared" si="19"/>
        <v>9531641</v>
      </c>
    </row>
    <row r="564" spans="1:5" outlineLevel="2" x14ac:dyDescent="0.25">
      <c r="A564">
        <v>38300</v>
      </c>
      <c r="B564">
        <v>2010</v>
      </c>
      <c r="C564" s="77">
        <v>13.5</v>
      </c>
      <c r="D564" s="257">
        <v>576915.56999999995</v>
      </c>
      <c r="E564" s="257">
        <f t="shared" si="19"/>
        <v>7788360.1949999994</v>
      </c>
    </row>
    <row r="565" spans="1:5" outlineLevel="2" x14ac:dyDescent="0.25">
      <c r="A565">
        <v>38300</v>
      </c>
      <c r="B565">
        <v>2009</v>
      </c>
      <c r="C565" s="77">
        <v>14.5</v>
      </c>
      <c r="D565" s="257">
        <v>657038.13</v>
      </c>
      <c r="E565" s="257">
        <f t="shared" si="19"/>
        <v>9527052.8849999998</v>
      </c>
    </row>
    <row r="566" spans="1:5" outlineLevel="2" x14ac:dyDescent="0.25">
      <c r="A566">
        <v>38300</v>
      </c>
      <c r="B566">
        <v>2008</v>
      </c>
      <c r="C566" s="77">
        <v>15.5</v>
      </c>
      <c r="D566" s="257">
        <v>529731.42000000004</v>
      </c>
      <c r="E566" s="257">
        <f t="shared" si="19"/>
        <v>8210837.0100000007</v>
      </c>
    </row>
    <row r="567" spans="1:5" outlineLevel="2" x14ac:dyDescent="0.25">
      <c r="A567">
        <v>38300</v>
      </c>
      <c r="B567">
        <v>2007</v>
      </c>
      <c r="C567" s="77">
        <v>16.5</v>
      </c>
      <c r="D567" s="257">
        <v>508391.03</v>
      </c>
      <c r="E567" s="257">
        <f t="shared" si="19"/>
        <v>8388451.9950000001</v>
      </c>
    </row>
    <row r="568" spans="1:5" outlineLevel="2" x14ac:dyDescent="0.25">
      <c r="A568">
        <v>38300</v>
      </c>
      <c r="B568">
        <v>2006</v>
      </c>
      <c r="C568" s="77">
        <v>17.5</v>
      </c>
      <c r="D568" s="257">
        <v>465635.5</v>
      </c>
      <c r="E568" s="257">
        <f t="shared" si="19"/>
        <v>8148621.25</v>
      </c>
    </row>
    <row r="569" spans="1:5" outlineLevel="2" x14ac:dyDescent="0.25">
      <c r="A569">
        <v>38300</v>
      </c>
      <c r="B569">
        <v>2005</v>
      </c>
      <c r="C569" s="77">
        <v>18.5</v>
      </c>
      <c r="D569" s="257">
        <v>382854.95</v>
      </c>
      <c r="E569" s="257">
        <f t="shared" si="19"/>
        <v>7082816.5750000002</v>
      </c>
    </row>
    <row r="570" spans="1:5" outlineLevel="2" x14ac:dyDescent="0.25">
      <c r="A570">
        <v>38300</v>
      </c>
      <c r="B570">
        <v>2004</v>
      </c>
      <c r="C570" s="77">
        <v>19.5</v>
      </c>
      <c r="D570" s="257">
        <v>300837.45</v>
      </c>
      <c r="E570" s="257">
        <f t="shared" si="19"/>
        <v>5866330.2750000004</v>
      </c>
    </row>
    <row r="571" spans="1:5" outlineLevel="2" x14ac:dyDescent="0.25">
      <c r="A571">
        <v>38300</v>
      </c>
      <c r="B571">
        <v>2003</v>
      </c>
      <c r="C571" s="77">
        <v>20.5</v>
      </c>
      <c r="D571" s="257">
        <v>207937.86</v>
      </c>
      <c r="E571" s="257">
        <f t="shared" si="19"/>
        <v>4262726.13</v>
      </c>
    </row>
    <row r="572" spans="1:5" outlineLevel="2" x14ac:dyDescent="0.25">
      <c r="A572">
        <v>38300</v>
      </c>
      <c r="B572">
        <v>2002</v>
      </c>
      <c r="C572" s="77">
        <v>21.5</v>
      </c>
      <c r="D572" s="257">
        <v>297269.75</v>
      </c>
      <c r="E572" s="257">
        <f t="shared" si="19"/>
        <v>6391299.625</v>
      </c>
    </row>
    <row r="573" spans="1:5" outlineLevel="2" x14ac:dyDescent="0.25">
      <c r="A573">
        <v>38300</v>
      </c>
      <c r="B573">
        <v>2001</v>
      </c>
      <c r="C573" s="77">
        <v>22.5</v>
      </c>
      <c r="D573" s="257">
        <v>38881.089999999997</v>
      </c>
      <c r="E573" s="257">
        <f t="shared" si="19"/>
        <v>874824.52499999991</v>
      </c>
    </row>
    <row r="574" spans="1:5" outlineLevel="2" x14ac:dyDescent="0.25">
      <c r="A574">
        <v>38300</v>
      </c>
      <c r="B574">
        <v>2000</v>
      </c>
      <c r="C574" s="77">
        <v>23.5</v>
      </c>
      <c r="D574" s="257">
        <v>1068379.6499999999</v>
      </c>
      <c r="E574" s="257">
        <f t="shared" si="19"/>
        <v>25106921.774999999</v>
      </c>
    </row>
    <row r="575" spans="1:5" outlineLevel="2" x14ac:dyDescent="0.25">
      <c r="A575">
        <v>38300</v>
      </c>
      <c r="B575">
        <v>1999</v>
      </c>
      <c r="C575" s="77">
        <v>24.5</v>
      </c>
      <c r="D575" s="257">
        <v>565894.18000000005</v>
      </c>
      <c r="E575" s="257">
        <f t="shared" si="19"/>
        <v>13864407.410000002</v>
      </c>
    </row>
    <row r="576" spans="1:5" outlineLevel="2" x14ac:dyDescent="0.25">
      <c r="A576">
        <v>38300</v>
      </c>
      <c r="B576">
        <v>1998</v>
      </c>
      <c r="C576" s="77">
        <v>25.5</v>
      </c>
      <c r="D576" s="257">
        <v>478111.94</v>
      </c>
      <c r="E576" s="257">
        <f t="shared" si="19"/>
        <v>12191854.470000001</v>
      </c>
    </row>
    <row r="577" spans="1:5" outlineLevel="2" x14ac:dyDescent="0.25">
      <c r="A577">
        <v>38300</v>
      </c>
      <c r="B577">
        <v>1997</v>
      </c>
      <c r="C577" s="77">
        <v>26.5</v>
      </c>
      <c r="D577" s="257">
        <v>606083.75</v>
      </c>
      <c r="E577" s="257">
        <f t="shared" si="19"/>
        <v>16061219.375</v>
      </c>
    </row>
    <row r="578" spans="1:5" outlineLevel="2" x14ac:dyDescent="0.25">
      <c r="A578">
        <v>38300</v>
      </c>
      <c r="B578">
        <v>1996</v>
      </c>
      <c r="C578" s="77">
        <v>27.5</v>
      </c>
      <c r="D578" s="257">
        <v>374216.61</v>
      </c>
      <c r="E578" s="257">
        <f t="shared" si="19"/>
        <v>10290956.775</v>
      </c>
    </row>
    <row r="579" spans="1:5" outlineLevel="2" x14ac:dyDescent="0.25">
      <c r="A579">
        <v>38300</v>
      </c>
      <c r="B579">
        <v>1995</v>
      </c>
      <c r="C579" s="77">
        <v>28.5</v>
      </c>
      <c r="D579" s="257">
        <v>338080.91</v>
      </c>
      <c r="E579" s="257">
        <f t="shared" si="19"/>
        <v>9635305.9349999987</v>
      </c>
    </row>
    <row r="580" spans="1:5" outlineLevel="2" x14ac:dyDescent="0.25">
      <c r="A580">
        <v>38300</v>
      </c>
      <c r="B580">
        <v>1994</v>
      </c>
      <c r="C580" s="77">
        <v>29.5</v>
      </c>
      <c r="D580" s="257">
        <v>365650.8</v>
      </c>
      <c r="E580" s="257">
        <f t="shared" si="19"/>
        <v>10786698.6</v>
      </c>
    </row>
    <row r="581" spans="1:5" outlineLevel="2" x14ac:dyDescent="0.25">
      <c r="A581">
        <v>38300</v>
      </c>
      <c r="B581">
        <v>1993</v>
      </c>
      <c r="C581" s="77">
        <v>30.5</v>
      </c>
      <c r="D581" s="257">
        <v>392196.25</v>
      </c>
      <c r="E581" s="257">
        <f t="shared" si="19"/>
        <v>11961985.625</v>
      </c>
    </row>
    <row r="582" spans="1:5" outlineLevel="2" x14ac:dyDescent="0.25">
      <c r="A582">
        <v>38300</v>
      </c>
      <c r="B582">
        <v>1992</v>
      </c>
      <c r="C582" s="77">
        <v>31.5</v>
      </c>
      <c r="D582" s="257">
        <v>249601.69</v>
      </c>
      <c r="E582" s="257">
        <f t="shared" si="19"/>
        <v>7862453.2350000003</v>
      </c>
    </row>
    <row r="583" spans="1:5" outlineLevel="2" x14ac:dyDescent="0.25">
      <c r="A583">
        <v>38300</v>
      </c>
      <c r="B583">
        <v>1991</v>
      </c>
      <c r="C583" s="77">
        <v>32.5</v>
      </c>
      <c r="D583" s="257">
        <v>361257.71</v>
      </c>
      <c r="E583" s="257">
        <f t="shared" ref="E583:E601" si="20">+C583*D583</f>
        <v>11740875.575000001</v>
      </c>
    </row>
    <row r="584" spans="1:5" outlineLevel="2" x14ac:dyDescent="0.25">
      <c r="A584">
        <v>38300</v>
      </c>
      <c r="B584">
        <v>1990</v>
      </c>
      <c r="C584" s="77">
        <v>33.5</v>
      </c>
      <c r="D584" s="257">
        <v>263731.37</v>
      </c>
      <c r="E584" s="257">
        <f t="shared" si="20"/>
        <v>8835000.8949999996</v>
      </c>
    </row>
    <row r="585" spans="1:5" outlineLevel="2" x14ac:dyDescent="0.25">
      <c r="A585">
        <v>38300</v>
      </c>
      <c r="B585">
        <v>1989</v>
      </c>
      <c r="C585" s="77">
        <v>34.5</v>
      </c>
      <c r="D585" s="257">
        <v>175379.78</v>
      </c>
      <c r="E585" s="257">
        <f t="shared" si="20"/>
        <v>6050602.4100000001</v>
      </c>
    </row>
    <row r="586" spans="1:5" outlineLevel="2" x14ac:dyDescent="0.25">
      <c r="A586">
        <v>38300</v>
      </c>
      <c r="B586">
        <v>1988</v>
      </c>
      <c r="C586" s="77">
        <v>35.5</v>
      </c>
      <c r="D586" s="257">
        <v>197396.53</v>
      </c>
      <c r="E586" s="257">
        <f t="shared" si="20"/>
        <v>7007576.8150000004</v>
      </c>
    </row>
    <row r="587" spans="1:5" outlineLevel="2" x14ac:dyDescent="0.25">
      <c r="A587">
        <v>38300</v>
      </c>
      <c r="B587">
        <v>1987</v>
      </c>
      <c r="C587" s="77">
        <v>36.5</v>
      </c>
      <c r="D587" s="257">
        <v>277179.63</v>
      </c>
      <c r="E587" s="257">
        <f t="shared" si="20"/>
        <v>10117056.495000001</v>
      </c>
    </row>
    <row r="588" spans="1:5" outlineLevel="2" x14ac:dyDescent="0.25">
      <c r="A588">
        <v>38300</v>
      </c>
      <c r="B588">
        <v>1986</v>
      </c>
      <c r="C588" s="77">
        <v>37.5</v>
      </c>
      <c r="D588" s="257">
        <v>264406.53000000003</v>
      </c>
      <c r="E588" s="257">
        <f t="shared" si="20"/>
        <v>9915244.8750000019</v>
      </c>
    </row>
    <row r="589" spans="1:5" outlineLevel="2" x14ac:dyDescent="0.25">
      <c r="A589">
        <v>38300</v>
      </c>
      <c r="B589">
        <v>1985</v>
      </c>
      <c r="C589" s="77">
        <v>38.5</v>
      </c>
      <c r="D589" s="257">
        <v>182310.15</v>
      </c>
      <c r="E589" s="257">
        <f t="shared" si="20"/>
        <v>7018940.7749999994</v>
      </c>
    </row>
    <row r="590" spans="1:5" outlineLevel="2" x14ac:dyDescent="0.25">
      <c r="A590">
        <v>38300</v>
      </c>
      <c r="B590">
        <v>1984</v>
      </c>
      <c r="C590" s="77">
        <v>39.5</v>
      </c>
      <c r="D590" s="257">
        <v>129589.29</v>
      </c>
      <c r="E590" s="257">
        <f t="shared" si="20"/>
        <v>5118776.9550000001</v>
      </c>
    </row>
    <row r="591" spans="1:5" outlineLevel="2" x14ac:dyDescent="0.25">
      <c r="A591">
        <v>38300</v>
      </c>
      <c r="B591">
        <v>1983</v>
      </c>
      <c r="C591" s="77">
        <v>40.5</v>
      </c>
      <c r="D591" s="257">
        <v>59468.89</v>
      </c>
      <c r="E591" s="257">
        <f t="shared" si="20"/>
        <v>2408490.0449999999</v>
      </c>
    </row>
    <row r="592" spans="1:5" outlineLevel="2" x14ac:dyDescent="0.25">
      <c r="A592">
        <v>38300</v>
      </c>
      <c r="B592">
        <v>1982</v>
      </c>
      <c r="C592" s="77">
        <v>41.5</v>
      </c>
      <c r="D592" s="257">
        <v>76749.27</v>
      </c>
      <c r="E592" s="257">
        <f t="shared" si="20"/>
        <v>3185094.7050000001</v>
      </c>
    </row>
    <row r="593" spans="1:6" outlineLevel="2" x14ac:dyDescent="0.25">
      <c r="A593">
        <v>38300</v>
      </c>
      <c r="B593">
        <v>1981</v>
      </c>
      <c r="C593" s="77">
        <v>42.5</v>
      </c>
      <c r="D593" s="257">
        <v>117688.66</v>
      </c>
      <c r="E593" s="257">
        <f t="shared" si="20"/>
        <v>5001768.05</v>
      </c>
    </row>
    <row r="594" spans="1:6" outlineLevel="2" x14ac:dyDescent="0.25">
      <c r="A594">
        <v>38300</v>
      </c>
      <c r="B594">
        <v>1980</v>
      </c>
      <c r="C594" s="77">
        <v>43.5</v>
      </c>
      <c r="D594" s="257">
        <v>85874.18</v>
      </c>
      <c r="E594" s="257">
        <f t="shared" si="20"/>
        <v>3735526.8299999996</v>
      </c>
    </row>
    <row r="595" spans="1:6" outlineLevel="2" x14ac:dyDescent="0.25">
      <c r="A595">
        <v>38300</v>
      </c>
      <c r="B595">
        <v>1979</v>
      </c>
      <c r="C595" s="77">
        <v>44.5</v>
      </c>
      <c r="D595" s="257">
        <v>48170.29</v>
      </c>
      <c r="E595" s="257">
        <f t="shared" si="20"/>
        <v>2143577.9050000003</v>
      </c>
    </row>
    <row r="596" spans="1:6" outlineLevel="2" x14ac:dyDescent="0.25">
      <c r="A596">
        <v>38300</v>
      </c>
      <c r="B596">
        <v>1978</v>
      </c>
      <c r="C596" s="77">
        <v>45.5</v>
      </c>
      <c r="D596" s="257">
        <v>53032.49</v>
      </c>
      <c r="E596" s="257">
        <f t="shared" si="20"/>
        <v>2412978.2949999999</v>
      </c>
    </row>
    <row r="597" spans="1:6" outlineLevel="2" x14ac:dyDescent="0.25">
      <c r="A597">
        <v>38300</v>
      </c>
      <c r="B597">
        <v>1977</v>
      </c>
      <c r="C597" s="77">
        <v>46.5</v>
      </c>
      <c r="D597" s="257">
        <v>45144</v>
      </c>
      <c r="E597" s="257">
        <f t="shared" si="20"/>
        <v>2099196</v>
      </c>
    </row>
    <row r="598" spans="1:6" outlineLevel="2" x14ac:dyDescent="0.25">
      <c r="A598">
        <v>38300</v>
      </c>
      <c r="B598">
        <v>1976</v>
      </c>
      <c r="C598" s="77">
        <v>47.5</v>
      </c>
      <c r="D598" s="257">
        <v>22156.81</v>
      </c>
      <c r="E598" s="257">
        <f t="shared" si="20"/>
        <v>1052448.4750000001</v>
      </c>
    </row>
    <row r="599" spans="1:6" outlineLevel="2" x14ac:dyDescent="0.25">
      <c r="A599">
        <v>38300</v>
      </c>
      <c r="B599">
        <v>1975</v>
      </c>
      <c r="C599" s="77">
        <v>48.5</v>
      </c>
      <c r="D599" s="257">
        <v>32725.68</v>
      </c>
      <c r="E599" s="257">
        <f t="shared" si="20"/>
        <v>1587195.48</v>
      </c>
    </row>
    <row r="600" spans="1:6" outlineLevel="2" x14ac:dyDescent="0.25">
      <c r="A600">
        <v>38300</v>
      </c>
      <c r="B600">
        <v>1974</v>
      </c>
      <c r="C600" s="77">
        <v>49.5</v>
      </c>
      <c r="D600" s="257">
        <v>31153.5</v>
      </c>
      <c r="E600" s="257">
        <f t="shared" si="20"/>
        <v>1542098.25</v>
      </c>
    </row>
    <row r="601" spans="1:6" outlineLevel="2" x14ac:dyDescent="0.25">
      <c r="A601">
        <v>38300</v>
      </c>
      <c r="B601">
        <v>1973</v>
      </c>
      <c r="C601" s="77">
        <v>50.5</v>
      </c>
      <c r="D601" s="257">
        <v>97553.7</v>
      </c>
      <c r="E601" s="257">
        <f t="shared" si="20"/>
        <v>4926461.8499999996</v>
      </c>
    </row>
    <row r="602" spans="1:6" ht="13" outlineLevel="1" x14ac:dyDescent="0.3">
      <c r="A602" s="18" t="s">
        <v>1189</v>
      </c>
      <c r="C602" s="77" t="s">
        <v>1229</v>
      </c>
      <c r="D602" s="257">
        <f>SUBTOTAL(9,D551:D601)</f>
        <v>20766817.199999996</v>
      </c>
      <c r="E602" s="257">
        <f>SUBTOTAL(9,E551:E601)</f>
        <v>337308983.69000006</v>
      </c>
      <c r="F602" s="257">
        <f>+E602/D602</f>
        <v>16.242690463418732</v>
      </c>
    </row>
    <row r="603" spans="1:6" outlineLevel="2" x14ac:dyDescent="0.25">
      <c r="A603">
        <v>38400</v>
      </c>
      <c r="B603">
        <v>2022</v>
      </c>
      <c r="C603" s="77">
        <v>1.5</v>
      </c>
      <c r="D603" s="257">
        <v>6517029.4900000002</v>
      </c>
      <c r="E603" s="257">
        <f t="shared" ref="E603:E634" si="21">+C603*D603</f>
        <v>9775544.2349999994</v>
      </c>
    </row>
    <row r="604" spans="1:6" outlineLevel="2" x14ac:dyDescent="0.25">
      <c r="A604">
        <v>38400</v>
      </c>
      <c r="B604">
        <v>2021</v>
      </c>
      <c r="C604" s="77">
        <v>2.5</v>
      </c>
      <c r="D604" s="257">
        <v>4440943.29</v>
      </c>
      <c r="E604" s="257">
        <f t="shared" si="21"/>
        <v>11102358.225</v>
      </c>
    </row>
    <row r="605" spans="1:6" outlineLevel="2" x14ac:dyDescent="0.25">
      <c r="A605">
        <v>38400</v>
      </c>
      <c r="B605">
        <v>2020</v>
      </c>
      <c r="C605" s="77">
        <v>3.5</v>
      </c>
      <c r="D605" s="257">
        <v>2242163.2000000002</v>
      </c>
      <c r="E605" s="257">
        <f t="shared" si="21"/>
        <v>7847571.2000000011</v>
      </c>
    </row>
    <row r="606" spans="1:6" outlineLevel="2" x14ac:dyDescent="0.25">
      <c r="A606">
        <v>38400</v>
      </c>
      <c r="B606">
        <v>2019</v>
      </c>
      <c r="C606" s="77">
        <v>4.5</v>
      </c>
      <c r="D606" s="257">
        <v>1920126.15</v>
      </c>
      <c r="E606" s="257">
        <f t="shared" si="21"/>
        <v>8640567.6749999989</v>
      </c>
    </row>
    <row r="607" spans="1:6" outlineLevel="2" x14ac:dyDescent="0.25">
      <c r="A607">
        <v>38400</v>
      </c>
      <c r="B607">
        <v>2018</v>
      </c>
      <c r="C607" s="77">
        <v>5.5</v>
      </c>
      <c r="D607" s="257">
        <v>1755541.61</v>
      </c>
      <c r="E607" s="257">
        <f t="shared" si="21"/>
        <v>9655478.8550000004</v>
      </c>
    </row>
    <row r="608" spans="1:6" outlineLevel="2" x14ac:dyDescent="0.25">
      <c r="A608">
        <v>38400</v>
      </c>
      <c r="B608">
        <v>2017</v>
      </c>
      <c r="C608" s="77">
        <v>6.5</v>
      </c>
      <c r="D608" s="257">
        <v>1120608.94</v>
      </c>
      <c r="E608" s="257">
        <f t="shared" si="21"/>
        <v>7283958.1099999994</v>
      </c>
    </row>
    <row r="609" spans="1:5" outlineLevel="2" x14ac:dyDescent="0.25">
      <c r="A609">
        <v>38400</v>
      </c>
      <c r="B609">
        <v>2016</v>
      </c>
      <c r="C609" s="77">
        <v>7.5</v>
      </c>
      <c r="D609" s="257">
        <v>1198676.73</v>
      </c>
      <c r="E609" s="257">
        <f t="shared" si="21"/>
        <v>8990075.4749999996</v>
      </c>
    </row>
    <row r="610" spans="1:5" outlineLevel="2" x14ac:dyDescent="0.25">
      <c r="A610">
        <v>38400</v>
      </c>
      <c r="B610">
        <v>2015</v>
      </c>
      <c r="C610" s="77">
        <v>8.5</v>
      </c>
      <c r="D610" s="257">
        <v>817036.65</v>
      </c>
      <c r="E610" s="257">
        <f t="shared" si="21"/>
        <v>6944811.5250000004</v>
      </c>
    </row>
    <row r="611" spans="1:5" outlineLevel="2" x14ac:dyDescent="0.25">
      <c r="A611">
        <v>38400</v>
      </c>
      <c r="B611">
        <v>2014</v>
      </c>
      <c r="C611" s="77">
        <v>9.5</v>
      </c>
      <c r="D611" s="257">
        <v>776896.66</v>
      </c>
      <c r="E611" s="257">
        <f t="shared" si="21"/>
        <v>7380518.2700000005</v>
      </c>
    </row>
    <row r="612" spans="1:5" outlineLevel="2" x14ac:dyDescent="0.25">
      <c r="A612">
        <v>38400</v>
      </c>
      <c r="B612">
        <v>2013</v>
      </c>
      <c r="C612" s="77">
        <v>10.5</v>
      </c>
      <c r="D612" s="257">
        <v>1316985.8600000001</v>
      </c>
      <c r="E612" s="257">
        <f t="shared" si="21"/>
        <v>13828351.530000001</v>
      </c>
    </row>
    <row r="613" spans="1:5" outlineLevel="2" x14ac:dyDescent="0.25">
      <c r="A613">
        <v>38400</v>
      </c>
      <c r="B613">
        <v>2012</v>
      </c>
      <c r="C613" s="77">
        <v>11.5</v>
      </c>
      <c r="D613" s="257">
        <v>1151122.04</v>
      </c>
      <c r="E613" s="257">
        <f t="shared" si="21"/>
        <v>13237903.460000001</v>
      </c>
    </row>
    <row r="614" spans="1:5" outlineLevel="2" x14ac:dyDescent="0.25">
      <c r="A614">
        <v>38400</v>
      </c>
      <c r="B614">
        <v>2011</v>
      </c>
      <c r="C614" s="77">
        <v>12.5</v>
      </c>
      <c r="D614" s="257">
        <v>738173.99</v>
      </c>
      <c r="E614" s="257">
        <f t="shared" si="21"/>
        <v>9227174.875</v>
      </c>
    </row>
    <row r="615" spans="1:5" outlineLevel="2" x14ac:dyDescent="0.25">
      <c r="A615">
        <v>38400</v>
      </c>
      <c r="B615">
        <v>2010</v>
      </c>
      <c r="C615" s="77">
        <v>13.5</v>
      </c>
      <c r="D615" s="257">
        <v>671129.47</v>
      </c>
      <c r="E615" s="257">
        <f t="shared" si="21"/>
        <v>9060247.8449999988</v>
      </c>
    </row>
    <row r="616" spans="1:5" outlineLevel="2" x14ac:dyDescent="0.25">
      <c r="A616">
        <v>38400</v>
      </c>
      <c r="B616">
        <v>2009</v>
      </c>
      <c r="C616" s="77">
        <v>14.5</v>
      </c>
      <c r="D616" s="257">
        <v>686919.72</v>
      </c>
      <c r="E616" s="257">
        <f t="shared" si="21"/>
        <v>9960335.9399999995</v>
      </c>
    </row>
    <row r="617" spans="1:5" outlineLevel="2" x14ac:dyDescent="0.25">
      <c r="A617">
        <v>38400</v>
      </c>
      <c r="B617">
        <v>2008</v>
      </c>
      <c r="C617" s="77">
        <v>15.5</v>
      </c>
      <c r="D617" s="257">
        <v>732920.04</v>
      </c>
      <c r="E617" s="257">
        <f t="shared" si="21"/>
        <v>11360260.620000001</v>
      </c>
    </row>
    <row r="618" spans="1:5" outlineLevel="2" x14ac:dyDescent="0.25">
      <c r="A618">
        <v>38400</v>
      </c>
      <c r="B618">
        <v>2007</v>
      </c>
      <c r="C618" s="77">
        <v>16.5</v>
      </c>
      <c r="D618" s="257">
        <v>877182.82</v>
      </c>
      <c r="E618" s="257">
        <f t="shared" si="21"/>
        <v>14473516.529999999</v>
      </c>
    </row>
    <row r="619" spans="1:5" outlineLevel="2" x14ac:dyDescent="0.25">
      <c r="A619">
        <v>38400</v>
      </c>
      <c r="B619">
        <v>2006</v>
      </c>
      <c r="C619" s="77">
        <v>17.5</v>
      </c>
      <c r="D619" s="257">
        <v>1557909.68</v>
      </c>
      <c r="E619" s="257">
        <f t="shared" si="21"/>
        <v>27263419.399999999</v>
      </c>
    </row>
    <row r="620" spans="1:5" outlineLevel="2" x14ac:dyDescent="0.25">
      <c r="A620">
        <v>38400</v>
      </c>
      <c r="B620">
        <v>2005</v>
      </c>
      <c r="C620" s="77">
        <v>18.5</v>
      </c>
      <c r="D620" s="257">
        <v>919834.48</v>
      </c>
      <c r="E620" s="257">
        <f t="shared" si="21"/>
        <v>17016937.879999999</v>
      </c>
    </row>
    <row r="621" spans="1:5" outlineLevel="2" x14ac:dyDescent="0.25">
      <c r="A621">
        <v>38400</v>
      </c>
      <c r="B621">
        <v>2004</v>
      </c>
      <c r="C621" s="77">
        <v>19.5</v>
      </c>
      <c r="D621" s="257">
        <v>874870.58</v>
      </c>
      <c r="E621" s="257">
        <f t="shared" si="21"/>
        <v>17059976.309999999</v>
      </c>
    </row>
    <row r="622" spans="1:5" outlineLevel="2" x14ac:dyDescent="0.25">
      <c r="A622">
        <v>38400</v>
      </c>
      <c r="B622">
        <v>2003</v>
      </c>
      <c r="C622" s="77">
        <v>20.5</v>
      </c>
      <c r="D622" s="257">
        <v>1190767.25</v>
      </c>
      <c r="E622" s="257">
        <f t="shared" si="21"/>
        <v>24410728.625</v>
      </c>
    </row>
    <row r="623" spans="1:5" outlineLevel="2" x14ac:dyDescent="0.25">
      <c r="A623">
        <v>38400</v>
      </c>
      <c r="B623">
        <v>2002</v>
      </c>
      <c r="C623" s="77">
        <v>21.5</v>
      </c>
      <c r="D623" s="257">
        <v>781013.24</v>
      </c>
      <c r="E623" s="257">
        <f t="shared" si="21"/>
        <v>16791784.66</v>
      </c>
    </row>
    <row r="624" spans="1:5" outlineLevel="2" x14ac:dyDescent="0.25">
      <c r="A624">
        <v>38400</v>
      </c>
      <c r="B624">
        <v>2000</v>
      </c>
      <c r="C624" s="77">
        <v>23.5</v>
      </c>
      <c r="D624" s="257">
        <v>1069154.9099999999</v>
      </c>
      <c r="E624" s="257">
        <f t="shared" si="21"/>
        <v>25125140.384999998</v>
      </c>
    </row>
    <row r="625" spans="1:5" outlineLevel="2" x14ac:dyDescent="0.25">
      <c r="A625">
        <v>38400</v>
      </c>
      <c r="B625">
        <v>1999</v>
      </c>
      <c r="C625" s="77">
        <v>24.5</v>
      </c>
      <c r="D625" s="257">
        <v>471049.24</v>
      </c>
      <c r="E625" s="257">
        <f t="shared" si="21"/>
        <v>11540706.379999999</v>
      </c>
    </row>
    <row r="626" spans="1:5" outlineLevel="2" x14ac:dyDescent="0.25">
      <c r="A626">
        <v>38400</v>
      </c>
      <c r="B626">
        <v>1998</v>
      </c>
      <c r="C626" s="77">
        <v>25.5</v>
      </c>
      <c r="D626" s="257">
        <v>383996.61</v>
      </c>
      <c r="E626" s="257">
        <f t="shared" si="21"/>
        <v>9791913.5549999997</v>
      </c>
    </row>
    <row r="627" spans="1:5" outlineLevel="2" x14ac:dyDescent="0.25">
      <c r="A627">
        <v>38400</v>
      </c>
      <c r="B627">
        <v>1997</v>
      </c>
      <c r="C627" s="77">
        <v>26.5</v>
      </c>
      <c r="D627" s="257">
        <v>485085.41</v>
      </c>
      <c r="E627" s="257">
        <f t="shared" si="21"/>
        <v>12854763.365</v>
      </c>
    </row>
    <row r="628" spans="1:5" outlineLevel="2" x14ac:dyDescent="0.25">
      <c r="A628">
        <v>38400</v>
      </c>
      <c r="B628">
        <v>1996</v>
      </c>
      <c r="C628" s="77">
        <v>27.5</v>
      </c>
      <c r="D628" s="257">
        <v>459277.08</v>
      </c>
      <c r="E628" s="257">
        <f t="shared" si="21"/>
        <v>12630119.700000001</v>
      </c>
    </row>
    <row r="629" spans="1:5" outlineLevel="2" x14ac:dyDescent="0.25">
      <c r="A629">
        <v>38400</v>
      </c>
      <c r="B629">
        <v>1995</v>
      </c>
      <c r="C629" s="77">
        <v>28.5</v>
      </c>
      <c r="D629" s="257">
        <v>353198.32</v>
      </c>
      <c r="E629" s="257">
        <f t="shared" si="21"/>
        <v>10066152.120000001</v>
      </c>
    </row>
    <row r="630" spans="1:5" outlineLevel="2" x14ac:dyDescent="0.25">
      <c r="A630">
        <v>38400</v>
      </c>
      <c r="B630">
        <v>1994</v>
      </c>
      <c r="C630" s="77">
        <v>29.5</v>
      </c>
      <c r="D630" s="257">
        <v>347172.16</v>
      </c>
      <c r="E630" s="257">
        <f t="shared" si="21"/>
        <v>10241578.719999999</v>
      </c>
    </row>
    <row r="631" spans="1:5" outlineLevel="2" x14ac:dyDescent="0.25">
      <c r="A631">
        <v>38400</v>
      </c>
      <c r="B631">
        <v>1993</v>
      </c>
      <c r="C631" s="77">
        <v>30.5</v>
      </c>
      <c r="D631" s="257">
        <v>276917.36</v>
      </c>
      <c r="E631" s="257">
        <f t="shared" si="21"/>
        <v>8445979.4800000004</v>
      </c>
    </row>
    <row r="632" spans="1:5" outlineLevel="2" x14ac:dyDescent="0.25">
      <c r="A632">
        <v>38400</v>
      </c>
      <c r="B632">
        <v>1992</v>
      </c>
      <c r="C632" s="77">
        <v>31.5</v>
      </c>
      <c r="D632" s="257">
        <v>301050.49</v>
      </c>
      <c r="E632" s="257">
        <f t="shared" si="21"/>
        <v>9483090.4350000005</v>
      </c>
    </row>
    <row r="633" spans="1:5" outlineLevel="2" x14ac:dyDescent="0.25">
      <c r="A633">
        <v>38400</v>
      </c>
      <c r="B633">
        <v>1991</v>
      </c>
      <c r="C633" s="77">
        <v>32.5</v>
      </c>
      <c r="D633" s="257">
        <v>208658.58</v>
      </c>
      <c r="E633" s="257">
        <f t="shared" si="21"/>
        <v>6781403.8499999996</v>
      </c>
    </row>
    <row r="634" spans="1:5" outlineLevel="2" x14ac:dyDescent="0.25">
      <c r="A634">
        <v>38400</v>
      </c>
      <c r="B634">
        <v>1990</v>
      </c>
      <c r="C634" s="77">
        <v>33.5</v>
      </c>
      <c r="D634" s="257">
        <v>353261.45</v>
      </c>
      <c r="E634" s="257">
        <f t="shared" si="21"/>
        <v>11834258.575000001</v>
      </c>
    </row>
    <row r="635" spans="1:5" outlineLevel="2" x14ac:dyDescent="0.25">
      <c r="A635">
        <v>38400</v>
      </c>
      <c r="B635">
        <v>1989</v>
      </c>
      <c r="C635" s="77">
        <v>34.5</v>
      </c>
      <c r="D635" s="257">
        <v>232637.44</v>
      </c>
      <c r="E635" s="257">
        <f t="shared" ref="E635:E666" si="22">+C635*D635</f>
        <v>8025991.6799999997</v>
      </c>
    </row>
    <row r="636" spans="1:5" outlineLevel="2" x14ac:dyDescent="0.25">
      <c r="A636">
        <v>38400</v>
      </c>
      <c r="B636">
        <v>1988</v>
      </c>
      <c r="C636" s="77">
        <v>35.5</v>
      </c>
      <c r="D636" s="257">
        <v>196784.29</v>
      </c>
      <c r="E636" s="257">
        <f t="shared" si="22"/>
        <v>6985842.2949999999</v>
      </c>
    </row>
    <row r="637" spans="1:5" outlineLevel="2" x14ac:dyDescent="0.25">
      <c r="A637">
        <v>38400</v>
      </c>
      <c r="B637">
        <v>1987</v>
      </c>
      <c r="C637" s="77">
        <v>36.5</v>
      </c>
      <c r="D637" s="257">
        <v>147729.25</v>
      </c>
      <c r="E637" s="257">
        <f t="shared" si="22"/>
        <v>5392117.625</v>
      </c>
    </row>
    <row r="638" spans="1:5" outlineLevel="2" x14ac:dyDescent="0.25">
      <c r="A638">
        <v>38400</v>
      </c>
      <c r="B638">
        <v>1986</v>
      </c>
      <c r="C638" s="77">
        <v>37.5</v>
      </c>
      <c r="D638" s="257">
        <v>146511.46</v>
      </c>
      <c r="E638" s="257">
        <f t="shared" si="22"/>
        <v>5494179.75</v>
      </c>
    </row>
    <row r="639" spans="1:5" outlineLevel="2" x14ac:dyDescent="0.25">
      <c r="A639">
        <v>38400</v>
      </c>
      <c r="B639">
        <v>1985</v>
      </c>
      <c r="C639" s="77">
        <v>38.5</v>
      </c>
      <c r="D639" s="257">
        <v>170597.53</v>
      </c>
      <c r="E639" s="257">
        <f t="shared" si="22"/>
        <v>6568004.9050000003</v>
      </c>
    </row>
    <row r="640" spans="1:5" outlineLevel="2" x14ac:dyDescent="0.25">
      <c r="A640">
        <v>38400</v>
      </c>
      <c r="B640">
        <v>1984</v>
      </c>
      <c r="C640" s="77">
        <v>39.5</v>
      </c>
      <c r="D640" s="257">
        <v>127971.21</v>
      </c>
      <c r="E640" s="257">
        <f t="shared" si="22"/>
        <v>5054862.7949999999</v>
      </c>
    </row>
    <row r="641" spans="1:5" outlineLevel="2" x14ac:dyDescent="0.25">
      <c r="A641">
        <v>38400</v>
      </c>
      <c r="B641">
        <v>1983</v>
      </c>
      <c r="C641" s="77">
        <v>40.5</v>
      </c>
      <c r="D641" s="257">
        <v>87337.01</v>
      </c>
      <c r="E641" s="257">
        <f t="shared" si="22"/>
        <v>3537148.9049999998</v>
      </c>
    </row>
    <row r="642" spans="1:5" outlineLevel="2" x14ac:dyDescent="0.25">
      <c r="A642">
        <v>38400</v>
      </c>
      <c r="B642">
        <v>1982</v>
      </c>
      <c r="C642" s="77">
        <v>41.5</v>
      </c>
      <c r="D642" s="257">
        <v>75868.649999999994</v>
      </c>
      <c r="E642" s="257">
        <f t="shared" si="22"/>
        <v>3148548.9749999996</v>
      </c>
    </row>
    <row r="643" spans="1:5" outlineLevel="2" x14ac:dyDescent="0.25">
      <c r="A643">
        <v>38400</v>
      </c>
      <c r="B643">
        <v>1981</v>
      </c>
      <c r="C643" s="77">
        <v>42.5</v>
      </c>
      <c r="D643" s="257">
        <v>64988.36</v>
      </c>
      <c r="E643" s="257">
        <f t="shared" si="22"/>
        <v>2762005.3</v>
      </c>
    </row>
    <row r="644" spans="1:5" outlineLevel="2" x14ac:dyDescent="0.25">
      <c r="A644">
        <v>38400</v>
      </c>
      <c r="B644">
        <v>1980</v>
      </c>
      <c r="C644" s="77">
        <v>43.5</v>
      </c>
      <c r="D644" s="257">
        <v>70727.09</v>
      </c>
      <c r="E644" s="257">
        <f t="shared" si="22"/>
        <v>3076628.415</v>
      </c>
    </row>
    <row r="645" spans="1:5" outlineLevel="2" x14ac:dyDescent="0.25">
      <c r="A645">
        <v>38400</v>
      </c>
      <c r="B645">
        <v>1979</v>
      </c>
      <c r="C645" s="77">
        <v>44.5</v>
      </c>
      <c r="D645" s="257">
        <v>39274.400000000001</v>
      </c>
      <c r="E645" s="257">
        <f t="shared" si="22"/>
        <v>1747710.8</v>
      </c>
    </row>
    <row r="646" spans="1:5" outlineLevel="2" x14ac:dyDescent="0.25">
      <c r="A646">
        <v>38400</v>
      </c>
      <c r="B646">
        <v>1978</v>
      </c>
      <c r="C646" s="77">
        <v>45.5</v>
      </c>
      <c r="D646" s="257">
        <v>40674.449999999997</v>
      </c>
      <c r="E646" s="257">
        <f t="shared" si="22"/>
        <v>1850687.4749999999</v>
      </c>
    </row>
    <row r="647" spans="1:5" outlineLevel="2" x14ac:dyDescent="0.25">
      <c r="A647">
        <v>38400</v>
      </c>
      <c r="B647">
        <v>1977</v>
      </c>
      <c r="C647" s="77">
        <v>46.5</v>
      </c>
      <c r="D647" s="257">
        <v>28484.48</v>
      </c>
      <c r="E647" s="257">
        <f t="shared" si="22"/>
        <v>1324528.32</v>
      </c>
    </row>
    <row r="648" spans="1:5" outlineLevel="2" x14ac:dyDescent="0.25">
      <c r="A648">
        <v>38400</v>
      </c>
      <c r="B648">
        <v>1976</v>
      </c>
      <c r="C648" s="77">
        <v>47.5</v>
      </c>
      <c r="D648" s="257">
        <v>25776.54</v>
      </c>
      <c r="E648" s="257">
        <f t="shared" si="22"/>
        <v>1224385.6500000001</v>
      </c>
    </row>
    <row r="649" spans="1:5" outlineLevel="2" x14ac:dyDescent="0.25">
      <c r="A649">
        <v>38400</v>
      </c>
      <c r="B649">
        <v>1975</v>
      </c>
      <c r="C649" s="77">
        <v>48.5</v>
      </c>
      <c r="D649" s="257">
        <v>28854.75</v>
      </c>
      <c r="E649" s="257">
        <f t="shared" si="22"/>
        <v>1399455.375</v>
      </c>
    </row>
    <row r="650" spans="1:5" outlineLevel="2" x14ac:dyDescent="0.25">
      <c r="A650">
        <v>38400</v>
      </c>
      <c r="B650">
        <v>1974</v>
      </c>
      <c r="C650" s="77">
        <v>49.5</v>
      </c>
      <c r="D650" s="257">
        <v>23369.85</v>
      </c>
      <c r="E650" s="257">
        <f t="shared" si="22"/>
        <v>1156807.575</v>
      </c>
    </row>
    <row r="651" spans="1:5" outlineLevel="2" x14ac:dyDescent="0.25">
      <c r="A651">
        <v>38400</v>
      </c>
      <c r="B651">
        <v>1973</v>
      </c>
      <c r="C651" s="77">
        <v>50.5</v>
      </c>
      <c r="D651" s="257">
        <v>38660.97</v>
      </c>
      <c r="E651" s="257">
        <f t="shared" si="22"/>
        <v>1952378.9850000001</v>
      </c>
    </row>
    <row r="652" spans="1:5" outlineLevel="2" x14ac:dyDescent="0.25">
      <c r="A652">
        <v>38400</v>
      </c>
      <c r="B652">
        <v>1972</v>
      </c>
      <c r="C652" s="77">
        <v>51.5</v>
      </c>
      <c r="D652" s="257">
        <v>12165.82</v>
      </c>
      <c r="E652" s="257">
        <f t="shared" si="22"/>
        <v>626539.73</v>
      </c>
    </row>
    <row r="653" spans="1:5" outlineLevel="2" x14ac:dyDescent="0.25">
      <c r="A653">
        <v>38400</v>
      </c>
      <c r="B653">
        <v>1971</v>
      </c>
      <c r="C653" s="77">
        <v>52.5</v>
      </c>
      <c r="D653" s="257">
        <v>13928.55</v>
      </c>
      <c r="E653" s="257">
        <f t="shared" si="22"/>
        <v>731248.875</v>
      </c>
    </row>
    <row r="654" spans="1:5" outlineLevel="2" x14ac:dyDescent="0.25">
      <c r="A654">
        <v>38400</v>
      </c>
      <c r="B654">
        <v>1970</v>
      </c>
      <c r="C654" s="77">
        <v>53.5</v>
      </c>
      <c r="D654" s="257">
        <v>6544.32</v>
      </c>
      <c r="E654" s="257">
        <f t="shared" si="22"/>
        <v>350121.12</v>
      </c>
    </row>
    <row r="655" spans="1:5" outlineLevel="2" x14ac:dyDescent="0.25">
      <c r="A655">
        <v>38400</v>
      </c>
      <c r="B655">
        <v>1969</v>
      </c>
      <c r="C655" s="77">
        <v>54.5</v>
      </c>
      <c r="D655" s="257">
        <v>6340.25</v>
      </c>
      <c r="E655" s="257">
        <f t="shared" si="22"/>
        <v>345543.625</v>
      </c>
    </row>
    <row r="656" spans="1:5" outlineLevel="2" x14ac:dyDescent="0.25">
      <c r="A656">
        <v>38400</v>
      </c>
      <c r="B656">
        <v>1968</v>
      </c>
      <c r="C656" s="77">
        <v>55.5</v>
      </c>
      <c r="D656" s="257">
        <v>2622.74</v>
      </c>
      <c r="E656" s="257">
        <f t="shared" si="22"/>
        <v>145562.06999999998</v>
      </c>
    </row>
    <row r="657" spans="1:6" outlineLevel="2" x14ac:dyDescent="0.25">
      <c r="A657">
        <v>38400</v>
      </c>
      <c r="B657">
        <v>1967</v>
      </c>
      <c r="C657" s="77">
        <v>56.5</v>
      </c>
      <c r="D657" s="257">
        <v>4619.18</v>
      </c>
      <c r="E657" s="257">
        <f t="shared" si="22"/>
        <v>260983.67</v>
      </c>
    </row>
    <row r="658" spans="1:6" outlineLevel="2" x14ac:dyDescent="0.25">
      <c r="A658">
        <v>38400</v>
      </c>
      <c r="B658">
        <v>1966</v>
      </c>
      <c r="C658" s="77">
        <v>57.5</v>
      </c>
      <c r="D658" s="257">
        <v>4903.5600000000004</v>
      </c>
      <c r="E658" s="257">
        <f t="shared" si="22"/>
        <v>281954.7</v>
      </c>
    </row>
    <row r="659" spans="1:6" outlineLevel="2" x14ac:dyDescent="0.25">
      <c r="A659">
        <v>38400</v>
      </c>
      <c r="B659">
        <v>1965</v>
      </c>
      <c r="C659" s="77">
        <v>58.5</v>
      </c>
      <c r="D659" s="257">
        <v>3694.46</v>
      </c>
      <c r="E659" s="257">
        <f t="shared" si="22"/>
        <v>216125.91</v>
      </c>
    </row>
    <row r="660" spans="1:6" outlineLevel="2" x14ac:dyDescent="0.25">
      <c r="A660">
        <v>38400</v>
      </c>
      <c r="B660">
        <v>1964</v>
      </c>
      <c r="C660" s="77">
        <v>59.5</v>
      </c>
      <c r="D660" s="257">
        <v>4963.21</v>
      </c>
      <c r="E660" s="257">
        <f t="shared" si="22"/>
        <v>295310.995</v>
      </c>
    </row>
    <row r="661" spans="1:6" outlineLevel="2" x14ac:dyDescent="0.25">
      <c r="A661">
        <v>38400</v>
      </c>
      <c r="B661">
        <v>1963</v>
      </c>
      <c r="C661" s="77">
        <v>60.5</v>
      </c>
      <c r="D661" s="257">
        <v>4372.3100000000004</v>
      </c>
      <c r="E661" s="257">
        <f t="shared" si="22"/>
        <v>264524.755</v>
      </c>
    </row>
    <row r="662" spans="1:6" outlineLevel="2" x14ac:dyDescent="0.25">
      <c r="A662">
        <v>38400</v>
      </c>
      <c r="B662">
        <v>1962</v>
      </c>
      <c r="C662" s="77">
        <v>61.5</v>
      </c>
      <c r="D662" s="257">
        <v>30396.61</v>
      </c>
      <c r="E662" s="257">
        <f t="shared" si="22"/>
        <v>1869391.5150000001</v>
      </c>
    </row>
    <row r="663" spans="1:6" outlineLevel="2" x14ac:dyDescent="0.25">
      <c r="A663">
        <v>38400</v>
      </c>
      <c r="B663">
        <v>1961</v>
      </c>
      <c r="C663" s="77">
        <v>62.5</v>
      </c>
      <c r="D663" s="257">
        <v>5605.81</v>
      </c>
      <c r="E663" s="257">
        <f t="shared" si="22"/>
        <v>350363.125</v>
      </c>
    </row>
    <row r="664" spans="1:6" outlineLevel="2" x14ac:dyDescent="0.25">
      <c r="A664">
        <v>38400</v>
      </c>
      <c r="B664">
        <v>1960</v>
      </c>
      <c r="C664" s="77">
        <v>63.5</v>
      </c>
      <c r="D664" s="257">
        <v>9552.76</v>
      </c>
      <c r="E664" s="257">
        <f t="shared" si="22"/>
        <v>606600.26</v>
      </c>
    </row>
    <row r="665" spans="1:6" outlineLevel="2" x14ac:dyDescent="0.25">
      <c r="A665">
        <v>38400</v>
      </c>
      <c r="B665">
        <v>1959</v>
      </c>
      <c r="C665" s="77">
        <v>64.5</v>
      </c>
      <c r="D665" s="257">
        <v>21695.01</v>
      </c>
      <c r="E665" s="257">
        <f t="shared" si="22"/>
        <v>1399328.1449999998</v>
      </c>
    </row>
    <row r="666" spans="1:6" outlineLevel="2" x14ac:dyDescent="0.25">
      <c r="A666">
        <v>38400</v>
      </c>
      <c r="B666">
        <v>1958</v>
      </c>
      <c r="C666" s="77">
        <v>65.5</v>
      </c>
      <c r="D666" s="257">
        <v>2829.11</v>
      </c>
      <c r="E666" s="257">
        <f t="shared" si="22"/>
        <v>185306.70500000002</v>
      </c>
    </row>
    <row r="667" spans="1:6" ht="13" outlineLevel="1" x14ac:dyDescent="0.3">
      <c r="A667" s="18" t="s">
        <v>1190</v>
      </c>
      <c r="C667" s="77" t="s">
        <v>1229</v>
      </c>
      <c r="D667" s="257">
        <f>SUBTOTAL(9,D603:D666)</f>
        <v>38677154.929999985</v>
      </c>
      <c r="E667" s="257">
        <f>SUBTOTAL(9,E603:E666)</f>
        <v>458736817.8350001</v>
      </c>
      <c r="F667" s="257">
        <f>+E667/D667</f>
        <v>11.860666035680413</v>
      </c>
    </row>
    <row r="668" spans="1:6" outlineLevel="2" x14ac:dyDescent="0.25">
      <c r="A668">
        <v>38500</v>
      </c>
      <c r="B668">
        <v>2022</v>
      </c>
      <c r="C668" s="77">
        <v>1.5</v>
      </c>
      <c r="D668" s="257">
        <v>147096.76</v>
      </c>
      <c r="E668" s="257">
        <f t="shared" ref="E668:E714" si="23">+C668*D668</f>
        <v>220645.14</v>
      </c>
    </row>
    <row r="669" spans="1:6" outlineLevel="2" x14ac:dyDescent="0.25">
      <c r="A669">
        <v>38500</v>
      </c>
      <c r="B669">
        <v>2021</v>
      </c>
      <c r="C669" s="77">
        <v>2.5</v>
      </c>
      <c r="D669" s="257">
        <v>9121.3799999999992</v>
      </c>
      <c r="E669" s="257">
        <f t="shared" si="23"/>
        <v>22803.449999999997</v>
      </c>
    </row>
    <row r="670" spans="1:6" outlineLevel="2" x14ac:dyDescent="0.25">
      <c r="A670">
        <v>38500</v>
      </c>
      <c r="B670">
        <v>2020</v>
      </c>
      <c r="C670" s="77">
        <v>3.5</v>
      </c>
      <c r="D670" s="257">
        <v>74719.59</v>
      </c>
      <c r="E670" s="257">
        <f t="shared" si="23"/>
        <v>261518.565</v>
      </c>
    </row>
    <row r="671" spans="1:6" outlineLevel="2" x14ac:dyDescent="0.25">
      <c r="A671">
        <v>38500</v>
      </c>
      <c r="B671">
        <v>2019</v>
      </c>
      <c r="C671" s="77">
        <v>4.5</v>
      </c>
      <c r="D671" s="257">
        <v>5547454.9000000004</v>
      </c>
      <c r="E671" s="257">
        <f t="shared" si="23"/>
        <v>24963547.050000001</v>
      </c>
    </row>
    <row r="672" spans="1:6" outlineLevel="2" x14ac:dyDescent="0.25">
      <c r="A672">
        <v>38500</v>
      </c>
      <c r="B672">
        <v>2018</v>
      </c>
      <c r="C672" s="77">
        <v>5.5</v>
      </c>
      <c r="D672" s="257">
        <v>394881.58</v>
      </c>
      <c r="E672" s="257">
        <f t="shared" si="23"/>
        <v>2171848.69</v>
      </c>
    </row>
    <row r="673" spans="1:5" outlineLevel="2" x14ac:dyDescent="0.25">
      <c r="A673">
        <v>38500</v>
      </c>
      <c r="B673">
        <v>2017</v>
      </c>
      <c r="C673" s="77">
        <v>6.5</v>
      </c>
      <c r="D673" s="257">
        <v>463.33</v>
      </c>
      <c r="E673" s="257">
        <f t="shared" si="23"/>
        <v>3011.645</v>
      </c>
    </row>
    <row r="674" spans="1:5" outlineLevel="2" x14ac:dyDescent="0.25">
      <c r="A674">
        <v>38500</v>
      </c>
      <c r="B674">
        <v>2016</v>
      </c>
      <c r="C674" s="77">
        <v>7.5</v>
      </c>
      <c r="D674" s="257">
        <v>599736.89</v>
      </c>
      <c r="E674" s="257">
        <f t="shared" si="23"/>
        <v>4498026.6749999998</v>
      </c>
    </row>
    <row r="675" spans="1:5" outlineLevel="2" x14ac:dyDescent="0.25">
      <c r="A675">
        <v>38500</v>
      </c>
      <c r="B675">
        <v>2014</v>
      </c>
      <c r="C675" s="77">
        <v>9.5</v>
      </c>
      <c r="D675" s="257">
        <v>1327.53</v>
      </c>
      <c r="E675" s="257">
        <f t="shared" si="23"/>
        <v>12611.535</v>
      </c>
    </row>
    <row r="676" spans="1:5" outlineLevel="2" x14ac:dyDescent="0.25">
      <c r="A676">
        <v>38500</v>
      </c>
      <c r="B676">
        <v>2013</v>
      </c>
      <c r="C676" s="77">
        <v>10.5</v>
      </c>
      <c r="D676" s="257">
        <v>102723.49</v>
      </c>
      <c r="E676" s="257">
        <f t="shared" si="23"/>
        <v>1078596.645</v>
      </c>
    </row>
    <row r="677" spans="1:5" outlineLevel="2" x14ac:dyDescent="0.25">
      <c r="A677">
        <v>38500</v>
      </c>
      <c r="B677">
        <v>2008</v>
      </c>
      <c r="C677" s="77">
        <v>15.5</v>
      </c>
      <c r="D677" s="257">
        <v>36582.050000000003</v>
      </c>
      <c r="E677" s="257">
        <f t="shared" si="23"/>
        <v>567021.77500000002</v>
      </c>
    </row>
    <row r="678" spans="1:5" outlineLevel="2" x14ac:dyDescent="0.25">
      <c r="A678">
        <v>38500</v>
      </c>
      <c r="B678">
        <v>2007</v>
      </c>
      <c r="C678" s="77">
        <v>16.5</v>
      </c>
      <c r="D678" s="257">
        <v>100970.91</v>
      </c>
      <c r="E678" s="257">
        <f t="shared" si="23"/>
        <v>1666020.0150000001</v>
      </c>
    </row>
    <row r="679" spans="1:5" outlineLevel="2" x14ac:dyDescent="0.25">
      <c r="A679">
        <v>38500</v>
      </c>
      <c r="B679">
        <v>2006</v>
      </c>
      <c r="C679" s="77">
        <v>17.5</v>
      </c>
      <c r="D679" s="257">
        <v>426246.06</v>
      </c>
      <c r="E679" s="257">
        <f t="shared" si="23"/>
        <v>7459306.0499999998</v>
      </c>
    </row>
    <row r="680" spans="1:5" outlineLevel="2" x14ac:dyDescent="0.25">
      <c r="A680">
        <v>38500</v>
      </c>
      <c r="B680">
        <v>2005</v>
      </c>
      <c r="C680" s="77">
        <v>18.5</v>
      </c>
      <c r="D680" s="257">
        <v>307717.42</v>
      </c>
      <c r="E680" s="257">
        <f t="shared" si="23"/>
        <v>5692772.2699999996</v>
      </c>
    </row>
    <row r="681" spans="1:5" outlineLevel="2" x14ac:dyDescent="0.25">
      <c r="A681">
        <v>38500</v>
      </c>
      <c r="B681">
        <v>2004</v>
      </c>
      <c r="C681" s="77">
        <v>19.5</v>
      </c>
      <c r="D681" s="257">
        <v>176234.88</v>
      </c>
      <c r="E681" s="257">
        <f t="shared" si="23"/>
        <v>3436580.16</v>
      </c>
    </row>
    <row r="682" spans="1:5" outlineLevel="2" x14ac:dyDescent="0.25">
      <c r="A682">
        <v>38500</v>
      </c>
      <c r="B682">
        <v>2003</v>
      </c>
      <c r="C682" s="77">
        <v>20.5</v>
      </c>
      <c r="D682" s="257">
        <v>600207.4</v>
      </c>
      <c r="E682" s="257">
        <f t="shared" si="23"/>
        <v>12304251.700000001</v>
      </c>
    </row>
    <row r="683" spans="1:5" outlineLevel="2" x14ac:dyDescent="0.25">
      <c r="A683">
        <v>38500</v>
      </c>
      <c r="B683">
        <v>2002</v>
      </c>
      <c r="C683" s="77">
        <v>21.5</v>
      </c>
      <c r="D683" s="257">
        <v>212974.43</v>
      </c>
      <c r="E683" s="257">
        <f t="shared" si="23"/>
        <v>4578950.2450000001</v>
      </c>
    </row>
    <row r="684" spans="1:5" outlineLevel="2" x14ac:dyDescent="0.25">
      <c r="A684">
        <v>38500</v>
      </c>
      <c r="B684">
        <v>2001</v>
      </c>
      <c r="C684" s="77">
        <v>22.5</v>
      </c>
      <c r="D684" s="257">
        <v>68811.039999999994</v>
      </c>
      <c r="E684" s="257">
        <f t="shared" si="23"/>
        <v>1548248.4</v>
      </c>
    </row>
    <row r="685" spans="1:5" outlineLevel="2" x14ac:dyDescent="0.25">
      <c r="A685">
        <v>38500</v>
      </c>
      <c r="B685">
        <v>2000</v>
      </c>
      <c r="C685" s="77">
        <v>23.5</v>
      </c>
      <c r="D685" s="257">
        <v>695612.81</v>
      </c>
      <c r="E685" s="257">
        <f t="shared" si="23"/>
        <v>16346901.035000002</v>
      </c>
    </row>
    <row r="686" spans="1:5" outlineLevel="2" x14ac:dyDescent="0.25">
      <c r="A686">
        <v>38500</v>
      </c>
      <c r="B686">
        <v>1999</v>
      </c>
      <c r="C686" s="77">
        <v>24.5</v>
      </c>
      <c r="D686" s="257">
        <v>472881.47</v>
      </c>
      <c r="E686" s="257">
        <f t="shared" si="23"/>
        <v>11585596.014999999</v>
      </c>
    </row>
    <row r="687" spans="1:5" outlineLevel="2" x14ac:dyDescent="0.25">
      <c r="A687">
        <v>38500</v>
      </c>
      <c r="B687">
        <v>1998</v>
      </c>
      <c r="C687" s="77">
        <v>25.5</v>
      </c>
      <c r="D687" s="257">
        <v>359267.11</v>
      </c>
      <c r="E687" s="257">
        <f t="shared" si="23"/>
        <v>9161311.3049999997</v>
      </c>
    </row>
    <row r="688" spans="1:5" outlineLevel="2" x14ac:dyDescent="0.25">
      <c r="A688">
        <v>38500</v>
      </c>
      <c r="B688">
        <v>1997</v>
      </c>
      <c r="C688" s="77">
        <v>26.5</v>
      </c>
      <c r="D688" s="257">
        <v>292567.28999999998</v>
      </c>
      <c r="E688" s="257">
        <f t="shared" si="23"/>
        <v>7753033.1849999996</v>
      </c>
    </row>
    <row r="689" spans="1:5" outlineLevel="2" x14ac:dyDescent="0.25">
      <c r="A689">
        <v>38500</v>
      </c>
      <c r="B689">
        <v>1996</v>
      </c>
      <c r="C689" s="77">
        <v>27.5</v>
      </c>
      <c r="D689" s="257">
        <v>238512.58</v>
      </c>
      <c r="E689" s="257">
        <f t="shared" si="23"/>
        <v>6559095.9499999993</v>
      </c>
    </row>
    <row r="690" spans="1:5" outlineLevel="2" x14ac:dyDescent="0.25">
      <c r="A690">
        <v>38500</v>
      </c>
      <c r="B690">
        <v>1995</v>
      </c>
      <c r="C690" s="77">
        <v>28.5</v>
      </c>
      <c r="D690" s="257">
        <v>207956.66</v>
      </c>
      <c r="E690" s="257">
        <f t="shared" si="23"/>
        <v>5926764.8100000005</v>
      </c>
    </row>
    <row r="691" spans="1:5" outlineLevel="2" x14ac:dyDescent="0.25">
      <c r="A691">
        <v>38500</v>
      </c>
      <c r="B691">
        <v>1994</v>
      </c>
      <c r="C691" s="77">
        <v>29.5</v>
      </c>
      <c r="D691" s="257">
        <v>656860</v>
      </c>
      <c r="E691" s="257">
        <f t="shared" si="23"/>
        <v>19377370</v>
      </c>
    </row>
    <row r="692" spans="1:5" outlineLevel="2" x14ac:dyDescent="0.25">
      <c r="A692">
        <v>38500</v>
      </c>
      <c r="B692">
        <v>1993</v>
      </c>
      <c r="C692" s="77">
        <v>30.5</v>
      </c>
      <c r="D692" s="257">
        <v>352865.07</v>
      </c>
      <c r="E692" s="257">
        <f t="shared" si="23"/>
        <v>10762384.635</v>
      </c>
    </row>
    <row r="693" spans="1:5" outlineLevel="2" x14ac:dyDescent="0.25">
      <c r="A693">
        <v>38500</v>
      </c>
      <c r="B693">
        <v>1992</v>
      </c>
      <c r="C693" s="77">
        <v>31.5</v>
      </c>
      <c r="D693" s="257">
        <v>234841.1</v>
      </c>
      <c r="E693" s="257">
        <f t="shared" si="23"/>
        <v>7397494.6500000004</v>
      </c>
    </row>
    <row r="694" spans="1:5" outlineLevel="2" x14ac:dyDescent="0.25">
      <c r="A694">
        <v>38500</v>
      </c>
      <c r="B694">
        <v>1991</v>
      </c>
      <c r="C694" s="77">
        <v>32.5</v>
      </c>
      <c r="D694" s="257">
        <v>328532.15999999997</v>
      </c>
      <c r="E694" s="257">
        <f t="shared" si="23"/>
        <v>10677295.199999999</v>
      </c>
    </row>
    <row r="695" spans="1:5" outlineLevel="2" x14ac:dyDescent="0.25">
      <c r="A695">
        <v>38500</v>
      </c>
      <c r="B695">
        <v>1990</v>
      </c>
      <c r="C695" s="77">
        <v>33.5</v>
      </c>
      <c r="D695" s="257">
        <v>660172.68999999994</v>
      </c>
      <c r="E695" s="257">
        <f t="shared" si="23"/>
        <v>22115785.114999998</v>
      </c>
    </row>
    <row r="696" spans="1:5" outlineLevel="2" x14ac:dyDescent="0.25">
      <c r="A696">
        <v>38500</v>
      </c>
      <c r="B696">
        <v>1989</v>
      </c>
      <c r="C696" s="77">
        <v>34.5</v>
      </c>
      <c r="D696" s="257">
        <v>269563.17</v>
      </c>
      <c r="E696" s="257">
        <f t="shared" si="23"/>
        <v>9299929.3650000002</v>
      </c>
    </row>
    <row r="697" spans="1:5" outlineLevel="2" x14ac:dyDescent="0.25">
      <c r="A697">
        <v>38500</v>
      </c>
      <c r="B697">
        <v>1988</v>
      </c>
      <c r="C697" s="77">
        <v>35.5</v>
      </c>
      <c r="D697" s="257">
        <v>502416.81</v>
      </c>
      <c r="E697" s="257">
        <f t="shared" si="23"/>
        <v>17835796.754999999</v>
      </c>
    </row>
    <row r="698" spans="1:5" outlineLevel="2" x14ac:dyDescent="0.25">
      <c r="A698">
        <v>38500</v>
      </c>
      <c r="B698">
        <v>1987</v>
      </c>
      <c r="C698" s="77">
        <v>36.5</v>
      </c>
      <c r="D698" s="257">
        <v>229133.04</v>
      </c>
      <c r="E698" s="257">
        <f t="shared" si="23"/>
        <v>8363355.96</v>
      </c>
    </row>
    <row r="699" spans="1:5" outlineLevel="2" x14ac:dyDescent="0.25">
      <c r="A699">
        <v>38500</v>
      </c>
      <c r="B699">
        <v>1986</v>
      </c>
      <c r="C699" s="77">
        <v>37.5</v>
      </c>
      <c r="D699" s="257">
        <v>354147.05</v>
      </c>
      <c r="E699" s="257">
        <f t="shared" si="23"/>
        <v>13280514.375</v>
      </c>
    </row>
    <row r="700" spans="1:5" outlineLevel="2" x14ac:dyDescent="0.25">
      <c r="A700">
        <v>38500</v>
      </c>
      <c r="B700">
        <v>1985</v>
      </c>
      <c r="C700" s="77">
        <v>38.5</v>
      </c>
      <c r="D700" s="257">
        <v>176580.69</v>
      </c>
      <c r="E700" s="257">
        <f t="shared" si="23"/>
        <v>6798356.5650000004</v>
      </c>
    </row>
    <row r="701" spans="1:5" outlineLevel="2" x14ac:dyDescent="0.25">
      <c r="A701">
        <v>38500</v>
      </c>
      <c r="B701">
        <v>1984</v>
      </c>
      <c r="C701" s="77">
        <v>39.5</v>
      </c>
      <c r="D701" s="257">
        <v>114096.57</v>
      </c>
      <c r="E701" s="257">
        <f t="shared" si="23"/>
        <v>4506814.5150000006</v>
      </c>
    </row>
    <row r="702" spans="1:5" outlineLevel="2" x14ac:dyDescent="0.25">
      <c r="A702">
        <v>38500</v>
      </c>
      <c r="B702">
        <v>1983</v>
      </c>
      <c r="C702" s="77">
        <v>40.5</v>
      </c>
      <c r="D702" s="257">
        <v>88578.93</v>
      </c>
      <c r="E702" s="257">
        <f t="shared" si="23"/>
        <v>3587446.6649999996</v>
      </c>
    </row>
    <row r="703" spans="1:5" outlineLevel="2" x14ac:dyDescent="0.25">
      <c r="A703">
        <v>38500</v>
      </c>
      <c r="B703">
        <v>1982</v>
      </c>
      <c r="C703" s="77">
        <v>41.5</v>
      </c>
      <c r="D703" s="257">
        <v>86063.71</v>
      </c>
      <c r="E703" s="257">
        <f t="shared" si="23"/>
        <v>3571643.9650000003</v>
      </c>
    </row>
    <row r="704" spans="1:5" outlineLevel="2" x14ac:dyDescent="0.25">
      <c r="A704">
        <v>38500</v>
      </c>
      <c r="B704">
        <v>1981</v>
      </c>
      <c r="C704" s="77">
        <v>42.5</v>
      </c>
      <c r="D704" s="257">
        <v>29721.03</v>
      </c>
      <c r="E704" s="257">
        <f t="shared" si="23"/>
        <v>1263143.7749999999</v>
      </c>
    </row>
    <row r="705" spans="1:6" outlineLevel="2" x14ac:dyDescent="0.25">
      <c r="A705">
        <v>38500</v>
      </c>
      <c r="B705">
        <v>1980</v>
      </c>
      <c r="C705" s="77">
        <v>43.5</v>
      </c>
      <c r="D705" s="257">
        <v>4431.1899999999996</v>
      </c>
      <c r="E705" s="257">
        <f t="shared" si="23"/>
        <v>192756.76499999998</v>
      </c>
    </row>
    <row r="706" spans="1:6" outlineLevel="2" x14ac:dyDescent="0.25">
      <c r="A706">
        <v>38500</v>
      </c>
      <c r="B706">
        <v>1979</v>
      </c>
      <c r="C706" s="77">
        <v>44.5</v>
      </c>
      <c r="D706" s="257">
        <v>301.47000000000003</v>
      </c>
      <c r="E706" s="257">
        <f t="shared" si="23"/>
        <v>13415.415000000001</v>
      </c>
    </row>
    <row r="707" spans="1:6" outlineLevel="2" x14ac:dyDescent="0.25">
      <c r="A707">
        <v>38500</v>
      </c>
      <c r="B707">
        <v>1977</v>
      </c>
      <c r="C707" s="77">
        <v>46.5</v>
      </c>
      <c r="D707" s="257">
        <v>6344.39</v>
      </c>
      <c r="E707" s="257">
        <f t="shared" si="23"/>
        <v>295014.13500000001</v>
      </c>
    </row>
    <row r="708" spans="1:6" outlineLevel="2" x14ac:dyDescent="0.25">
      <c r="A708">
        <v>38500</v>
      </c>
      <c r="B708">
        <v>1976</v>
      </c>
      <c r="C708" s="77">
        <v>47.5</v>
      </c>
      <c r="D708" s="257">
        <v>1302.27</v>
      </c>
      <c r="E708" s="257">
        <f t="shared" si="23"/>
        <v>61857.824999999997</v>
      </c>
    </row>
    <row r="709" spans="1:6" outlineLevel="2" x14ac:dyDescent="0.25">
      <c r="A709">
        <v>38500</v>
      </c>
      <c r="B709">
        <v>1975</v>
      </c>
      <c r="C709" s="77">
        <v>48.5</v>
      </c>
      <c r="D709" s="257">
        <v>3536.71</v>
      </c>
      <c r="E709" s="257">
        <f t="shared" si="23"/>
        <v>171530.435</v>
      </c>
    </row>
    <row r="710" spans="1:6" outlineLevel="2" x14ac:dyDescent="0.25">
      <c r="A710">
        <v>38500</v>
      </c>
      <c r="B710">
        <v>1974</v>
      </c>
      <c r="C710" s="77">
        <v>49.5</v>
      </c>
      <c r="D710" s="257">
        <v>8987.32</v>
      </c>
      <c r="E710" s="257">
        <f t="shared" si="23"/>
        <v>444872.33999999997</v>
      </c>
    </row>
    <row r="711" spans="1:6" outlineLevel="2" x14ac:dyDescent="0.25">
      <c r="A711">
        <v>38500</v>
      </c>
      <c r="B711">
        <v>1972</v>
      </c>
      <c r="C711" s="77">
        <v>51.5</v>
      </c>
      <c r="D711" s="257">
        <v>711.03</v>
      </c>
      <c r="E711" s="257">
        <f t="shared" si="23"/>
        <v>36618.044999999998</v>
      </c>
    </row>
    <row r="712" spans="1:6" outlineLevel="2" x14ac:dyDescent="0.25">
      <c r="A712">
        <v>38500</v>
      </c>
      <c r="B712">
        <v>1971</v>
      </c>
      <c r="C712" s="77">
        <v>52.5</v>
      </c>
      <c r="D712" s="257">
        <v>6882.95</v>
      </c>
      <c r="E712" s="257">
        <f t="shared" si="23"/>
        <v>361354.875</v>
      </c>
    </row>
    <row r="713" spans="1:6" outlineLevel="2" x14ac:dyDescent="0.25">
      <c r="A713">
        <v>38500</v>
      </c>
      <c r="B713">
        <v>1970</v>
      </c>
      <c r="C713" s="77">
        <v>53.5</v>
      </c>
      <c r="D713" s="257">
        <v>5759.09</v>
      </c>
      <c r="E713" s="257">
        <f t="shared" ref="E713" si="24">+C713*D713</f>
        <v>308111.315</v>
      </c>
    </row>
    <row r="714" spans="1:6" outlineLevel="2" x14ac:dyDescent="0.25">
      <c r="A714">
        <v>38500</v>
      </c>
      <c r="B714">
        <v>1969</v>
      </c>
      <c r="C714" s="77">
        <v>54.5</v>
      </c>
      <c r="D714" s="257">
        <v>930.64</v>
      </c>
      <c r="E714" s="257">
        <f t="shared" si="23"/>
        <v>50719.88</v>
      </c>
    </row>
    <row r="715" spans="1:6" ht="13" outlineLevel="1" x14ac:dyDescent="0.3">
      <c r="A715" s="18" t="s">
        <v>1191</v>
      </c>
      <c r="C715" s="77" t="s">
        <v>1229</v>
      </c>
      <c r="D715" s="257">
        <f>SUBTOTAL(9,D668:D714)</f>
        <v>15196826.639999999</v>
      </c>
      <c r="E715" s="257">
        <f>SUBTOTAL(9,E668:E714)</f>
        <v>268592044.87999994</v>
      </c>
      <c r="F715" s="257">
        <f>+E715/D715</f>
        <v>17.674219180274861</v>
      </c>
    </row>
    <row r="716" spans="1:6" outlineLevel="2" x14ac:dyDescent="0.25">
      <c r="A716">
        <v>38700</v>
      </c>
      <c r="B716">
        <v>2022</v>
      </c>
      <c r="C716" s="77">
        <v>1.5</v>
      </c>
      <c r="D716" s="257">
        <v>506839.74</v>
      </c>
      <c r="E716" s="257">
        <f t="shared" ref="E716:E757" si="25">+C716*D716</f>
        <v>760259.61</v>
      </c>
    </row>
    <row r="717" spans="1:6" outlineLevel="2" x14ac:dyDescent="0.25">
      <c r="A717">
        <v>38700</v>
      </c>
      <c r="B717">
        <v>2021</v>
      </c>
      <c r="C717" s="77">
        <v>2.5</v>
      </c>
      <c r="D717" s="257">
        <v>1821650.02</v>
      </c>
      <c r="E717" s="257">
        <f t="shared" si="25"/>
        <v>4554125.05</v>
      </c>
    </row>
    <row r="718" spans="1:6" outlineLevel="2" x14ac:dyDescent="0.25">
      <c r="A718">
        <v>38700</v>
      </c>
      <c r="B718">
        <v>2020</v>
      </c>
      <c r="C718" s="77">
        <v>3.5</v>
      </c>
      <c r="D718" s="257">
        <v>984702.63</v>
      </c>
      <c r="E718" s="257">
        <f t="shared" si="25"/>
        <v>3446459.2050000001</v>
      </c>
    </row>
    <row r="719" spans="1:6" outlineLevel="2" x14ac:dyDescent="0.25">
      <c r="A719">
        <v>38700</v>
      </c>
      <c r="B719">
        <v>2019</v>
      </c>
      <c r="C719" s="77">
        <v>4.5</v>
      </c>
      <c r="D719" s="257">
        <v>1243321.68</v>
      </c>
      <c r="E719" s="257">
        <f t="shared" si="25"/>
        <v>5594947.5599999996</v>
      </c>
    </row>
    <row r="720" spans="1:6" outlineLevel="2" x14ac:dyDescent="0.25">
      <c r="A720">
        <v>38700</v>
      </c>
      <c r="B720">
        <v>2018</v>
      </c>
      <c r="C720" s="77">
        <v>5.5</v>
      </c>
      <c r="D720" s="257">
        <v>1520325.52</v>
      </c>
      <c r="E720" s="257">
        <f t="shared" si="25"/>
        <v>8361790.3600000003</v>
      </c>
    </row>
    <row r="721" spans="1:5" outlineLevel="2" x14ac:dyDescent="0.25">
      <c r="A721">
        <v>38700</v>
      </c>
      <c r="B721">
        <v>2017</v>
      </c>
      <c r="C721" s="77">
        <v>6.5</v>
      </c>
      <c r="D721" s="257">
        <v>625901.17000000004</v>
      </c>
      <c r="E721" s="257">
        <f t="shared" si="25"/>
        <v>4068357.6050000004</v>
      </c>
    </row>
    <row r="722" spans="1:5" outlineLevel="2" x14ac:dyDescent="0.25">
      <c r="A722">
        <v>38700</v>
      </c>
      <c r="B722">
        <v>2016</v>
      </c>
      <c r="C722" s="77">
        <v>7.5</v>
      </c>
      <c r="D722" s="257">
        <v>497048.71</v>
      </c>
      <c r="E722" s="257">
        <f t="shared" si="25"/>
        <v>3727865.3250000002</v>
      </c>
    </row>
    <row r="723" spans="1:5" outlineLevel="2" x14ac:dyDescent="0.25">
      <c r="A723">
        <v>38700</v>
      </c>
      <c r="B723">
        <v>2015</v>
      </c>
      <c r="C723" s="77">
        <v>8.5</v>
      </c>
      <c r="D723" s="257">
        <v>491827.7</v>
      </c>
      <c r="E723" s="257">
        <f t="shared" si="25"/>
        <v>4180535.45</v>
      </c>
    </row>
    <row r="724" spans="1:5" outlineLevel="2" x14ac:dyDescent="0.25">
      <c r="A724">
        <v>38700</v>
      </c>
      <c r="B724">
        <v>2014</v>
      </c>
      <c r="C724" s="77">
        <v>9.5</v>
      </c>
      <c r="D724" s="257">
        <v>1084921.98</v>
      </c>
      <c r="E724" s="257">
        <f t="shared" si="25"/>
        <v>10306758.810000001</v>
      </c>
    </row>
    <row r="725" spans="1:5" outlineLevel="2" x14ac:dyDescent="0.25">
      <c r="A725">
        <v>38700</v>
      </c>
      <c r="B725">
        <v>2013</v>
      </c>
      <c r="C725" s="77">
        <v>10.5</v>
      </c>
      <c r="D725" s="257">
        <v>307418.8</v>
      </c>
      <c r="E725" s="257">
        <f t="shared" si="25"/>
        <v>3227897.4</v>
      </c>
    </row>
    <row r="726" spans="1:5" outlineLevel="2" x14ac:dyDescent="0.25">
      <c r="A726">
        <v>38700</v>
      </c>
      <c r="B726">
        <v>2012</v>
      </c>
      <c r="C726" s="77">
        <v>11.5</v>
      </c>
      <c r="D726" s="257">
        <v>520523.51</v>
      </c>
      <c r="E726" s="257">
        <f t="shared" si="25"/>
        <v>5986020.3650000002</v>
      </c>
    </row>
    <row r="727" spans="1:5" outlineLevel="2" x14ac:dyDescent="0.25">
      <c r="A727">
        <v>38700</v>
      </c>
      <c r="B727">
        <v>2011</v>
      </c>
      <c r="C727" s="77">
        <v>12.5</v>
      </c>
      <c r="D727" s="257">
        <v>536464.85</v>
      </c>
      <c r="E727" s="257">
        <f t="shared" si="25"/>
        <v>6705810.625</v>
      </c>
    </row>
    <row r="728" spans="1:5" outlineLevel="2" x14ac:dyDescent="0.25">
      <c r="A728">
        <v>38700</v>
      </c>
      <c r="B728">
        <v>2010</v>
      </c>
      <c r="C728" s="77">
        <v>13.5</v>
      </c>
      <c r="D728" s="257">
        <v>539022.11</v>
      </c>
      <c r="E728" s="257">
        <f t="shared" si="25"/>
        <v>7276798.4849999994</v>
      </c>
    </row>
    <row r="729" spans="1:5" outlineLevel="2" x14ac:dyDescent="0.25">
      <c r="A729">
        <v>38700</v>
      </c>
      <c r="B729">
        <v>2009</v>
      </c>
      <c r="C729" s="77">
        <v>14.5</v>
      </c>
      <c r="D729" s="257">
        <v>668413.77</v>
      </c>
      <c r="E729" s="257">
        <f t="shared" si="25"/>
        <v>9691999.665000001</v>
      </c>
    </row>
    <row r="730" spans="1:5" outlineLevel="2" x14ac:dyDescent="0.25">
      <c r="A730">
        <v>38700</v>
      </c>
      <c r="B730">
        <v>2008</v>
      </c>
      <c r="C730" s="77">
        <v>15.5</v>
      </c>
      <c r="D730" s="257">
        <v>148017.06</v>
      </c>
      <c r="E730" s="257">
        <f t="shared" si="25"/>
        <v>2294264.4300000002</v>
      </c>
    </row>
    <row r="731" spans="1:5" outlineLevel="2" x14ac:dyDescent="0.25">
      <c r="A731">
        <v>38700</v>
      </c>
      <c r="B731">
        <v>2007</v>
      </c>
      <c r="C731" s="77">
        <v>16.5</v>
      </c>
      <c r="D731" s="257">
        <v>329322.34999999998</v>
      </c>
      <c r="E731" s="257">
        <f t="shared" si="25"/>
        <v>5433818.7749999994</v>
      </c>
    </row>
    <row r="732" spans="1:5" outlineLevel="2" x14ac:dyDescent="0.25">
      <c r="A732">
        <v>38700</v>
      </c>
      <c r="B732">
        <v>2006</v>
      </c>
      <c r="C732" s="77">
        <v>17.5</v>
      </c>
      <c r="D732" s="257">
        <v>346776.93</v>
      </c>
      <c r="E732" s="257">
        <f t="shared" si="25"/>
        <v>6068596.2749999994</v>
      </c>
    </row>
    <row r="733" spans="1:5" outlineLevel="2" x14ac:dyDescent="0.25">
      <c r="A733">
        <v>38700</v>
      </c>
      <c r="B733">
        <v>2005</v>
      </c>
      <c r="C733" s="77">
        <v>18.5</v>
      </c>
      <c r="D733" s="257">
        <v>139566.21</v>
      </c>
      <c r="E733" s="257">
        <f t="shared" si="25"/>
        <v>2581974.8849999998</v>
      </c>
    </row>
    <row r="734" spans="1:5" outlineLevel="2" x14ac:dyDescent="0.25">
      <c r="A734">
        <v>38700</v>
      </c>
      <c r="B734">
        <v>2004</v>
      </c>
      <c r="C734" s="77">
        <v>19.5</v>
      </c>
      <c r="D734" s="257">
        <v>202102.66</v>
      </c>
      <c r="E734" s="257">
        <f t="shared" si="25"/>
        <v>3941001.87</v>
      </c>
    </row>
    <row r="735" spans="1:5" outlineLevel="2" x14ac:dyDescent="0.25">
      <c r="A735">
        <v>38700</v>
      </c>
      <c r="B735">
        <v>2003</v>
      </c>
      <c r="C735" s="77">
        <v>20.5</v>
      </c>
      <c r="D735" s="257">
        <v>190802.76</v>
      </c>
      <c r="E735" s="257">
        <f t="shared" si="25"/>
        <v>3911456.58</v>
      </c>
    </row>
    <row r="736" spans="1:5" outlineLevel="2" x14ac:dyDescent="0.25">
      <c r="A736">
        <v>38700</v>
      </c>
      <c r="B736">
        <v>2002</v>
      </c>
      <c r="C736" s="77">
        <v>21.5</v>
      </c>
      <c r="D736" s="257">
        <v>78107.23</v>
      </c>
      <c r="E736" s="257">
        <f t="shared" si="25"/>
        <v>1679305.4449999998</v>
      </c>
    </row>
    <row r="737" spans="1:5" outlineLevel="2" x14ac:dyDescent="0.25">
      <c r="A737">
        <v>38700</v>
      </c>
      <c r="B737">
        <v>2001</v>
      </c>
      <c r="C737" s="77">
        <v>22.5</v>
      </c>
      <c r="D737" s="257">
        <v>96049.08</v>
      </c>
      <c r="E737" s="257">
        <f t="shared" si="25"/>
        <v>2161104.2999999998</v>
      </c>
    </row>
    <row r="738" spans="1:5" outlineLevel="2" x14ac:dyDescent="0.25">
      <c r="A738">
        <v>38700</v>
      </c>
      <c r="B738">
        <v>2000</v>
      </c>
      <c r="C738" s="77">
        <v>23.5</v>
      </c>
      <c r="D738" s="257">
        <v>156360.82</v>
      </c>
      <c r="E738" s="257">
        <f t="shared" si="25"/>
        <v>3674479.27</v>
      </c>
    </row>
    <row r="739" spans="1:5" outlineLevel="2" x14ac:dyDescent="0.25">
      <c r="A739">
        <v>38700</v>
      </c>
      <c r="B739">
        <v>1999</v>
      </c>
      <c r="C739" s="77">
        <v>24.5</v>
      </c>
      <c r="D739" s="257">
        <v>79657.95</v>
      </c>
      <c r="E739" s="257">
        <f t="shared" si="25"/>
        <v>1951619.7749999999</v>
      </c>
    </row>
    <row r="740" spans="1:5" outlineLevel="2" x14ac:dyDescent="0.25">
      <c r="A740">
        <v>38700</v>
      </c>
      <c r="B740">
        <v>1998</v>
      </c>
      <c r="C740" s="77">
        <v>25.5</v>
      </c>
      <c r="D740" s="257">
        <v>33665.1</v>
      </c>
      <c r="E740" s="257">
        <f t="shared" si="25"/>
        <v>858460.04999999993</v>
      </c>
    </row>
    <row r="741" spans="1:5" outlineLevel="2" x14ac:dyDescent="0.25">
      <c r="A741">
        <v>38700</v>
      </c>
      <c r="B741">
        <v>1997</v>
      </c>
      <c r="C741" s="77">
        <v>26.5</v>
      </c>
      <c r="D741" s="257">
        <v>79003.23</v>
      </c>
      <c r="E741" s="257">
        <f t="shared" si="25"/>
        <v>2093585.595</v>
      </c>
    </row>
    <row r="742" spans="1:5" outlineLevel="2" x14ac:dyDescent="0.25">
      <c r="A742">
        <v>38700</v>
      </c>
      <c r="B742">
        <v>1996</v>
      </c>
      <c r="C742" s="77">
        <v>27.5</v>
      </c>
      <c r="D742" s="257">
        <v>35736.370000000003</v>
      </c>
      <c r="E742" s="257">
        <f t="shared" si="25"/>
        <v>982750.17500000005</v>
      </c>
    </row>
    <row r="743" spans="1:5" outlineLevel="2" x14ac:dyDescent="0.25">
      <c r="A743">
        <v>38700</v>
      </c>
      <c r="B743">
        <v>1995</v>
      </c>
      <c r="C743" s="77">
        <v>28.5</v>
      </c>
      <c r="D743" s="257">
        <v>26792.02</v>
      </c>
      <c r="E743" s="257">
        <f t="shared" si="25"/>
        <v>763572.57000000007</v>
      </c>
    </row>
    <row r="744" spans="1:5" outlineLevel="2" x14ac:dyDescent="0.25">
      <c r="A744">
        <v>38700</v>
      </c>
      <c r="B744">
        <v>1994</v>
      </c>
      <c r="C744" s="77">
        <v>29.5</v>
      </c>
      <c r="D744" s="257">
        <v>41201.18</v>
      </c>
      <c r="E744" s="257">
        <f t="shared" si="25"/>
        <v>1215434.81</v>
      </c>
    </row>
    <row r="745" spans="1:5" outlineLevel="2" x14ac:dyDescent="0.25">
      <c r="A745">
        <v>38700</v>
      </c>
      <c r="B745">
        <v>1993</v>
      </c>
      <c r="C745" s="77">
        <v>30.5</v>
      </c>
      <c r="D745" s="257">
        <v>21490.94</v>
      </c>
      <c r="E745" s="257">
        <f t="shared" si="25"/>
        <v>655473.66999999993</v>
      </c>
    </row>
    <row r="746" spans="1:5" outlineLevel="2" x14ac:dyDescent="0.25">
      <c r="A746">
        <v>38700</v>
      </c>
      <c r="B746">
        <v>1992</v>
      </c>
      <c r="C746" s="77">
        <v>31.5</v>
      </c>
      <c r="D746" s="257">
        <v>16379.55</v>
      </c>
      <c r="E746" s="257">
        <f t="shared" si="25"/>
        <v>515955.82499999995</v>
      </c>
    </row>
    <row r="747" spans="1:5" outlineLevel="2" x14ac:dyDescent="0.25">
      <c r="A747">
        <v>38700</v>
      </c>
      <c r="B747">
        <v>1991</v>
      </c>
      <c r="C747" s="77">
        <v>32.5</v>
      </c>
      <c r="D747" s="257">
        <v>17681.57</v>
      </c>
      <c r="E747" s="257">
        <f t="shared" si="25"/>
        <v>574651.02500000002</v>
      </c>
    </row>
    <row r="748" spans="1:5" outlineLevel="2" x14ac:dyDescent="0.25">
      <c r="A748">
        <v>38700</v>
      </c>
      <c r="B748">
        <v>1990</v>
      </c>
      <c r="C748" s="77">
        <v>33.5</v>
      </c>
      <c r="D748" s="257">
        <v>8597.36</v>
      </c>
      <c r="E748" s="257">
        <f t="shared" si="25"/>
        <v>288011.56</v>
      </c>
    </row>
    <row r="749" spans="1:5" outlineLevel="2" x14ac:dyDescent="0.25">
      <c r="A749">
        <v>38700</v>
      </c>
      <c r="B749">
        <v>1989</v>
      </c>
      <c r="C749" s="77">
        <v>34.5</v>
      </c>
      <c r="D749" s="257">
        <v>2004.48</v>
      </c>
      <c r="E749" s="257">
        <f t="shared" si="25"/>
        <v>69154.559999999998</v>
      </c>
    </row>
    <row r="750" spans="1:5" outlineLevel="2" x14ac:dyDescent="0.25">
      <c r="A750">
        <v>38700</v>
      </c>
      <c r="B750">
        <v>1988</v>
      </c>
      <c r="C750" s="77">
        <v>35.5</v>
      </c>
      <c r="D750" s="257">
        <v>4612.16</v>
      </c>
      <c r="E750" s="257">
        <f t="shared" si="25"/>
        <v>163731.68</v>
      </c>
    </row>
    <row r="751" spans="1:5" outlineLevel="2" x14ac:dyDescent="0.25">
      <c r="A751">
        <v>38700</v>
      </c>
      <c r="B751">
        <v>1986</v>
      </c>
      <c r="C751" s="77">
        <v>37.5</v>
      </c>
      <c r="D751" s="257">
        <v>7400.34</v>
      </c>
      <c r="E751" s="257">
        <f t="shared" si="25"/>
        <v>277512.75</v>
      </c>
    </row>
    <row r="752" spans="1:5" outlineLevel="2" x14ac:dyDescent="0.25">
      <c r="A752">
        <v>38700</v>
      </c>
      <c r="B752">
        <v>1985</v>
      </c>
      <c r="C752" s="77">
        <v>38.5</v>
      </c>
      <c r="D752" s="257">
        <v>1881.03</v>
      </c>
      <c r="E752" s="257">
        <f t="shared" si="25"/>
        <v>72419.654999999999</v>
      </c>
    </row>
    <row r="753" spans="1:6" outlineLevel="2" x14ac:dyDescent="0.25">
      <c r="A753">
        <v>38700</v>
      </c>
      <c r="B753">
        <v>1983</v>
      </c>
      <c r="C753" s="77">
        <v>40.5</v>
      </c>
      <c r="D753" s="257">
        <v>1376.02</v>
      </c>
      <c r="E753" s="257">
        <f t="shared" si="25"/>
        <v>55728.81</v>
      </c>
    </row>
    <row r="754" spans="1:6" outlineLevel="2" x14ac:dyDescent="0.25">
      <c r="A754">
        <v>38700</v>
      </c>
      <c r="B754">
        <v>1982</v>
      </c>
      <c r="C754" s="77">
        <v>41.5</v>
      </c>
      <c r="D754" s="257">
        <v>880.94</v>
      </c>
      <c r="E754" s="257">
        <f t="shared" si="25"/>
        <v>36559.01</v>
      </c>
    </row>
    <row r="755" spans="1:6" outlineLevel="2" x14ac:dyDescent="0.25">
      <c r="A755">
        <v>38700</v>
      </c>
      <c r="B755">
        <v>1981</v>
      </c>
      <c r="C755" s="77">
        <v>42.5</v>
      </c>
      <c r="D755" s="257">
        <v>1900.94</v>
      </c>
      <c r="E755" s="257">
        <f t="shared" si="25"/>
        <v>80789.95</v>
      </c>
    </row>
    <row r="756" spans="1:6" outlineLevel="2" x14ac:dyDescent="0.25">
      <c r="A756">
        <v>38700</v>
      </c>
      <c r="B756">
        <v>1979</v>
      </c>
      <c r="C756" s="77">
        <v>44.5</v>
      </c>
      <c r="D756" s="257">
        <v>2403.2800000000002</v>
      </c>
      <c r="E756" s="257">
        <f t="shared" si="25"/>
        <v>106945.96</v>
      </c>
    </row>
    <row r="757" spans="1:6" outlineLevel="2" x14ac:dyDescent="0.25">
      <c r="A757">
        <v>38700</v>
      </c>
      <c r="B757">
        <v>1977</v>
      </c>
      <c r="C757" s="77">
        <v>46.5</v>
      </c>
      <c r="D757" s="257">
        <v>9036.84</v>
      </c>
      <c r="E757" s="257">
        <f t="shared" si="25"/>
        <v>420213.06</v>
      </c>
    </row>
    <row r="758" spans="1:6" outlineLevel="2" x14ac:dyDescent="0.25">
      <c r="A758">
        <v>38700</v>
      </c>
      <c r="B758">
        <v>1975</v>
      </c>
      <c r="C758" s="77">
        <v>48.5</v>
      </c>
      <c r="D758" s="257">
        <v>4654.4399999999996</v>
      </c>
      <c r="E758" s="257">
        <v>4654.4399999999996</v>
      </c>
    </row>
    <row r="759" spans="1:6" ht="13" outlineLevel="1" x14ac:dyDescent="0.3">
      <c r="A759" s="18" t="s">
        <v>1192</v>
      </c>
      <c r="C759" s="77" t="s">
        <v>1229</v>
      </c>
      <c r="D759" s="257">
        <f>SUBTOTAL(9,D716:D758)</f>
        <v>13431843.029999996</v>
      </c>
      <c r="E759" s="257">
        <f>SUBTOTAL(9,E716:E758)</f>
        <v>120822852.27500004</v>
      </c>
      <c r="F759" s="257">
        <f>+E759/D759</f>
        <v>8.9952549330082565</v>
      </c>
    </row>
    <row r="760" spans="1:6" outlineLevel="2" x14ac:dyDescent="0.25">
      <c r="A760">
        <v>39000</v>
      </c>
      <c r="B760">
        <v>2023</v>
      </c>
      <c r="C760" s="77">
        <v>0.5</v>
      </c>
      <c r="D760" s="257">
        <v>544265.86</v>
      </c>
      <c r="E760" s="257">
        <f t="shared" ref="E760:E766" si="26">+C760*D760</f>
        <v>272132.93</v>
      </c>
    </row>
    <row r="761" spans="1:6" outlineLevel="2" x14ac:dyDescent="0.25">
      <c r="A761">
        <v>39000</v>
      </c>
      <c r="B761">
        <v>2016</v>
      </c>
      <c r="C761" s="77">
        <v>7.5</v>
      </c>
      <c r="D761" s="257">
        <v>12393.52</v>
      </c>
      <c r="E761" s="257">
        <f t="shared" si="26"/>
        <v>92951.400000000009</v>
      </c>
    </row>
    <row r="762" spans="1:6" outlineLevel="2" x14ac:dyDescent="0.25">
      <c r="A762">
        <v>39000</v>
      </c>
      <c r="B762">
        <v>2015</v>
      </c>
      <c r="C762" s="77">
        <v>8.5</v>
      </c>
      <c r="D762" s="257">
        <v>18604.02</v>
      </c>
      <c r="E762" s="257">
        <f t="shared" si="26"/>
        <v>158134.17000000001</v>
      </c>
    </row>
    <row r="763" spans="1:6" outlineLevel="2" x14ac:dyDescent="0.25">
      <c r="A763">
        <v>39000</v>
      </c>
      <c r="B763">
        <v>2012</v>
      </c>
      <c r="C763" s="77">
        <v>11.5</v>
      </c>
      <c r="D763" s="257">
        <v>50788.77</v>
      </c>
      <c r="E763" s="257">
        <f t="shared" si="26"/>
        <v>584070.85499999998</v>
      </c>
    </row>
    <row r="764" spans="1:6" outlineLevel="2" x14ac:dyDescent="0.25">
      <c r="A764">
        <v>39000</v>
      </c>
      <c r="B764">
        <v>2009</v>
      </c>
      <c r="C764" s="77">
        <v>14.5</v>
      </c>
      <c r="D764" s="257">
        <v>9582.32</v>
      </c>
      <c r="E764" s="257">
        <f t="shared" si="26"/>
        <v>138943.63999999998</v>
      </c>
    </row>
    <row r="765" spans="1:6" outlineLevel="2" x14ac:dyDescent="0.25">
      <c r="A765">
        <v>39000</v>
      </c>
      <c r="B765">
        <v>2008</v>
      </c>
      <c r="C765" s="77">
        <v>15.5</v>
      </c>
      <c r="D765" s="257">
        <v>2319.3000000000002</v>
      </c>
      <c r="E765" s="257">
        <f t="shared" si="26"/>
        <v>35949.15</v>
      </c>
    </row>
    <row r="766" spans="1:6" outlineLevel="2" x14ac:dyDescent="0.25">
      <c r="A766">
        <v>39000</v>
      </c>
      <c r="B766">
        <v>2007</v>
      </c>
      <c r="C766" s="77">
        <v>16.5</v>
      </c>
      <c r="D766" s="257">
        <v>25115.11</v>
      </c>
      <c r="E766" s="257">
        <f t="shared" si="26"/>
        <v>414399.315</v>
      </c>
    </row>
    <row r="767" spans="1:6" ht="13" outlineLevel="1" x14ac:dyDescent="0.3">
      <c r="A767" s="18" t="s">
        <v>1193</v>
      </c>
      <c r="C767" s="77" t="s">
        <v>1229</v>
      </c>
      <c r="D767" s="257">
        <f>SUBTOTAL(9,D760:D766)</f>
        <v>663068.9</v>
      </c>
      <c r="E767" s="257">
        <f>SUBTOTAL(9,E760:E766)</f>
        <v>1696581.4599999997</v>
      </c>
      <c r="F767" s="257">
        <f>+E767/D767</f>
        <v>2.5586804930829961</v>
      </c>
    </row>
    <row r="768" spans="1:6" outlineLevel="2" x14ac:dyDescent="0.25">
      <c r="A768">
        <v>39100</v>
      </c>
      <c r="B768">
        <v>2023</v>
      </c>
      <c r="C768" s="77">
        <v>0.5</v>
      </c>
      <c r="D768" s="257">
        <v>241700.33</v>
      </c>
      <c r="E768" s="257">
        <f t="shared" ref="E768:E783" si="27">+C768*D768</f>
        <v>120850.16499999999</v>
      </c>
    </row>
    <row r="769" spans="1:6" outlineLevel="2" x14ac:dyDescent="0.25">
      <c r="A769">
        <v>39100</v>
      </c>
      <c r="B769">
        <v>2022</v>
      </c>
      <c r="C769" s="77">
        <v>1.5</v>
      </c>
      <c r="D769" s="257">
        <v>31734.79</v>
      </c>
      <c r="E769" s="257">
        <f t="shared" si="27"/>
        <v>47602.184999999998</v>
      </c>
    </row>
    <row r="770" spans="1:6" outlineLevel="2" x14ac:dyDescent="0.25">
      <c r="A770">
        <v>39100</v>
      </c>
      <c r="B770">
        <v>2020</v>
      </c>
      <c r="C770" s="77">
        <v>3.5</v>
      </c>
      <c r="D770" s="257">
        <v>71253.88</v>
      </c>
      <c r="E770" s="257">
        <f t="shared" si="27"/>
        <v>249388.58000000002</v>
      </c>
    </row>
    <row r="771" spans="1:6" outlineLevel="2" x14ac:dyDescent="0.25">
      <c r="A771">
        <v>39100</v>
      </c>
      <c r="B771">
        <v>2019</v>
      </c>
      <c r="C771" s="77">
        <v>4.5</v>
      </c>
      <c r="D771" s="257">
        <v>135016.5</v>
      </c>
      <c r="E771" s="257">
        <f t="shared" si="27"/>
        <v>607574.25</v>
      </c>
    </row>
    <row r="772" spans="1:6" outlineLevel="2" x14ac:dyDescent="0.25">
      <c r="A772">
        <v>39100</v>
      </c>
      <c r="B772">
        <v>2018</v>
      </c>
      <c r="C772" s="77">
        <v>5.5</v>
      </c>
      <c r="D772" s="257">
        <v>575028.36</v>
      </c>
      <c r="E772" s="257">
        <f t="shared" si="27"/>
        <v>3162655.98</v>
      </c>
    </row>
    <row r="773" spans="1:6" outlineLevel="2" x14ac:dyDescent="0.25">
      <c r="A773">
        <v>39100</v>
      </c>
      <c r="B773">
        <v>2017</v>
      </c>
      <c r="C773" s="77">
        <v>6.5</v>
      </c>
      <c r="D773" s="257">
        <v>91250.94</v>
      </c>
      <c r="E773" s="257">
        <f t="shared" si="27"/>
        <v>593131.11</v>
      </c>
    </row>
    <row r="774" spans="1:6" outlineLevel="2" x14ac:dyDescent="0.25">
      <c r="A774">
        <v>39100</v>
      </c>
      <c r="B774">
        <v>2016</v>
      </c>
      <c r="C774" s="77">
        <v>7.5</v>
      </c>
      <c r="D774" s="257">
        <v>305779.15999999997</v>
      </c>
      <c r="E774" s="257">
        <f t="shared" si="27"/>
        <v>2293343.6999999997</v>
      </c>
    </row>
    <row r="775" spans="1:6" outlineLevel="2" x14ac:dyDescent="0.25">
      <c r="A775">
        <v>39100</v>
      </c>
      <c r="B775">
        <v>2015</v>
      </c>
      <c r="C775" s="77">
        <v>8.5</v>
      </c>
      <c r="D775" s="257">
        <v>52030.62</v>
      </c>
      <c r="E775" s="257">
        <f t="shared" si="27"/>
        <v>442260.27</v>
      </c>
    </row>
    <row r="776" spans="1:6" outlineLevel="2" x14ac:dyDescent="0.25">
      <c r="A776">
        <v>39100</v>
      </c>
      <c r="B776">
        <v>2014</v>
      </c>
      <c r="C776" s="77">
        <v>9.5</v>
      </c>
      <c r="D776" s="257">
        <v>17304.09</v>
      </c>
      <c r="E776" s="257">
        <f t="shared" si="27"/>
        <v>164388.85500000001</v>
      </c>
    </row>
    <row r="777" spans="1:6" outlineLevel="2" x14ac:dyDescent="0.25">
      <c r="A777">
        <v>39100</v>
      </c>
      <c r="B777">
        <v>2013</v>
      </c>
      <c r="C777" s="77">
        <v>10.5</v>
      </c>
      <c r="D777" s="257">
        <v>54887.66</v>
      </c>
      <c r="E777" s="257">
        <f t="shared" si="27"/>
        <v>576320.43000000005</v>
      </c>
    </row>
    <row r="778" spans="1:6" outlineLevel="2" x14ac:dyDescent="0.25">
      <c r="A778">
        <v>39100</v>
      </c>
      <c r="B778">
        <v>2012</v>
      </c>
      <c r="C778" s="77">
        <v>11.5</v>
      </c>
      <c r="D778" s="257">
        <v>46697.45</v>
      </c>
      <c r="E778" s="257">
        <f t="shared" si="27"/>
        <v>537020.67499999993</v>
      </c>
    </row>
    <row r="779" spans="1:6" outlineLevel="2" x14ac:dyDescent="0.25">
      <c r="A779">
        <v>39100</v>
      </c>
      <c r="B779">
        <v>2011</v>
      </c>
      <c r="C779" s="77">
        <v>12.5</v>
      </c>
      <c r="D779" s="257">
        <v>271246.45</v>
      </c>
      <c r="E779" s="257">
        <f t="shared" si="27"/>
        <v>3390580.625</v>
      </c>
    </row>
    <row r="780" spans="1:6" outlineLevel="2" x14ac:dyDescent="0.25">
      <c r="A780">
        <v>39100</v>
      </c>
      <c r="B780">
        <v>2010</v>
      </c>
      <c r="C780" s="77">
        <v>13.5</v>
      </c>
      <c r="D780" s="257">
        <v>40633.46</v>
      </c>
      <c r="E780" s="257">
        <f t="shared" si="27"/>
        <v>548551.71</v>
      </c>
    </row>
    <row r="781" spans="1:6" outlineLevel="2" x14ac:dyDescent="0.25">
      <c r="A781">
        <v>39100</v>
      </c>
      <c r="B781">
        <v>2009</v>
      </c>
      <c r="C781" s="77">
        <v>14.5</v>
      </c>
      <c r="D781" s="257">
        <v>19483.57</v>
      </c>
      <c r="E781" s="257">
        <f t="shared" si="27"/>
        <v>282511.76500000001</v>
      </c>
    </row>
    <row r="782" spans="1:6" outlineLevel="2" x14ac:dyDescent="0.25">
      <c r="A782">
        <v>39100</v>
      </c>
      <c r="B782">
        <v>2007</v>
      </c>
      <c r="C782" s="77">
        <v>16.5</v>
      </c>
      <c r="D782" s="257">
        <v>118417.47</v>
      </c>
      <c r="E782" s="257">
        <f t="shared" si="27"/>
        <v>1953888.2550000001</v>
      </c>
    </row>
    <row r="783" spans="1:6" outlineLevel="2" x14ac:dyDescent="0.25">
      <c r="A783">
        <v>39100</v>
      </c>
      <c r="B783">
        <v>2006</v>
      </c>
      <c r="C783" s="77">
        <v>17.5</v>
      </c>
      <c r="D783" s="257">
        <v>79485</v>
      </c>
      <c r="E783" s="257">
        <f t="shared" si="27"/>
        <v>1390987.5</v>
      </c>
    </row>
    <row r="784" spans="1:6" ht="13" outlineLevel="1" x14ac:dyDescent="0.3">
      <c r="A784" s="18" t="s">
        <v>1366</v>
      </c>
      <c r="C784" s="77" t="s">
        <v>1229</v>
      </c>
      <c r="D784" s="257">
        <f>SUBTOTAL(9,D768:D783)</f>
        <v>2151949.7299999995</v>
      </c>
      <c r="E784" s="257">
        <f>SUBTOTAL(9,E768:E783)</f>
        <v>16361056.055000002</v>
      </c>
      <c r="F784" s="257">
        <f>+E784/D784</f>
        <v>7.6028988163213294</v>
      </c>
    </row>
    <row r="785" spans="1:6" outlineLevel="2" x14ac:dyDescent="0.25">
      <c r="A785">
        <v>39101</v>
      </c>
      <c r="B785">
        <v>2023</v>
      </c>
      <c r="C785" s="77">
        <v>0.5</v>
      </c>
      <c r="D785" s="257">
        <v>2673941.5970000001</v>
      </c>
      <c r="E785" s="257">
        <f t="shared" ref="E785:E796" si="28">+C785*D785</f>
        <v>1336970.7985</v>
      </c>
    </row>
    <row r="786" spans="1:6" outlineLevel="2" x14ac:dyDescent="0.25">
      <c r="A786">
        <v>39101</v>
      </c>
      <c r="B786">
        <v>2022</v>
      </c>
      <c r="C786" s="77">
        <v>1.5</v>
      </c>
      <c r="D786" s="257">
        <v>47509.97</v>
      </c>
      <c r="E786" s="257">
        <f t="shared" si="28"/>
        <v>71264.955000000002</v>
      </c>
    </row>
    <row r="787" spans="1:6" outlineLevel="2" x14ac:dyDescent="0.25">
      <c r="A787">
        <v>39101</v>
      </c>
      <c r="B787">
        <v>2021</v>
      </c>
      <c r="C787" s="77">
        <v>2.5</v>
      </c>
      <c r="D787" s="257">
        <v>8106.39</v>
      </c>
      <c r="E787" s="257">
        <f t="shared" si="28"/>
        <v>20265.975000000002</v>
      </c>
    </row>
    <row r="788" spans="1:6" outlineLevel="2" x14ac:dyDescent="0.25">
      <c r="A788">
        <v>39101</v>
      </c>
      <c r="B788">
        <v>2020</v>
      </c>
      <c r="C788" s="77">
        <v>3.5</v>
      </c>
      <c r="D788" s="257">
        <v>138455</v>
      </c>
      <c r="E788" s="257">
        <f t="shared" si="28"/>
        <v>484592.5</v>
      </c>
    </row>
    <row r="789" spans="1:6" outlineLevel="2" x14ac:dyDescent="0.25">
      <c r="A789">
        <v>39101</v>
      </c>
      <c r="B789">
        <v>2019</v>
      </c>
      <c r="C789" s="77">
        <v>4.5</v>
      </c>
      <c r="D789" s="257">
        <v>1630801.36</v>
      </c>
      <c r="E789" s="257">
        <f t="shared" si="28"/>
        <v>7338606.1200000001</v>
      </c>
    </row>
    <row r="790" spans="1:6" outlineLevel="2" x14ac:dyDescent="0.25">
      <c r="A790">
        <v>39101</v>
      </c>
      <c r="B790">
        <v>2018</v>
      </c>
      <c r="C790" s="77">
        <v>5.5</v>
      </c>
      <c r="D790" s="257">
        <v>82269.73</v>
      </c>
      <c r="E790" s="257">
        <f t="shared" si="28"/>
        <v>452483.51499999996</v>
      </c>
    </row>
    <row r="791" spans="1:6" outlineLevel="2" x14ac:dyDescent="0.25">
      <c r="A791">
        <v>39101</v>
      </c>
      <c r="B791">
        <v>2017</v>
      </c>
      <c r="C791" s="77">
        <v>6.5</v>
      </c>
      <c r="D791" s="257">
        <v>11535.38</v>
      </c>
      <c r="E791" s="257">
        <f t="shared" si="28"/>
        <v>74979.97</v>
      </c>
    </row>
    <row r="792" spans="1:6" outlineLevel="2" x14ac:dyDescent="0.25">
      <c r="A792">
        <v>39101</v>
      </c>
      <c r="B792">
        <v>2016</v>
      </c>
      <c r="C792" s="77">
        <v>7.5</v>
      </c>
      <c r="D792" s="257">
        <v>175832.21</v>
      </c>
      <c r="E792" s="257">
        <f t="shared" si="28"/>
        <v>1318741.575</v>
      </c>
    </row>
    <row r="793" spans="1:6" outlineLevel="2" x14ac:dyDescent="0.25">
      <c r="A793">
        <v>39101</v>
      </c>
      <c r="B793">
        <v>2015</v>
      </c>
      <c r="C793" s="77">
        <v>8.5</v>
      </c>
      <c r="D793" s="257">
        <v>574371.25</v>
      </c>
      <c r="E793" s="257">
        <f t="shared" si="28"/>
        <v>4882155.625</v>
      </c>
    </row>
    <row r="794" spans="1:6" outlineLevel="2" x14ac:dyDescent="0.25">
      <c r="A794">
        <v>39101</v>
      </c>
      <c r="B794">
        <v>2014</v>
      </c>
      <c r="C794" s="77">
        <v>9.5</v>
      </c>
      <c r="D794" s="257">
        <v>431635.95</v>
      </c>
      <c r="E794" s="257">
        <f t="shared" si="28"/>
        <v>4100541.5249999999</v>
      </c>
    </row>
    <row r="795" spans="1:6" outlineLevel="2" x14ac:dyDescent="0.25">
      <c r="A795">
        <v>39101</v>
      </c>
      <c r="B795">
        <v>2013</v>
      </c>
      <c r="C795" s="77">
        <v>10.5</v>
      </c>
      <c r="D795" s="257">
        <v>100249.64</v>
      </c>
      <c r="E795" s="257">
        <f t="shared" si="28"/>
        <v>1052621.22</v>
      </c>
    </row>
    <row r="796" spans="1:6" outlineLevel="2" x14ac:dyDescent="0.25">
      <c r="A796">
        <v>39101</v>
      </c>
      <c r="B796">
        <v>2012</v>
      </c>
      <c r="C796" s="77">
        <v>11.5</v>
      </c>
      <c r="D796" s="257">
        <v>57597.38</v>
      </c>
      <c r="E796" s="257">
        <f t="shared" si="28"/>
        <v>662369.87</v>
      </c>
    </row>
    <row r="797" spans="1:6" ht="13" outlineLevel="1" x14ac:dyDescent="0.3">
      <c r="A797" s="18" t="s">
        <v>1195</v>
      </c>
      <c r="C797" s="77" t="s">
        <v>1229</v>
      </c>
      <c r="D797" s="257">
        <f>SUBTOTAL(9,D785:D796)</f>
        <v>5932305.8570000008</v>
      </c>
      <c r="E797" s="257">
        <f>SUBTOTAL(9,E785:E796)</f>
        <v>21795593.648499999</v>
      </c>
      <c r="F797" s="257">
        <f>+E797/D797</f>
        <v>3.6740508958724103</v>
      </c>
    </row>
    <row r="798" spans="1:6" outlineLevel="2" x14ac:dyDescent="0.25">
      <c r="A798">
        <v>39102</v>
      </c>
      <c r="B798">
        <v>2022</v>
      </c>
      <c r="C798" s="77">
        <f t="shared" ref="C798:C816" si="29">2023.5-B798</f>
        <v>1.5</v>
      </c>
      <c r="D798" s="257">
        <v>67254.5</v>
      </c>
      <c r="E798" s="257">
        <f t="shared" ref="E798:E816" si="30">+C798*D798</f>
        <v>100881.75</v>
      </c>
    </row>
    <row r="799" spans="1:6" outlineLevel="2" x14ac:dyDescent="0.25">
      <c r="A799">
        <v>39102</v>
      </c>
      <c r="B799">
        <v>2020</v>
      </c>
      <c r="C799" s="77">
        <f t="shared" si="29"/>
        <v>3.5</v>
      </c>
      <c r="D799" s="257">
        <v>16678.310000000001</v>
      </c>
      <c r="E799" s="257">
        <f t="shared" si="30"/>
        <v>58374.085000000006</v>
      </c>
    </row>
    <row r="800" spans="1:6" outlineLevel="2" x14ac:dyDescent="0.25">
      <c r="A800">
        <v>39102</v>
      </c>
      <c r="B800">
        <v>2019</v>
      </c>
      <c r="C800" s="77">
        <f t="shared" si="29"/>
        <v>4.5</v>
      </c>
      <c r="D800" s="257">
        <v>123272.16</v>
      </c>
      <c r="E800" s="257">
        <f t="shared" si="30"/>
        <v>554724.72</v>
      </c>
    </row>
    <row r="801" spans="1:5" outlineLevel="2" x14ac:dyDescent="0.25">
      <c r="A801">
        <v>39102</v>
      </c>
      <c r="B801">
        <v>2018</v>
      </c>
      <c r="C801" s="77">
        <f t="shared" si="29"/>
        <v>5.5</v>
      </c>
      <c r="D801" s="257">
        <v>16931.7</v>
      </c>
      <c r="E801" s="257">
        <f t="shared" si="30"/>
        <v>93124.35</v>
      </c>
    </row>
    <row r="802" spans="1:5" outlineLevel="2" x14ac:dyDescent="0.25">
      <c r="A802">
        <v>39102</v>
      </c>
      <c r="B802">
        <v>2017</v>
      </c>
      <c r="C802" s="77">
        <f t="shared" si="29"/>
        <v>6.5</v>
      </c>
      <c r="D802" s="257">
        <v>443681.45</v>
      </c>
      <c r="E802" s="257">
        <f t="shared" si="30"/>
        <v>2883929.4250000003</v>
      </c>
    </row>
    <row r="803" spans="1:5" outlineLevel="2" x14ac:dyDescent="0.25">
      <c r="A803">
        <v>39102</v>
      </c>
      <c r="B803">
        <v>2016</v>
      </c>
      <c r="C803" s="77">
        <f t="shared" si="29"/>
        <v>7.5</v>
      </c>
      <c r="D803" s="257">
        <v>65264.69</v>
      </c>
      <c r="E803" s="257">
        <f t="shared" si="30"/>
        <v>489485.17500000005</v>
      </c>
    </row>
    <row r="804" spans="1:5" outlineLevel="2" x14ac:dyDescent="0.25">
      <c r="A804">
        <v>39102</v>
      </c>
      <c r="B804">
        <v>2015</v>
      </c>
      <c r="C804" s="77">
        <f t="shared" si="29"/>
        <v>8.5</v>
      </c>
      <c r="D804" s="257">
        <v>32576.23</v>
      </c>
      <c r="E804" s="257">
        <f t="shared" si="30"/>
        <v>276897.95500000002</v>
      </c>
    </row>
    <row r="805" spans="1:5" outlineLevel="2" x14ac:dyDescent="0.25">
      <c r="A805">
        <v>39102</v>
      </c>
      <c r="B805">
        <v>2014</v>
      </c>
      <c r="C805" s="77">
        <f t="shared" si="29"/>
        <v>9.5</v>
      </c>
      <c r="D805" s="257">
        <v>15220.5</v>
      </c>
      <c r="E805" s="257">
        <f t="shared" si="30"/>
        <v>144594.75</v>
      </c>
    </row>
    <row r="806" spans="1:5" outlineLevel="2" x14ac:dyDescent="0.25">
      <c r="A806">
        <v>39102</v>
      </c>
      <c r="B806">
        <v>2013</v>
      </c>
      <c r="C806" s="77">
        <f t="shared" si="29"/>
        <v>10.5</v>
      </c>
      <c r="D806" s="257">
        <v>257470.04</v>
      </c>
      <c r="E806" s="257">
        <f t="shared" si="30"/>
        <v>2703435.42</v>
      </c>
    </row>
    <row r="807" spans="1:5" outlineLevel="2" x14ac:dyDescent="0.25">
      <c r="A807">
        <v>39102</v>
      </c>
      <c r="B807">
        <v>2012</v>
      </c>
      <c r="C807" s="77">
        <f t="shared" si="29"/>
        <v>11.5</v>
      </c>
      <c r="D807" s="257">
        <v>9286.1299999999992</v>
      </c>
      <c r="E807" s="257">
        <f t="shared" si="30"/>
        <v>106790.495</v>
      </c>
    </row>
    <row r="808" spans="1:5" outlineLevel="2" x14ac:dyDescent="0.25">
      <c r="A808">
        <v>39102</v>
      </c>
      <c r="B808">
        <v>2011</v>
      </c>
      <c r="C808" s="77">
        <f t="shared" si="29"/>
        <v>12.5</v>
      </c>
      <c r="D808" s="257">
        <v>277041.59000000003</v>
      </c>
      <c r="E808" s="257">
        <f t="shared" si="30"/>
        <v>3463019.8750000005</v>
      </c>
    </row>
    <row r="809" spans="1:5" outlineLevel="2" x14ac:dyDescent="0.25">
      <c r="A809">
        <v>39102</v>
      </c>
      <c r="B809">
        <v>2010</v>
      </c>
      <c r="C809" s="77">
        <f t="shared" si="29"/>
        <v>13.5</v>
      </c>
      <c r="D809" s="257">
        <v>11701.77</v>
      </c>
      <c r="E809" s="257">
        <f t="shared" si="30"/>
        <v>157973.89500000002</v>
      </c>
    </row>
    <row r="810" spans="1:5" outlineLevel="2" x14ac:dyDescent="0.25">
      <c r="A810">
        <v>39102</v>
      </c>
      <c r="B810">
        <v>2009</v>
      </c>
      <c r="C810" s="77">
        <f t="shared" si="29"/>
        <v>14.5</v>
      </c>
      <c r="D810" s="257">
        <v>3389.84</v>
      </c>
      <c r="E810" s="257">
        <f t="shared" si="30"/>
        <v>49152.68</v>
      </c>
    </row>
    <row r="811" spans="1:5" outlineLevel="2" x14ac:dyDescent="0.25">
      <c r="A811">
        <v>39102</v>
      </c>
      <c r="B811">
        <v>2008</v>
      </c>
      <c r="C811" s="77">
        <f t="shared" si="29"/>
        <v>15.5</v>
      </c>
      <c r="D811" s="257">
        <v>3705.13</v>
      </c>
      <c r="E811" s="257">
        <f t="shared" si="30"/>
        <v>57429.514999999999</v>
      </c>
    </row>
    <row r="812" spans="1:5" outlineLevel="2" x14ac:dyDescent="0.25">
      <c r="A812">
        <v>39102</v>
      </c>
      <c r="B812">
        <v>2007</v>
      </c>
      <c r="C812" s="77">
        <f t="shared" si="29"/>
        <v>16.5</v>
      </c>
      <c r="D812" s="257">
        <v>100172.03</v>
      </c>
      <c r="E812" s="257">
        <f t="shared" si="30"/>
        <v>1652838.4949999999</v>
      </c>
    </row>
    <row r="813" spans="1:5" outlineLevel="2" x14ac:dyDescent="0.25">
      <c r="A813">
        <v>39102</v>
      </c>
      <c r="B813">
        <v>2006</v>
      </c>
      <c r="C813" s="77">
        <f t="shared" si="29"/>
        <v>17.5</v>
      </c>
      <c r="D813" s="257">
        <v>10052.629999999999</v>
      </c>
      <c r="E813" s="257">
        <f t="shared" si="30"/>
        <v>175921.02499999999</v>
      </c>
    </row>
    <row r="814" spans="1:5" outlineLevel="2" x14ac:dyDescent="0.25">
      <c r="A814">
        <v>39102</v>
      </c>
      <c r="B814">
        <v>2005</v>
      </c>
      <c r="C814" s="77">
        <f t="shared" si="29"/>
        <v>18.5</v>
      </c>
      <c r="D814" s="257">
        <v>15753.720000000001</v>
      </c>
      <c r="E814" s="257">
        <f t="shared" si="30"/>
        <v>291443.82</v>
      </c>
    </row>
    <row r="815" spans="1:5" outlineLevel="2" x14ac:dyDescent="0.25">
      <c r="A815">
        <v>39102</v>
      </c>
      <c r="B815">
        <v>2004</v>
      </c>
      <c r="C815" s="77">
        <f t="shared" si="29"/>
        <v>19.5</v>
      </c>
      <c r="D815" s="257">
        <v>50945.45</v>
      </c>
      <c r="E815" s="257">
        <f t="shared" si="30"/>
        <v>993436.27499999991</v>
      </c>
    </row>
    <row r="816" spans="1:5" outlineLevel="2" x14ac:dyDescent="0.25">
      <c r="A816">
        <v>39102</v>
      </c>
      <c r="B816">
        <v>2002</v>
      </c>
      <c r="C816" s="77">
        <f t="shared" si="29"/>
        <v>21.5</v>
      </c>
      <c r="D816" s="257">
        <v>9275.92</v>
      </c>
      <c r="E816" s="257">
        <f t="shared" si="30"/>
        <v>199432.28</v>
      </c>
    </row>
    <row r="817" spans="1:6" ht="13" outlineLevel="1" x14ac:dyDescent="0.3">
      <c r="A817" s="18" t="s">
        <v>1196</v>
      </c>
      <c r="B817" s="77" t="s">
        <v>1229</v>
      </c>
      <c r="C817" s="77" t="s">
        <v>1229</v>
      </c>
      <c r="D817" s="257">
        <f>SUBTOTAL(9,D798:D816)</f>
        <v>1529673.7899999998</v>
      </c>
      <c r="E817" s="257">
        <f>SUBTOTAL(9,E798:E816)</f>
        <v>14452885.984999999</v>
      </c>
      <c r="F817" s="257">
        <f>+E817/D817</f>
        <v>9.4483451827987466</v>
      </c>
    </row>
    <row r="818" spans="1:6" outlineLevel="2" x14ac:dyDescent="0.25">
      <c r="A818">
        <v>39201</v>
      </c>
      <c r="B818">
        <v>2023</v>
      </c>
      <c r="C818" s="77">
        <v>0.5</v>
      </c>
      <c r="D818" s="257">
        <v>6169828.3810000001</v>
      </c>
      <c r="E818" s="257">
        <f t="shared" ref="E818:E839" si="31">+C818*D818</f>
        <v>3084914.1905</v>
      </c>
    </row>
    <row r="819" spans="1:6" outlineLevel="2" x14ac:dyDescent="0.25">
      <c r="A819">
        <v>39201</v>
      </c>
      <c r="B819">
        <v>2022</v>
      </c>
      <c r="C819" s="77">
        <v>1.5</v>
      </c>
      <c r="D819" s="257">
        <v>1724117.87</v>
      </c>
      <c r="E819" s="257">
        <f t="shared" si="31"/>
        <v>2586176.8050000002</v>
      </c>
    </row>
    <row r="820" spans="1:6" outlineLevel="2" x14ac:dyDescent="0.25">
      <c r="A820">
        <v>39201</v>
      </c>
      <c r="B820">
        <v>2021</v>
      </c>
      <c r="C820" s="77">
        <v>2.5</v>
      </c>
      <c r="D820" s="257">
        <v>444941.58</v>
      </c>
      <c r="E820" s="257">
        <f t="shared" si="31"/>
        <v>1112353.95</v>
      </c>
    </row>
    <row r="821" spans="1:6" outlineLevel="2" x14ac:dyDescent="0.25">
      <c r="A821">
        <v>39201</v>
      </c>
      <c r="B821">
        <v>2020</v>
      </c>
      <c r="C821" s="77">
        <v>3.5</v>
      </c>
      <c r="D821" s="257">
        <v>905277.36</v>
      </c>
      <c r="E821" s="257">
        <f t="shared" si="31"/>
        <v>3168470.76</v>
      </c>
    </row>
    <row r="822" spans="1:6" outlineLevel="2" x14ac:dyDescent="0.25">
      <c r="A822">
        <v>39201</v>
      </c>
      <c r="B822">
        <v>2019</v>
      </c>
      <c r="C822" s="77">
        <v>4.5</v>
      </c>
      <c r="D822" s="257">
        <v>644561.13</v>
      </c>
      <c r="E822" s="257">
        <f t="shared" si="31"/>
        <v>2900525.085</v>
      </c>
    </row>
    <row r="823" spans="1:6" outlineLevel="2" x14ac:dyDescent="0.25">
      <c r="A823">
        <v>39201</v>
      </c>
      <c r="B823">
        <v>2018</v>
      </c>
      <c r="C823" s="77">
        <v>5.5</v>
      </c>
      <c r="D823" s="257">
        <v>332369.98</v>
      </c>
      <c r="E823" s="257">
        <f t="shared" si="31"/>
        <v>1828034.89</v>
      </c>
    </row>
    <row r="824" spans="1:6" outlineLevel="2" x14ac:dyDescent="0.25">
      <c r="A824">
        <v>39201</v>
      </c>
      <c r="B824">
        <v>2017</v>
      </c>
      <c r="C824" s="77">
        <v>6.5</v>
      </c>
      <c r="D824" s="257">
        <v>740847.12</v>
      </c>
      <c r="E824" s="257">
        <f t="shared" si="31"/>
        <v>4815506.28</v>
      </c>
    </row>
    <row r="825" spans="1:6" outlineLevel="2" x14ac:dyDescent="0.25">
      <c r="A825">
        <v>39201</v>
      </c>
      <c r="B825">
        <v>2016</v>
      </c>
      <c r="C825" s="77">
        <v>7.5</v>
      </c>
      <c r="D825" s="257">
        <v>792209.89</v>
      </c>
      <c r="E825" s="257">
        <f t="shared" si="31"/>
        <v>5941574.1749999998</v>
      </c>
    </row>
    <row r="826" spans="1:6" outlineLevel="2" x14ac:dyDescent="0.25">
      <c r="A826">
        <v>39201</v>
      </c>
      <c r="B826">
        <v>2015</v>
      </c>
      <c r="C826" s="77">
        <v>8.5</v>
      </c>
      <c r="D826" s="257">
        <v>1016083.21</v>
      </c>
      <c r="E826" s="257">
        <f t="shared" si="31"/>
        <v>8636707.2850000001</v>
      </c>
    </row>
    <row r="827" spans="1:6" outlineLevel="2" x14ac:dyDescent="0.25">
      <c r="A827">
        <v>39201</v>
      </c>
      <c r="B827">
        <v>2014</v>
      </c>
      <c r="C827" s="77">
        <v>9.5</v>
      </c>
      <c r="D827" s="257">
        <v>168286.89</v>
      </c>
      <c r="E827" s="257">
        <f t="shared" si="31"/>
        <v>1598725.4550000001</v>
      </c>
    </row>
    <row r="828" spans="1:6" outlineLevel="2" x14ac:dyDescent="0.25">
      <c r="A828">
        <v>39201</v>
      </c>
      <c r="B828">
        <v>2013</v>
      </c>
      <c r="C828" s="77">
        <v>10.5</v>
      </c>
      <c r="D828" s="257">
        <v>742667.23</v>
      </c>
      <c r="E828" s="257">
        <f t="shared" si="31"/>
        <v>7798005.915</v>
      </c>
    </row>
    <row r="829" spans="1:6" outlineLevel="2" x14ac:dyDescent="0.25">
      <c r="A829">
        <v>39201</v>
      </c>
      <c r="B829">
        <v>2012</v>
      </c>
      <c r="C829" s="77">
        <v>11.5</v>
      </c>
      <c r="D829" s="257">
        <v>152253.16</v>
      </c>
      <c r="E829" s="257">
        <f t="shared" si="31"/>
        <v>1750911.34</v>
      </c>
    </row>
    <row r="830" spans="1:6" outlineLevel="2" x14ac:dyDescent="0.25">
      <c r="A830">
        <v>39201</v>
      </c>
      <c r="B830">
        <v>2011</v>
      </c>
      <c r="C830" s="77">
        <v>12.5</v>
      </c>
      <c r="D830" s="257">
        <v>504980.21</v>
      </c>
      <c r="E830" s="257">
        <f t="shared" si="31"/>
        <v>6312252.625</v>
      </c>
    </row>
    <row r="831" spans="1:6" outlineLevel="2" x14ac:dyDescent="0.25">
      <c r="A831">
        <v>39201</v>
      </c>
      <c r="B831">
        <v>2010</v>
      </c>
      <c r="C831" s="77">
        <v>13.5</v>
      </c>
      <c r="D831" s="257">
        <v>424184.03</v>
      </c>
      <c r="E831" s="257">
        <f t="shared" si="31"/>
        <v>5726484.4050000003</v>
      </c>
    </row>
    <row r="832" spans="1:6" outlineLevel="2" x14ac:dyDescent="0.25">
      <c r="A832">
        <v>39201</v>
      </c>
      <c r="B832">
        <v>2009</v>
      </c>
      <c r="C832" s="77">
        <v>14.5</v>
      </c>
      <c r="D832" s="257">
        <v>246695.29</v>
      </c>
      <c r="E832" s="257">
        <f t="shared" si="31"/>
        <v>3577081.7050000001</v>
      </c>
    </row>
    <row r="833" spans="1:6" outlineLevel="2" x14ac:dyDescent="0.25">
      <c r="A833">
        <v>39201</v>
      </c>
      <c r="B833">
        <v>2008</v>
      </c>
      <c r="C833" s="77">
        <v>15.5</v>
      </c>
      <c r="D833" s="257">
        <v>71314.789999999994</v>
      </c>
      <c r="E833" s="257">
        <f t="shared" si="31"/>
        <v>1105379.2449999999</v>
      </c>
    </row>
    <row r="834" spans="1:6" outlineLevel="2" x14ac:dyDescent="0.25">
      <c r="A834">
        <v>39201</v>
      </c>
      <c r="B834">
        <v>2007</v>
      </c>
      <c r="C834" s="77">
        <v>16.5</v>
      </c>
      <c r="D834" s="257">
        <v>37028.730000000003</v>
      </c>
      <c r="E834" s="257">
        <f t="shared" si="31"/>
        <v>610974.04500000004</v>
      </c>
    </row>
    <row r="835" spans="1:6" outlineLevel="2" x14ac:dyDescent="0.25">
      <c r="A835">
        <v>39201</v>
      </c>
      <c r="B835">
        <v>2006</v>
      </c>
      <c r="C835" s="77">
        <v>17.5</v>
      </c>
      <c r="D835" s="257">
        <v>87562.880000000005</v>
      </c>
      <c r="E835" s="257">
        <f t="shared" si="31"/>
        <v>1532350.4000000001</v>
      </c>
    </row>
    <row r="836" spans="1:6" outlineLevel="2" x14ac:dyDescent="0.25">
      <c r="A836">
        <v>39201</v>
      </c>
      <c r="B836">
        <v>2005</v>
      </c>
      <c r="C836" s="77">
        <v>18.5</v>
      </c>
      <c r="D836" s="257">
        <v>22425.81</v>
      </c>
      <c r="E836" s="257">
        <f t="shared" si="31"/>
        <v>414877.48500000004</v>
      </c>
    </row>
    <row r="837" spans="1:6" outlineLevel="2" x14ac:dyDescent="0.25">
      <c r="A837">
        <v>39201</v>
      </c>
      <c r="B837">
        <v>2004</v>
      </c>
      <c r="C837" s="77">
        <v>19.5</v>
      </c>
      <c r="D837" s="257">
        <v>74529.36</v>
      </c>
      <c r="E837" s="257">
        <f t="shared" si="31"/>
        <v>1453322.52</v>
      </c>
    </row>
    <row r="838" spans="1:6" outlineLevel="2" x14ac:dyDescent="0.25">
      <c r="A838">
        <v>39201</v>
      </c>
      <c r="B838">
        <v>2002</v>
      </c>
      <c r="C838" s="77">
        <v>21.5</v>
      </c>
      <c r="D838" s="257">
        <v>42654.92</v>
      </c>
      <c r="E838" s="257">
        <f t="shared" si="31"/>
        <v>917080.77999999991</v>
      </c>
    </row>
    <row r="839" spans="1:6" outlineLevel="2" x14ac:dyDescent="0.25">
      <c r="A839">
        <v>39201</v>
      </c>
      <c r="B839">
        <v>2001</v>
      </c>
      <c r="C839" s="77">
        <v>22.5</v>
      </c>
      <c r="D839" s="257">
        <v>36755.440000000002</v>
      </c>
      <c r="E839" s="257">
        <f t="shared" si="31"/>
        <v>826997.4</v>
      </c>
    </row>
    <row r="840" spans="1:6" ht="13" outlineLevel="1" x14ac:dyDescent="0.3">
      <c r="A840" s="18" t="s">
        <v>1197</v>
      </c>
      <c r="C840" s="77" t="s">
        <v>1229</v>
      </c>
      <c r="D840" s="257">
        <f>SUBTOTAL(9,D818:D839)</f>
        <v>15381575.261000002</v>
      </c>
      <c r="E840" s="257">
        <f>SUBTOTAL(9,E818:E839)</f>
        <v>67698706.740500003</v>
      </c>
      <c r="F840" s="257">
        <f>+E840/D840</f>
        <v>4.4012856675447365</v>
      </c>
    </row>
    <row r="841" spans="1:6" outlineLevel="2" x14ac:dyDescent="0.25">
      <c r="A841">
        <v>39202</v>
      </c>
      <c r="B841">
        <v>2022</v>
      </c>
      <c r="C841" s="77">
        <v>1.5</v>
      </c>
      <c r="D841" s="257">
        <v>2475253.83</v>
      </c>
      <c r="E841" s="257">
        <f t="shared" ref="E841:E859" si="32">+C841*D841</f>
        <v>3712880.7450000001</v>
      </c>
    </row>
    <row r="842" spans="1:6" outlineLevel="2" x14ac:dyDescent="0.25">
      <c r="A842">
        <v>39202</v>
      </c>
      <c r="B842">
        <v>2021</v>
      </c>
      <c r="C842" s="77">
        <v>2.5</v>
      </c>
      <c r="D842" s="257">
        <v>2259093.98</v>
      </c>
      <c r="E842" s="257">
        <f t="shared" si="32"/>
        <v>5647734.9500000002</v>
      </c>
    </row>
    <row r="843" spans="1:6" outlineLevel="2" x14ac:dyDescent="0.25">
      <c r="A843">
        <v>39202</v>
      </c>
      <c r="B843">
        <v>2020</v>
      </c>
      <c r="C843" s="77">
        <v>3.5</v>
      </c>
      <c r="D843" s="257">
        <v>2150749.91</v>
      </c>
      <c r="E843" s="257">
        <f t="shared" si="32"/>
        <v>7527624.6850000005</v>
      </c>
    </row>
    <row r="844" spans="1:6" outlineLevel="2" x14ac:dyDescent="0.25">
      <c r="A844">
        <v>39202</v>
      </c>
      <c r="B844">
        <v>2019</v>
      </c>
      <c r="C844" s="77">
        <v>4.5</v>
      </c>
      <c r="D844" s="257">
        <v>3533710.6</v>
      </c>
      <c r="E844" s="257">
        <f t="shared" si="32"/>
        <v>15901697.700000001</v>
      </c>
    </row>
    <row r="845" spans="1:6" outlineLevel="2" x14ac:dyDescent="0.25">
      <c r="A845">
        <v>39202</v>
      </c>
      <c r="B845">
        <v>2018</v>
      </c>
      <c r="C845" s="77">
        <v>5.5</v>
      </c>
      <c r="D845" s="257">
        <v>1935383.29</v>
      </c>
      <c r="E845" s="257">
        <f t="shared" si="32"/>
        <v>10644608.095000001</v>
      </c>
    </row>
    <row r="846" spans="1:6" outlineLevel="2" x14ac:dyDescent="0.25">
      <c r="A846">
        <v>39202</v>
      </c>
      <c r="B846">
        <v>2017</v>
      </c>
      <c r="C846" s="77">
        <v>6.5</v>
      </c>
      <c r="D846" s="257">
        <v>1279351.26</v>
      </c>
      <c r="E846" s="257">
        <f t="shared" si="32"/>
        <v>8315783.1900000004</v>
      </c>
    </row>
    <row r="847" spans="1:6" outlineLevel="2" x14ac:dyDescent="0.25">
      <c r="A847">
        <v>39202</v>
      </c>
      <c r="B847">
        <v>2016</v>
      </c>
      <c r="C847" s="77">
        <v>7.5</v>
      </c>
      <c r="D847" s="257">
        <v>1068257.92</v>
      </c>
      <c r="E847" s="257">
        <f t="shared" si="32"/>
        <v>8011934.3999999994</v>
      </c>
    </row>
    <row r="848" spans="1:6" outlineLevel="2" x14ac:dyDescent="0.25">
      <c r="A848">
        <v>39202</v>
      </c>
      <c r="B848">
        <v>2015</v>
      </c>
      <c r="C848" s="77">
        <v>8.5</v>
      </c>
      <c r="D848" s="257">
        <v>792939.6</v>
      </c>
      <c r="E848" s="257">
        <f t="shared" si="32"/>
        <v>6739986.5999999996</v>
      </c>
    </row>
    <row r="849" spans="1:6" outlineLevel="2" x14ac:dyDescent="0.25">
      <c r="A849">
        <v>39202</v>
      </c>
      <c r="B849">
        <v>2014</v>
      </c>
      <c r="C849" s="77">
        <v>9.5</v>
      </c>
      <c r="D849" s="257">
        <v>540415.86</v>
      </c>
      <c r="E849" s="257">
        <f t="shared" si="32"/>
        <v>5133950.67</v>
      </c>
    </row>
    <row r="850" spans="1:6" outlineLevel="2" x14ac:dyDescent="0.25">
      <c r="A850">
        <v>39202</v>
      </c>
      <c r="B850">
        <v>2013</v>
      </c>
      <c r="C850" s="77">
        <v>10.5</v>
      </c>
      <c r="D850" s="257">
        <v>543449.19999999995</v>
      </c>
      <c r="E850" s="257">
        <f t="shared" si="32"/>
        <v>5706216.5999999996</v>
      </c>
    </row>
    <row r="851" spans="1:6" outlineLevel="2" x14ac:dyDescent="0.25">
      <c r="A851">
        <v>39202</v>
      </c>
      <c r="B851">
        <v>2012</v>
      </c>
      <c r="C851" s="77">
        <v>11.5</v>
      </c>
      <c r="D851" s="257">
        <v>164947.66</v>
      </c>
      <c r="E851" s="257">
        <f t="shared" si="32"/>
        <v>1896898.09</v>
      </c>
    </row>
    <row r="852" spans="1:6" outlineLevel="2" x14ac:dyDescent="0.25">
      <c r="A852">
        <v>39202</v>
      </c>
      <c r="B852">
        <v>2011</v>
      </c>
      <c r="C852" s="77">
        <v>12.5</v>
      </c>
      <c r="D852" s="257">
        <v>427348.14</v>
      </c>
      <c r="E852" s="257">
        <f t="shared" si="32"/>
        <v>5341851.75</v>
      </c>
    </row>
    <row r="853" spans="1:6" outlineLevel="2" x14ac:dyDescent="0.25">
      <c r="A853">
        <v>39202</v>
      </c>
      <c r="B853">
        <v>2010</v>
      </c>
      <c r="C853" s="77">
        <v>13.5</v>
      </c>
      <c r="D853" s="257">
        <v>274641.56</v>
      </c>
      <c r="E853" s="257">
        <f t="shared" si="32"/>
        <v>3707661.06</v>
      </c>
    </row>
    <row r="854" spans="1:6" outlineLevel="2" x14ac:dyDescent="0.25">
      <c r="A854">
        <v>39202</v>
      </c>
      <c r="B854">
        <v>2008</v>
      </c>
      <c r="C854" s="77">
        <v>15.5</v>
      </c>
      <c r="D854" s="257">
        <v>73253.509999999995</v>
      </c>
      <c r="E854" s="257">
        <f t="shared" si="32"/>
        <v>1135429.405</v>
      </c>
    </row>
    <row r="855" spans="1:6" outlineLevel="2" x14ac:dyDescent="0.25">
      <c r="A855">
        <v>39202</v>
      </c>
      <c r="B855">
        <v>2007</v>
      </c>
      <c r="C855" s="77">
        <v>16.5</v>
      </c>
      <c r="D855" s="257">
        <v>147650.81</v>
      </c>
      <c r="E855" s="257">
        <f t="shared" si="32"/>
        <v>2436238.3649999998</v>
      </c>
    </row>
    <row r="856" spans="1:6" outlineLevel="2" x14ac:dyDescent="0.25">
      <c r="A856">
        <v>39202</v>
      </c>
      <c r="B856">
        <v>2006</v>
      </c>
      <c r="C856" s="77">
        <v>17.5</v>
      </c>
      <c r="D856" s="257">
        <v>24202.13</v>
      </c>
      <c r="E856" s="257">
        <f t="shared" si="32"/>
        <v>423537.27500000002</v>
      </c>
    </row>
    <row r="857" spans="1:6" outlineLevel="2" x14ac:dyDescent="0.25">
      <c r="A857">
        <v>39202</v>
      </c>
      <c r="B857">
        <v>2005</v>
      </c>
      <c r="C857" s="77">
        <v>18.5</v>
      </c>
      <c r="D857" s="257">
        <v>34520.57</v>
      </c>
      <c r="E857" s="257">
        <f t="shared" si="32"/>
        <v>638630.54500000004</v>
      </c>
    </row>
    <row r="858" spans="1:6" outlineLevel="2" x14ac:dyDescent="0.25">
      <c r="A858">
        <v>39202</v>
      </c>
      <c r="B858">
        <v>2002</v>
      </c>
      <c r="C858" s="77">
        <v>21.5</v>
      </c>
      <c r="D858" s="257">
        <v>50180.97</v>
      </c>
      <c r="E858" s="257">
        <f t="shared" si="32"/>
        <v>1078890.855</v>
      </c>
    </row>
    <row r="859" spans="1:6" outlineLevel="2" x14ac:dyDescent="0.25">
      <c r="A859">
        <v>39202</v>
      </c>
      <c r="B859">
        <v>1999</v>
      </c>
      <c r="C859" s="77">
        <v>24.5</v>
      </c>
      <c r="D859" s="257">
        <v>28303.89</v>
      </c>
      <c r="E859" s="257">
        <f t="shared" si="32"/>
        <v>693445.30499999993</v>
      </c>
    </row>
    <row r="860" spans="1:6" ht="13" outlineLevel="1" x14ac:dyDescent="0.3">
      <c r="A860" s="18" t="s">
        <v>1198</v>
      </c>
      <c r="C860" s="77" t="s">
        <v>1229</v>
      </c>
      <c r="D860" s="257">
        <f>SUBTOTAL(9,D841:D859)</f>
        <v>17803654.689999994</v>
      </c>
      <c r="E860" s="257">
        <f>SUBTOTAL(9,E841:E859)</f>
        <v>94695000.285000011</v>
      </c>
      <c r="F860" s="257">
        <f>+E860/D860</f>
        <v>5.3188517713831285</v>
      </c>
    </row>
    <row r="861" spans="1:6" outlineLevel="2" x14ac:dyDescent="0.25">
      <c r="A861">
        <v>39204</v>
      </c>
      <c r="B861">
        <v>2023</v>
      </c>
      <c r="C861" s="77">
        <v>0.5</v>
      </c>
      <c r="D861" s="257">
        <v>1315163.56</v>
      </c>
      <c r="E861" s="257">
        <f t="shared" ref="E861:E900" si="33">+C861*D861</f>
        <v>657581.78</v>
      </c>
    </row>
    <row r="862" spans="1:6" outlineLevel="2" x14ac:dyDescent="0.25">
      <c r="A862">
        <v>39204</v>
      </c>
      <c r="B862">
        <v>2022</v>
      </c>
      <c r="C862" s="77">
        <v>1.5</v>
      </c>
      <c r="D862" s="257">
        <v>14459.36</v>
      </c>
      <c r="E862" s="257">
        <f t="shared" si="33"/>
        <v>21689.040000000001</v>
      </c>
    </row>
    <row r="863" spans="1:6" outlineLevel="2" x14ac:dyDescent="0.25">
      <c r="A863">
        <v>39204</v>
      </c>
      <c r="B863">
        <v>2021</v>
      </c>
      <c r="C863" s="77">
        <v>2.5</v>
      </c>
      <c r="D863" s="257">
        <v>29471.59</v>
      </c>
      <c r="E863" s="257">
        <f t="shared" si="33"/>
        <v>73678.975000000006</v>
      </c>
    </row>
    <row r="864" spans="1:6" outlineLevel="2" x14ac:dyDescent="0.25">
      <c r="A864">
        <v>39204</v>
      </c>
      <c r="B864">
        <v>2020</v>
      </c>
      <c r="C864" s="77">
        <v>3.5</v>
      </c>
      <c r="D864" s="257">
        <v>895773.72</v>
      </c>
      <c r="E864" s="257">
        <f t="shared" si="33"/>
        <v>3135208.02</v>
      </c>
    </row>
    <row r="865" spans="1:5" outlineLevel="2" x14ac:dyDescent="0.25">
      <c r="A865">
        <v>39204</v>
      </c>
      <c r="B865">
        <v>2019</v>
      </c>
      <c r="C865" s="77">
        <v>4.5</v>
      </c>
      <c r="D865" s="257">
        <v>1077081.04</v>
      </c>
      <c r="E865" s="257">
        <f t="shared" si="33"/>
        <v>4846864.68</v>
      </c>
    </row>
    <row r="866" spans="1:5" outlineLevel="2" x14ac:dyDescent="0.25">
      <c r="A866">
        <v>39204</v>
      </c>
      <c r="B866">
        <v>2018</v>
      </c>
      <c r="C866" s="77">
        <v>5.5</v>
      </c>
      <c r="D866" s="257">
        <v>20800.900000000001</v>
      </c>
      <c r="E866" s="257">
        <f t="shared" si="33"/>
        <v>114404.95000000001</v>
      </c>
    </row>
    <row r="867" spans="1:5" outlineLevel="2" x14ac:dyDescent="0.25">
      <c r="A867">
        <v>39204</v>
      </c>
      <c r="B867">
        <v>2017</v>
      </c>
      <c r="C867" s="77">
        <v>6.5</v>
      </c>
      <c r="D867" s="257">
        <v>94323.73</v>
      </c>
      <c r="E867" s="257">
        <f t="shared" si="33"/>
        <v>613104.245</v>
      </c>
    </row>
    <row r="868" spans="1:5" outlineLevel="2" x14ac:dyDescent="0.25">
      <c r="A868">
        <v>39204</v>
      </c>
      <c r="B868">
        <v>2016</v>
      </c>
      <c r="C868" s="77">
        <v>7.5</v>
      </c>
      <c r="D868" s="257">
        <v>23325.99</v>
      </c>
      <c r="E868" s="257">
        <f t="shared" si="33"/>
        <v>174944.92500000002</v>
      </c>
    </row>
    <row r="869" spans="1:5" outlineLevel="2" x14ac:dyDescent="0.25">
      <c r="A869">
        <v>39204</v>
      </c>
      <c r="B869">
        <v>2015</v>
      </c>
      <c r="C869" s="77">
        <v>8.5</v>
      </c>
      <c r="D869" s="257">
        <v>5738.84</v>
      </c>
      <c r="E869" s="257">
        <f t="shared" si="33"/>
        <v>48780.14</v>
      </c>
    </row>
    <row r="870" spans="1:5" outlineLevel="2" x14ac:dyDescent="0.25">
      <c r="A870">
        <v>39204</v>
      </c>
      <c r="B870">
        <v>2014</v>
      </c>
      <c r="C870" s="77">
        <v>9.5</v>
      </c>
      <c r="D870" s="257">
        <v>818004.33</v>
      </c>
      <c r="E870" s="257">
        <f t="shared" si="33"/>
        <v>7771041.1349999998</v>
      </c>
    </row>
    <row r="871" spans="1:5" outlineLevel="2" x14ac:dyDescent="0.25">
      <c r="A871">
        <v>39204</v>
      </c>
      <c r="B871">
        <v>2013</v>
      </c>
      <c r="C871" s="77">
        <v>10.5</v>
      </c>
      <c r="D871" s="257">
        <v>13995.21</v>
      </c>
      <c r="E871" s="257">
        <f t="shared" si="33"/>
        <v>146949.70499999999</v>
      </c>
    </row>
    <row r="872" spans="1:5" outlineLevel="2" x14ac:dyDescent="0.25">
      <c r="A872">
        <v>39204</v>
      </c>
      <c r="B872">
        <v>2012</v>
      </c>
      <c r="C872" s="77">
        <v>11.5</v>
      </c>
      <c r="D872" s="257">
        <v>3189.24</v>
      </c>
      <c r="E872" s="257">
        <f t="shared" si="33"/>
        <v>36676.259999999995</v>
      </c>
    </row>
    <row r="873" spans="1:5" outlineLevel="2" x14ac:dyDescent="0.25">
      <c r="A873">
        <v>39204</v>
      </c>
      <c r="B873">
        <v>2011</v>
      </c>
      <c r="C873" s="77">
        <v>12.5</v>
      </c>
      <c r="D873" s="257">
        <v>63338.54</v>
      </c>
      <c r="E873" s="257">
        <f t="shared" si="33"/>
        <v>791731.75</v>
      </c>
    </row>
    <row r="874" spans="1:5" outlineLevel="2" x14ac:dyDescent="0.25">
      <c r="A874">
        <v>39204</v>
      </c>
      <c r="B874">
        <v>2010</v>
      </c>
      <c r="C874" s="77">
        <v>13.5</v>
      </c>
      <c r="D874" s="257">
        <v>2115.2600000000002</v>
      </c>
      <c r="E874" s="257">
        <f t="shared" si="33"/>
        <v>28556.010000000002</v>
      </c>
    </row>
    <row r="875" spans="1:5" outlineLevel="2" x14ac:dyDescent="0.25">
      <c r="A875">
        <v>39204</v>
      </c>
      <c r="B875">
        <v>2009</v>
      </c>
      <c r="C875" s="77">
        <v>14.5</v>
      </c>
      <c r="D875" s="257">
        <v>4641.83</v>
      </c>
      <c r="E875" s="257">
        <f t="shared" si="33"/>
        <v>67306.535000000003</v>
      </c>
    </row>
    <row r="876" spans="1:5" outlineLevel="2" x14ac:dyDescent="0.25">
      <c r="A876">
        <v>39204</v>
      </c>
      <c r="B876">
        <v>2008</v>
      </c>
      <c r="C876" s="77">
        <v>15.5</v>
      </c>
      <c r="D876" s="257">
        <v>6491.02</v>
      </c>
      <c r="E876" s="257">
        <f t="shared" si="33"/>
        <v>100610.81000000001</v>
      </c>
    </row>
    <row r="877" spans="1:5" outlineLevel="2" x14ac:dyDescent="0.25">
      <c r="A877">
        <v>39204</v>
      </c>
      <c r="B877">
        <v>2007</v>
      </c>
      <c r="C877" s="77">
        <v>16.5</v>
      </c>
      <c r="D877" s="257">
        <v>11864.93</v>
      </c>
      <c r="E877" s="257">
        <f t="shared" si="33"/>
        <v>195771.345</v>
      </c>
    </row>
    <row r="878" spans="1:5" outlineLevel="2" x14ac:dyDescent="0.25">
      <c r="A878">
        <v>39204</v>
      </c>
      <c r="B878">
        <v>2006</v>
      </c>
      <c r="C878" s="77">
        <v>17.5</v>
      </c>
      <c r="D878" s="257">
        <v>3047.57</v>
      </c>
      <c r="E878" s="257">
        <f t="shared" si="33"/>
        <v>53332.475000000006</v>
      </c>
    </row>
    <row r="879" spans="1:5" outlineLevel="2" x14ac:dyDescent="0.25">
      <c r="A879">
        <v>39204</v>
      </c>
      <c r="B879">
        <v>2005</v>
      </c>
      <c r="C879" s="77">
        <v>18.5</v>
      </c>
      <c r="D879" s="257">
        <v>4071</v>
      </c>
      <c r="E879" s="257">
        <f t="shared" si="33"/>
        <v>75313.5</v>
      </c>
    </row>
    <row r="880" spans="1:5" outlineLevel="2" x14ac:dyDescent="0.25">
      <c r="A880">
        <v>39204</v>
      </c>
      <c r="B880">
        <v>2004</v>
      </c>
      <c r="C880" s="77">
        <v>19.5</v>
      </c>
      <c r="D880" s="257">
        <v>3983.48</v>
      </c>
      <c r="E880" s="257">
        <f t="shared" si="33"/>
        <v>77677.86</v>
      </c>
    </row>
    <row r="881" spans="1:5" outlineLevel="2" x14ac:dyDescent="0.25">
      <c r="A881">
        <v>39204</v>
      </c>
      <c r="B881">
        <v>2003</v>
      </c>
      <c r="C881" s="77">
        <v>20.5</v>
      </c>
      <c r="D881" s="257">
        <v>4435.24</v>
      </c>
      <c r="E881" s="257">
        <f t="shared" si="33"/>
        <v>90922.42</v>
      </c>
    </row>
    <row r="882" spans="1:5" outlineLevel="2" x14ac:dyDescent="0.25">
      <c r="A882">
        <v>39204</v>
      </c>
      <c r="B882">
        <v>2001</v>
      </c>
      <c r="C882" s="77">
        <v>22.5</v>
      </c>
      <c r="D882" s="257">
        <v>19226.38</v>
      </c>
      <c r="E882" s="257">
        <f t="shared" si="33"/>
        <v>432593.55000000005</v>
      </c>
    </row>
    <row r="883" spans="1:5" outlineLevel="2" x14ac:dyDescent="0.25">
      <c r="A883">
        <v>39204</v>
      </c>
      <c r="B883">
        <v>2000</v>
      </c>
      <c r="C883" s="77">
        <v>23.5</v>
      </c>
      <c r="D883" s="257">
        <v>6398.95</v>
      </c>
      <c r="E883" s="257">
        <f t="shared" si="33"/>
        <v>150375.32499999998</v>
      </c>
    </row>
    <row r="884" spans="1:5" outlineLevel="2" x14ac:dyDescent="0.25">
      <c r="A884">
        <v>39204</v>
      </c>
      <c r="B884">
        <v>1999</v>
      </c>
      <c r="C884" s="77">
        <v>24.5</v>
      </c>
      <c r="D884" s="257">
        <v>5017.6400000000003</v>
      </c>
      <c r="E884" s="257">
        <f t="shared" si="33"/>
        <v>122932.18000000001</v>
      </c>
    </row>
    <row r="885" spans="1:5" outlineLevel="2" x14ac:dyDescent="0.25">
      <c r="A885">
        <v>39204</v>
      </c>
      <c r="B885">
        <v>1998</v>
      </c>
      <c r="C885" s="77">
        <v>25.5</v>
      </c>
      <c r="D885" s="257">
        <v>14707.84</v>
      </c>
      <c r="E885" s="257">
        <f t="shared" si="33"/>
        <v>375049.92</v>
      </c>
    </row>
    <row r="886" spans="1:5" outlineLevel="2" x14ac:dyDescent="0.25">
      <c r="A886">
        <v>39204</v>
      </c>
      <c r="B886">
        <v>1997</v>
      </c>
      <c r="C886" s="77">
        <v>26.5</v>
      </c>
      <c r="D886" s="257">
        <v>14299.11</v>
      </c>
      <c r="E886" s="257">
        <f t="shared" si="33"/>
        <v>378926.41500000004</v>
      </c>
    </row>
    <row r="887" spans="1:5" outlineLevel="2" x14ac:dyDescent="0.25">
      <c r="A887">
        <v>39204</v>
      </c>
      <c r="B887">
        <v>1997</v>
      </c>
      <c r="C887" s="77">
        <f t="shared" ref="C887:C900" si="34">2023.5-B887</f>
        <v>26.5</v>
      </c>
      <c r="D887" s="257">
        <v>14299.11</v>
      </c>
      <c r="E887" s="257">
        <f t="shared" si="33"/>
        <v>378926.41500000004</v>
      </c>
    </row>
    <row r="888" spans="1:5" outlineLevel="2" x14ac:dyDescent="0.25">
      <c r="A888">
        <v>39204</v>
      </c>
      <c r="B888">
        <v>1996</v>
      </c>
      <c r="C888" s="77">
        <f t="shared" si="34"/>
        <v>27.5</v>
      </c>
      <c r="D888" s="257">
        <v>58319.86</v>
      </c>
      <c r="E888" s="257">
        <f t="shared" si="33"/>
        <v>1603796.15</v>
      </c>
    </row>
    <row r="889" spans="1:5" outlineLevel="2" x14ac:dyDescent="0.25">
      <c r="A889">
        <v>39204</v>
      </c>
      <c r="B889">
        <v>1995</v>
      </c>
      <c r="C889" s="77">
        <f t="shared" si="34"/>
        <v>28.5</v>
      </c>
      <c r="D889" s="257">
        <v>7475</v>
      </c>
      <c r="E889" s="257">
        <f t="shared" si="33"/>
        <v>213037.5</v>
      </c>
    </row>
    <row r="890" spans="1:5" outlineLevel="2" x14ac:dyDescent="0.25">
      <c r="A890">
        <v>39204</v>
      </c>
      <c r="B890">
        <v>1994</v>
      </c>
      <c r="C890" s="77">
        <f t="shared" si="34"/>
        <v>29.5</v>
      </c>
      <c r="D890" s="257">
        <v>34745.96</v>
      </c>
      <c r="E890" s="257">
        <f t="shared" si="33"/>
        <v>1025005.82</v>
      </c>
    </row>
    <row r="891" spans="1:5" outlineLevel="2" x14ac:dyDescent="0.25">
      <c r="A891">
        <v>39204</v>
      </c>
      <c r="B891">
        <v>1991</v>
      </c>
      <c r="C891" s="77">
        <f t="shared" si="34"/>
        <v>32.5</v>
      </c>
      <c r="D891" s="257">
        <v>6535.4</v>
      </c>
      <c r="E891" s="257">
        <f t="shared" si="33"/>
        <v>212400.5</v>
      </c>
    </row>
    <row r="892" spans="1:5" outlineLevel="2" x14ac:dyDescent="0.25">
      <c r="A892">
        <v>39204</v>
      </c>
      <c r="B892">
        <v>1990</v>
      </c>
      <c r="C892" s="77">
        <f t="shared" si="34"/>
        <v>33.5</v>
      </c>
      <c r="D892" s="257">
        <v>3623.68</v>
      </c>
      <c r="E892" s="257">
        <f t="shared" si="33"/>
        <v>121393.28</v>
      </c>
    </row>
    <row r="893" spans="1:5" outlineLevel="2" x14ac:dyDescent="0.25">
      <c r="A893">
        <v>39204</v>
      </c>
      <c r="B893">
        <v>1988</v>
      </c>
      <c r="C893" s="77">
        <f t="shared" si="34"/>
        <v>35.5</v>
      </c>
      <c r="D893" s="257">
        <v>6252.55</v>
      </c>
      <c r="E893" s="257">
        <f t="shared" si="33"/>
        <v>221965.52499999999</v>
      </c>
    </row>
    <row r="894" spans="1:5" outlineLevel="2" x14ac:dyDescent="0.25">
      <c r="A894">
        <v>39204</v>
      </c>
      <c r="B894">
        <v>1987</v>
      </c>
      <c r="C894" s="77">
        <f t="shared" si="34"/>
        <v>36.5</v>
      </c>
      <c r="D894" s="257">
        <v>4914.45</v>
      </c>
      <c r="E894" s="257">
        <f t="shared" si="33"/>
        <v>179377.42499999999</v>
      </c>
    </row>
    <row r="895" spans="1:5" outlineLevel="2" x14ac:dyDescent="0.25">
      <c r="A895">
        <v>39204</v>
      </c>
      <c r="B895">
        <v>1986</v>
      </c>
      <c r="C895" s="77">
        <f t="shared" si="34"/>
        <v>37.5</v>
      </c>
      <c r="D895" s="257">
        <v>1577.73</v>
      </c>
      <c r="E895" s="257">
        <f t="shared" si="33"/>
        <v>59164.875</v>
      </c>
    </row>
    <row r="896" spans="1:5" outlineLevel="2" x14ac:dyDescent="0.25">
      <c r="A896">
        <v>39204</v>
      </c>
      <c r="B896">
        <v>1984</v>
      </c>
      <c r="C896" s="77">
        <f t="shared" si="34"/>
        <v>39.5</v>
      </c>
      <c r="D896" s="257">
        <v>1671.8</v>
      </c>
      <c r="E896" s="257">
        <f t="shared" si="33"/>
        <v>66036.099999999991</v>
      </c>
    </row>
    <row r="897" spans="1:6" outlineLevel="2" x14ac:dyDescent="0.25">
      <c r="A897">
        <v>39204</v>
      </c>
      <c r="B897">
        <v>1982</v>
      </c>
      <c r="C897" s="77">
        <f t="shared" si="34"/>
        <v>41.5</v>
      </c>
      <c r="D897" s="257">
        <v>6121.82</v>
      </c>
      <c r="E897" s="257">
        <f t="shared" si="33"/>
        <v>254055.53</v>
      </c>
    </row>
    <row r="898" spans="1:6" outlineLevel="2" x14ac:dyDescent="0.25">
      <c r="A898">
        <v>39204</v>
      </c>
      <c r="B898">
        <v>1978</v>
      </c>
      <c r="C898" s="77">
        <f t="shared" si="34"/>
        <v>45.5</v>
      </c>
      <c r="D898" s="257">
        <v>3068</v>
      </c>
      <c r="E898" s="257">
        <f t="shared" si="33"/>
        <v>139594</v>
      </c>
    </row>
    <row r="899" spans="1:6" outlineLevel="2" x14ac:dyDescent="0.25">
      <c r="A899">
        <v>39204</v>
      </c>
      <c r="B899">
        <v>1976</v>
      </c>
      <c r="C899" s="77">
        <f t="shared" si="34"/>
        <v>47.5</v>
      </c>
      <c r="D899" s="257">
        <v>1425.84</v>
      </c>
      <c r="E899" s="257">
        <f t="shared" si="33"/>
        <v>67727.399999999994</v>
      </c>
    </row>
    <row r="900" spans="1:6" outlineLevel="2" x14ac:dyDescent="0.25">
      <c r="A900">
        <v>39204</v>
      </c>
      <c r="B900">
        <v>1974</v>
      </c>
      <c r="C900" s="77">
        <f t="shared" si="34"/>
        <v>49.5</v>
      </c>
      <c r="D900" s="257">
        <v>927.68</v>
      </c>
      <c r="E900" s="257">
        <f t="shared" si="33"/>
        <v>45920.159999999996</v>
      </c>
    </row>
    <row r="901" spans="1:6" ht="13" outlineLevel="1" x14ac:dyDescent="0.3">
      <c r="A901" s="18" t="s">
        <v>1199</v>
      </c>
      <c r="C901" s="77" t="s">
        <v>1229</v>
      </c>
      <c r="D901" s="257">
        <f>SUBTOTAL(9,D861:D900)</f>
        <v>4625925.1800000016</v>
      </c>
      <c r="E901" s="257">
        <f>SUBTOTAL(9,E861:E900)</f>
        <v>25170424.630000003</v>
      </c>
      <c r="F901" s="257">
        <f>+E901/D901</f>
        <v>5.4411655291839356</v>
      </c>
    </row>
    <row r="902" spans="1:6" outlineLevel="2" x14ac:dyDescent="0.25">
      <c r="A902">
        <v>39205</v>
      </c>
      <c r="B902">
        <v>2020</v>
      </c>
      <c r="C902" s="77">
        <v>3.5</v>
      </c>
      <c r="D902" s="257">
        <v>571330.17000000004</v>
      </c>
      <c r="E902" s="257">
        <f t="shared" ref="E902:E913" si="35">+C902*D902</f>
        <v>1999655.5950000002</v>
      </c>
    </row>
    <row r="903" spans="1:6" outlineLevel="2" x14ac:dyDescent="0.25">
      <c r="A903">
        <v>39205</v>
      </c>
      <c r="B903">
        <v>2019</v>
      </c>
      <c r="C903" s="77">
        <v>4.5</v>
      </c>
      <c r="D903" s="257">
        <v>623444.4</v>
      </c>
      <c r="E903" s="257">
        <f t="shared" si="35"/>
        <v>2805499.8000000003</v>
      </c>
    </row>
    <row r="904" spans="1:6" outlineLevel="2" x14ac:dyDescent="0.25">
      <c r="A904">
        <v>39205</v>
      </c>
      <c r="B904">
        <v>2018</v>
      </c>
      <c r="C904" s="77">
        <v>5.5</v>
      </c>
      <c r="D904" s="257">
        <v>130825.56</v>
      </c>
      <c r="E904" s="257">
        <f t="shared" si="35"/>
        <v>719540.58</v>
      </c>
    </row>
    <row r="905" spans="1:6" outlineLevel="2" x14ac:dyDescent="0.25">
      <c r="A905">
        <v>39205</v>
      </c>
      <c r="B905">
        <v>2016</v>
      </c>
      <c r="C905" s="77">
        <v>7.5</v>
      </c>
      <c r="D905" s="257">
        <v>202698.33</v>
      </c>
      <c r="E905" s="257">
        <f t="shared" si="35"/>
        <v>1520237.4749999999</v>
      </c>
    </row>
    <row r="906" spans="1:6" outlineLevel="2" x14ac:dyDescent="0.25">
      <c r="A906">
        <v>39205</v>
      </c>
      <c r="B906">
        <v>2015</v>
      </c>
      <c r="C906" s="77">
        <v>8.5</v>
      </c>
      <c r="D906" s="257">
        <v>576414.01</v>
      </c>
      <c r="E906" s="257">
        <f t="shared" si="35"/>
        <v>4899519.085</v>
      </c>
    </row>
    <row r="907" spans="1:6" outlineLevel="2" x14ac:dyDescent="0.25">
      <c r="A907">
        <v>39205</v>
      </c>
      <c r="B907">
        <v>2014</v>
      </c>
      <c r="C907" s="77">
        <v>9.5</v>
      </c>
      <c r="D907" s="257">
        <v>134191.32</v>
      </c>
      <c r="E907" s="257">
        <f t="shared" si="35"/>
        <v>1274817.54</v>
      </c>
    </row>
    <row r="908" spans="1:6" outlineLevel="2" x14ac:dyDescent="0.25">
      <c r="A908">
        <v>39205</v>
      </c>
      <c r="B908">
        <v>2013</v>
      </c>
      <c r="C908" s="77">
        <v>10.5</v>
      </c>
      <c r="D908" s="257">
        <v>67792.77</v>
      </c>
      <c r="E908" s="257">
        <f t="shared" si="35"/>
        <v>711824.08500000008</v>
      </c>
    </row>
    <row r="909" spans="1:6" outlineLevel="2" x14ac:dyDescent="0.25">
      <c r="A909">
        <v>39205</v>
      </c>
      <c r="B909">
        <v>2010</v>
      </c>
      <c r="C909" s="77">
        <v>13.5</v>
      </c>
      <c r="D909" s="257">
        <v>8912.49</v>
      </c>
      <c r="E909" s="257">
        <f t="shared" si="35"/>
        <v>120318.61499999999</v>
      </c>
    </row>
    <row r="910" spans="1:6" outlineLevel="2" x14ac:dyDescent="0.25">
      <c r="A910">
        <v>39205</v>
      </c>
      <c r="B910">
        <v>2007</v>
      </c>
      <c r="C910" s="77">
        <v>16.5</v>
      </c>
      <c r="D910" s="257">
        <v>71334.69</v>
      </c>
      <c r="E910" s="257">
        <f t="shared" si="35"/>
        <v>1177022.385</v>
      </c>
    </row>
    <row r="911" spans="1:6" outlineLevel="2" x14ac:dyDescent="0.25">
      <c r="A911">
        <v>39205</v>
      </c>
      <c r="B911">
        <v>2006</v>
      </c>
      <c r="C911" s="77">
        <v>17.5</v>
      </c>
      <c r="D911" s="257">
        <v>120234.03</v>
      </c>
      <c r="E911" s="257">
        <f t="shared" si="35"/>
        <v>2104095.5249999999</v>
      </c>
    </row>
    <row r="912" spans="1:6" outlineLevel="2" x14ac:dyDescent="0.25">
      <c r="A912">
        <v>39205</v>
      </c>
      <c r="B912">
        <v>2005</v>
      </c>
      <c r="C912" s="77">
        <v>18.5</v>
      </c>
      <c r="D912" s="257">
        <v>10202.86</v>
      </c>
      <c r="E912" s="257">
        <f t="shared" si="35"/>
        <v>188752.91</v>
      </c>
    </row>
    <row r="913" spans="1:6" outlineLevel="2" x14ac:dyDescent="0.25">
      <c r="A913">
        <v>39205</v>
      </c>
      <c r="B913">
        <v>1992</v>
      </c>
      <c r="C913" s="77">
        <v>31.5</v>
      </c>
      <c r="D913" s="257">
        <v>46758.6</v>
      </c>
      <c r="E913" s="257">
        <f t="shared" si="35"/>
        <v>1472895.9</v>
      </c>
    </row>
    <row r="914" spans="1:6" ht="13" outlineLevel="1" x14ac:dyDescent="0.3">
      <c r="A914" s="18" t="s">
        <v>1200</v>
      </c>
      <c r="C914" s="77" t="s">
        <v>1229</v>
      </c>
      <c r="D914" s="257">
        <f>SUBTOTAL(9,D902:D913)</f>
        <v>2564139.23</v>
      </c>
      <c r="E914" s="257">
        <f>SUBTOTAL(9,E902:E913)</f>
        <v>18994179.494999997</v>
      </c>
      <c r="F914" s="257">
        <f>+E914/D914</f>
        <v>7.4076240762479957</v>
      </c>
    </row>
    <row r="915" spans="1:6" outlineLevel="2" x14ac:dyDescent="0.25">
      <c r="A915">
        <v>39300</v>
      </c>
      <c r="B915">
        <v>2012</v>
      </c>
      <c r="C915" s="77">
        <f t="shared" ref="C915" si="36">2023.5-B915</f>
        <v>11.5</v>
      </c>
      <c r="D915" s="257">
        <v>1283.3900000000001</v>
      </c>
      <c r="E915" s="257">
        <f>+C915*D915</f>
        <v>14758.985000000001</v>
      </c>
    </row>
    <row r="916" spans="1:6" ht="13" outlineLevel="1" x14ac:dyDescent="0.3">
      <c r="A916" s="18" t="s">
        <v>1201</v>
      </c>
      <c r="C916" s="77" t="s">
        <v>1229</v>
      </c>
      <c r="D916" s="257">
        <f>SUBTOTAL(9,D915:D915)</f>
        <v>1283.3900000000001</v>
      </c>
      <c r="E916" s="257">
        <f>SUBTOTAL(9,E915:E915)</f>
        <v>14758.985000000001</v>
      </c>
      <c r="F916" s="257">
        <f>+E916/D916</f>
        <v>11.5</v>
      </c>
    </row>
    <row r="917" spans="1:6" outlineLevel="2" x14ac:dyDescent="0.25">
      <c r="A917">
        <v>39400</v>
      </c>
      <c r="B917">
        <v>2023</v>
      </c>
      <c r="C917" s="77">
        <v>0.5</v>
      </c>
      <c r="D917" s="257">
        <v>1605734.51</v>
      </c>
      <c r="E917" s="257">
        <f t="shared" ref="E917:E936" si="37">+C917*D917</f>
        <v>802867.255</v>
      </c>
    </row>
    <row r="918" spans="1:6" outlineLevel="2" x14ac:dyDescent="0.25">
      <c r="A918">
        <v>39400</v>
      </c>
      <c r="B918">
        <v>2022</v>
      </c>
      <c r="C918" s="77">
        <v>1.5</v>
      </c>
      <c r="D918" s="257">
        <v>70095.72</v>
      </c>
      <c r="E918" s="257">
        <f t="shared" si="37"/>
        <v>105143.58</v>
      </c>
    </row>
    <row r="919" spans="1:6" outlineLevel="2" x14ac:dyDescent="0.25">
      <c r="A919">
        <v>39400</v>
      </c>
      <c r="B919">
        <v>2021</v>
      </c>
      <c r="C919" s="77">
        <v>2.5</v>
      </c>
      <c r="D919" s="257">
        <v>43089.54</v>
      </c>
      <c r="E919" s="257">
        <f t="shared" si="37"/>
        <v>107723.85</v>
      </c>
    </row>
    <row r="920" spans="1:6" outlineLevel="2" x14ac:dyDescent="0.25">
      <c r="A920">
        <v>39400</v>
      </c>
      <c r="B920">
        <v>2020</v>
      </c>
      <c r="C920" s="77">
        <v>3.5</v>
      </c>
      <c r="D920" s="257">
        <v>138839.26999999999</v>
      </c>
      <c r="E920" s="257">
        <f t="shared" si="37"/>
        <v>485937.44499999995</v>
      </c>
    </row>
    <row r="921" spans="1:6" outlineLevel="2" x14ac:dyDescent="0.25">
      <c r="A921">
        <v>39400</v>
      </c>
      <c r="B921">
        <v>2019</v>
      </c>
      <c r="C921" s="77">
        <v>4.5</v>
      </c>
      <c r="D921" s="257">
        <v>169435.99</v>
      </c>
      <c r="E921" s="257">
        <f t="shared" si="37"/>
        <v>762461.95499999996</v>
      </c>
    </row>
    <row r="922" spans="1:6" outlineLevel="2" x14ac:dyDescent="0.25">
      <c r="A922">
        <v>39400</v>
      </c>
      <c r="B922">
        <v>2018</v>
      </c>
      <c r="C922" s="77">
        <v>5.5</v>
      </c>
      <c r="D922" s="257">
        <v>185617.32</v>
      </c>
      <c r="E922" s="257">
        <f t="shared" si="37"/>
        <v>1020895.26</v>
      </c>
    </row>
    <row r="923" spans="1:6" outlineLevel="2" x14ac:dyDescent="0.25">
      <c r="A923">
        <v>39400</v>
      </c>
      <c r="B923">
        <v>2017</v>
      </c>
      <c r="C923" s="77">
        <v>6.5</v>
      </c>
      <c r="D923" s="257">
        <v>131580.29999999999</v>
      </c>
      <c r="E923" s="257">
        <f t="shared" si="37"/>
        <v>855271.95</v>
      </c>
    </row>
    <row r="924" spans="1:6" outlineLevel="2" x14ac:dyDescent="0.25">
      <c r="A924">
        <v>39400</v>
      </c>
      <c r="B924">
        <v>2016</v>
      </c>
      <c r="C924" s="77">
        <v>7.5</v>
      </c>
      <c r="D924" s="257">
        <v>303818.81</v>
      </c>
      <c r="E924" s="257">
        <f t="shared" si="37"/>
        <v>2278641.0750000002</v>
      </c>
    </row>
    <row r="925" spans="1:6" outlineLevel="2" x14ac:dyDescent="0.25">
      <c r="A925">
        <v>39400</v>
      </c>
      <c r="B925">
        <v>2015</v>
      </c>
      <c r="C925" s="77">
        <v>8.5</v>
      </c>
      <c r="D925" s="257">
        <v>2693626.21</v>
      </c>
      <c r="E925" s="257">
        <f t="shared" si="37"/>
        <v>22895822.785</v>
      </c>
    </row>
    <row r="926" spans="1:6" outlineLevel="2" x14ac:dyDescent="0.25">
      <c r="A926">
        <v>39400</v>
      </c>
      <c r="B926">
        <v>2014</v>
      </c>
      <c r="C926" s="77">
        <v>9.5</v>
      </c>
      <c r="D926" s="257">
        <v>1471365.89</v>
      </c>
      <c r="E926" s="257">
        <f t="shared" si="37"/>
        <v>13977975.954999998</v>
      </c>
    </row>
    <row r="927" spans="1:6" outlineLevel="2" x14ac:dyDescent="0.25">
      <c r="A927">
        <v>39400</v>
      </c>
      <c r="B927">
        <v>2013</v>
      </c>
      <c r="C927" s="77">
        <v>10.5</v>
      </c>
      <c r="D927" s="257">
        <v>386884.17</v>
      </c>
      <c r="E927" s="257">
        <f t="shared" si="37"/>
        <v>4062283.7849999997</v>
      </c>
    </row>
    <row r="928" spans="1:6" outlineLevel="2" x14ac:dyDescent="0.25">
      <c r="A928">
        <v>39400</v>
      </c>
      <c r="B928">
        <v>2012</v>
      </c>
      <c r="C928" s="77">
        <v>11.5</v>
      </c>
      <c r="D928" s="257">
        <v>160080.34</v>
      </c>
      <c r="E928" s="257">
        <f t="shared" si="37"/>
        <v>1840923.91</v>
      </c>
    </row>
    <row r="929" spans="1:6" outlineLevel="2" x14ac:dyDescent="0.25">
      <c r="A929">
        <v>39400</v>
      </c>
      <c r="B929">
        <v>2011</v>
      </c>
      <c r="C929" s="77">
        <v>12.5</v>
      </c>
      <c r="D929" s="257">
        <v>370307.52</v>
      </c>
      <c r="E929" s="257">
        <f t="shared" si="37"/>
        <v>4628844</v>
      </c>
    </row>
    <row r="930" spans="1:6" outlineLevel="2" x14ac:dyDescent="0.25">
      <c r="A930">
        <v>39400</v>
      </c>
      <c r="B930">
        <v>2010</v>
      </c>
      <c r="C930" s="77">
        <v>13.5</v>
      </c>
      <c r="D930" s="257">
        <v>165917.15</v>
      </c>
      <c r="E930" s="257">
        <f t="shared" si="37"/>
        <v>2239881.5249999999</v>
      </c>
    </row>
    <row r="931" spans="1:6" outlineLevel="2" x14ac:dyDescent="0.25">
      <c r="A931">
        <v>39400</v>
      </c>
      <c r="B931">
        <v>2009</v>
      </c>
      <c r="C931" s="77">
        <v>14.5</v>
      </c>
      <c r="D931" s="257">
        <v>211344.45</v>
      </c>
      <c r="E931" s="257">
        <f t="shared" si="37"/>
        <v>3064494.5250000004</v>
      </c>
    </row>
    <row r="932" spans="1:6" outlineLevel="2" x14ac:dyDescent="0.25">
      <c r="A932">
        <v>39400</v>
      </c>
      <c r="B932">
        <v>2008</v>
      </c>
      <c r="C932" s="77">
        <v>15.5</v>
      </c>
      <c r="D932" s="257">
        <v>77877.13</v>
      </c>
      <c r="E932" s="257">
        <f t="shared" si="37"/>
        <v>1207095.5150000001</v>
      </c>
    </row>
    <row r="933" spans="1:6" outlineLevel="2" x14ac:dyDescent="0.25">
      <c r="A933">
        <v>39400</v>
      </c>
      <c r="B933">
        <v>2007</v>
      </c>
      <c r="C933" s="77">
        <v>16.5</v>
      </c>
      <c r="D933" s="257">
        <v>120829</v>
      </c>
      <c r="E933" s="257">
        <f t="shared" si="37"/>
        <v>1993678.5</v>
      </c>
    </row>
    <row r="934" spans="1:6" outlineLevel="2" x14ac:dyDescent="0.25">
      <c r="A934">
        <v>39400</v>
      </c>
      <c r="B934">
        <v>2006</v>
      </c>
      <c r="C934" s="77">
        <v>17.5</v>
      </c>
      <c r="D934" s="257">
        <v>102556.61</v>
      </c>
      <c r="E934" s="257">
        <f t="shared" si="37"/>
        <v>1794740.675</v>
      </c>
    </row>
    <row r="935" spans="1:6" outlineLevel="2" x14ac:dyDescent="0.25">
      <c r="A935">
        <v>39400</v>
      </c>
      <c r="B935">
        <v>2005</v>
      </c>
      <c r="C935" s="77">
        <v>18.5</v>
      </c>
      <c r="D935" s="257">
        <v>102633.27</v>
      </c>
      <c r="E935" s="257">
        <f t="shared" si="37"/>
        <v>1898715.4950000001</v>
      </c>
    </row>
    <row r="936" spans="1:6" outlineLevel="2" x14ac:dyDescent="0.25">
      <c r="A936">
        <v>39400</v>
      </c>
      <c r="B936">
        <v>2004</v>
      </c>
      <c r="C936" s="77">
        <v>19.5</v>
      </c>
      <c r="D936" s="257">
        <v>76064.160000000003</v>
      </c>
      <c r="E936" s="257">
        <f t="shared" si="37"/>
        <v>1483251.12</v>
      </c>
    </row>
    <row r="937" spans="1:6" outlineLevel="2" x14ac:dyDescent="0.25">
      <c r="C937" s="77"/>
    </row>
    <row r="938" spans="1:6" ht="13" outlineLevel="1" x14ac:dyDescent="0.3">
      <c r="A938" s="18" t="s">
        <v>1202</v>
      </c>
      <c r="C938" s="77" t="s">
        <v>1229</v>
      </c>
      <c r="D938" s="257">
        <f>SUBTOTAL(9,D917:D937)</f>
        <v>8587697.3599999994</v>
      </c>
      <c r="E938" s="257">
        <f>SUBTOTAL(9,E917:E937)</f>
        <v>67506650.159999982</v>
      </c>
      <c r="F938" s="257">
        <f>+E938/D938</f>
        <v>7.8608557486473867</v>
      </c>
    </row>
    <row r="939" spans="1:6" outlineLevel="2" x14ac:dyDescent="0.25">
      <c r="A939">
        <v>39401</v>
      </c>
      <c r="B939">
        <v>2023</v>
      </c>
      <c r="C939" s="77">
        <v>0.5</v>
      </c>
      <c r="D939" s="257">
        <v>655754.14</v>
      </c>
      <c r="E939" s="257">
        <f t="shared" ref="E939:E946" si="38">+C939*D939</f>
        <v>327877.07</v>
      </c>
    </row>
    <row r="940" spans="1:6" outlineLevel="2" x14ac:dyDescent="0.25">
      <c r="A940">
        <v>39401</v>
      </c>
      <c r="B940">
        <v>2022</v>
      </c>
      <c r="C940" s="77">
        <v>1.5</v>
      </c>
      <c r="D940" s="257">
        <v>4788.5600000000004</v>
      </c>
      <c r="E940" s="257">
        <f t="shared" si="38"/>
        <v>7182.84</v>
      </c>
    </row>
    <row r="941" spans="1:6" outlineLevel="2" x14ac:dyDescent="0.25">
      <c r="A941">
        <v>39401</v>
      </c>
      <c r="B941">
        <v>2020</v>
      </c>
      <c r="C941" s="77">
        <v>3.5</v>
      </c>
      <c r="D941" s="257">
        <v>24427.55</v>
      </c>
      <c r="E941" s="257">
        <f t="shared" si="38"/>
        <v>85496.425000000003</v>
      </c>
    </row>
    <row r="942" spans="1:6" outlineLevel="2" x14ac:dyDescent="0.25">
      <c r="A942">
        <v>39401</v>
      </c>
      <c r="B942">
        <v>2019</v>
      </c>
      <c r="C942" s="77">
        <v>4.5</v>
      </c>
      <c r="D942" s="257">
        <v>1095156.28</v>
      </c>
      <c r="E942" s="257">
        <f t="shared" si="38"/>
        <v>4928203.26</v>
      </c>
    </row>
    <row r="943" spans="1:6" outlineLevel="2" x14ac:dyDescent="0.25">
      <c r="A943">
        <v>39401</v>
      </c>
      <c r="B943">
        <v>2016</v>
      </c>
      <c r="C943" s="77">
        <v>7.5</v>
      </c>
      <c r="D943" s="257">
        <v>1431845.14</v>
      </c>
      <c r="E943" s="257">
        <f t="shared" si="38"/>
        <v>10738838.549999999</v>
      </c>
    </row>
    <row r="944" spans="1:6" outlineLevel="2" x14ac:dyDescent="0.25">
      <c r="A944">
        <v>39401</v>
      </c>
      <c r="B944">
        <v>2013</v>
      </c>
      <c r="C944" s="77">
        <v>10.5</v>
      </c>
      <c r="D944" s="257">
        <v>20727.47</v>
      </c>
      <c r="E944" s="257">
        <f t="shared" si="38"/>
        <v>217638.435</v>
      </c>
    </row>
    <row r="945" spans="1:6" outlineLevel="2" x14ac:dyDescent="0.25">
      <c r="A945">
        <v>39401</v>
      </c>
      <c r="B945">
        <v>2012</v>
      </c>
      <c r="C945" s="77">
        <v>11.5</v>
      </c>
      <c r="D945" s="257">
        <v>2413.6799999999998</v>
      </c>
      <c r="E945" s="257">
        <f t="shared" si="38"/>
        <v>27757.32</v>
      </c>
    </row>
    <row r="946" spans="1:6" outlineLevel="2" x14ac:dyDescent="0.25">
      <c r="A946">
        <v>39401</v>
      </c>
      <c r="B946">
        <v>2011</v>
      </c>
      <c r="C946" s="77">
        <v>12.5</v>
      </c>
      <c r="D946" s="257">
        <v>6679.97</v>
      </c>
      <c r="E946" s="257">
        <f t="shared" si="38"/>
        <v>83499.625</v>
      </c>
    </row>
    <row r="947" spans="1:6" ht="13" outlineLevel="1" x14ac:dyDescent="0.3">
      <c r="A947" s="18" t="s">
        <v>1203</v>
      </c>
      <c r="C947" s="77" t="s">
        <v>1229</v>
      </c>
      <c r="D947" s="257">
        <f>SUBTOTAL(9,D939:D946)</f>
        <v>3241792.7900000005</v>
      </c>
      <c r="E947" s="257">
        <f>SUBTOTAL(9,E939:E946)</f>
        <v>16416493.525</v>
      </c>
      <c r="F947" s="257">
        <f>+E947/D947</f>
        <v>5.0640169154673202</v>
      </c>
    </row>
    <row r="948" spans="1:6" outlineLevel="2" x14ac:dyDescent="0.25">
      <c r="A948">
        <v>39600</v>
      </c>
      <c r="B948">
        <v>2023</v>
      </c>
      <c r="C948" s="77">
        <v>0.5</v>
      </c>
      <c r="D948" s="257">
        <v>484735.73790000001</v>
      </c>
      <c r="E948" s="257">
        <f t="shared" ref="E948:E981" si="39">+C948*D948</f>
        <v>242367.86895</v>
      </c>
    </row>
    <row r="949" spans="1:6" outlineLevel="2" x14ac:dyDescent="0.25">
      <c r="A949">
        <v>39600</v>
      </c>
      <c r="B949">
        <v>2022</v>
      </c>
      <c r="C949" s="77">
        <v>1.5</v>
      </c>
      <c r="D949" s="257">
        <v>10696.08</v>
      </c>
      <c r="E949" s="257">
        <f t="shared" si="39"/>
        <v>16044.119999999999</v>
      </c>
    </row>
    <row r="950" spans="1:6" outlineLevel="2" x14ac:dyDescent="0.25">
      <c r="A950">
        <v>39600</v>
      </c>
      <c r="B950">
        <v>2021</v>
      </c>
      <c r="C950" s="77">
        <v>2.5</v>
      </c>
      <c r="D950" s="257">
        <v>48793.21</v>
      </c>
      <c r="E950" s="257">
        <f t="shared" si="39"/>
        <v>121983.02499999999</v>
      </c>
    </row>
    <row r="951" spans="1:6" outlineLevel="2" x14ac:dyDescent="0.25">
      <c r="A951">
        <v>39600</v>
      </c>
      <c r="B951">
        <v>2020</v>
      </c>
      <c r="C951" s="77">
        <v>3.5</v>
      </c>
      <c r="D951" s="257">
        <v>74102.89</v>
      </c>
      <c r="E951" s="257">
        <f t="shared" si="39"/>
        <v>259360.11499999999</v>
      </c>
    </row>
    <row r="952" spans="1:6" outlineLevel="2" x14ac:dyDescent="0.25">
      <c r="A952">
        <v>39600</v>
      </c>
      <c r="B952">
        <v>2019</v>
      </c>
      <c r="C952" s="77">
        <v>4.5</v>
      </c>
      <c r="D952" s="257">
        <v>76294.87</v>
      </c>
      <c r="E952" s="257">
        <f t="shared" si="39"/>
        <v>343326.91499999998</v>
      </c>
    </row>
    <row r="953" spans="1:6" outlineLevel="2" x14ac:dyDescent="0.25">
      <c r="A953">
        <v>39600</v>
      </c>
      <c r="B953">
        <v>2018</v>
      </c>
      <c r="C953" s="77">
        <v>5.5</v>
      </c>
      <c r="D953" s="257">
        <v>212537.04</v>
      </c>
      <c r="E953" s="257">
        <f t="shared" si="39"/>
        <v>1168953.72</v>
      </c>
    </row>
    <row r="954" spans="1:6" outlineLevel="2" x14ac:dyDescent="0.25">
      <c r="A954">
        <v>39600</v>
      </c>
      <c r="B954">
        <v>2017</v>
      </c>
      <c r="C954" s="77">
        <v>6.5</v>
      </c>
      <c r="D954" s="257">
        <v>91302.21</v>
      </c>
      <c r="E954" s="257">
        <f t="shared" si="39"/>
        <v>593464.36499999999</v>
      </c>
    </row>
    <row r="955" spans="1:6" outlineLevel="2" x14ac:dyDescent="0.25">
      <c r="A955">
        <v>39600</v>
      </c>
      <c r="B955">
        <v>2016</v>
      </c>
      <c r="C955" s="77">
        <v>7.5</v>
      </c>
      <c r="D955" s="257">
        <v>78520.429999999993</v>
      </c>
      <c r="E955" s="257">
        <f t="shared" si="39"/>
        <v>588903.22499999998</v>
      </c>
    </row>
    <row r="956" spans="1:6" outlineLevel="2" x14ac:dyDescent="0.25">
      <c r="A956">
        <v>39600</v>
      </c>
      <c r="B956">
        <v>2015</v>
      </c>
      <c r="C956" s="77">
        <v>8.5</v>
      </c>
      <c r="D956" s="257">
        <v>22819.81</v>
      </c>
      <c r="E956" s="257">
        <f t="shared" si="39"/>
        <v>193968.38500000001</v>
      </c>
    </row>
    <row r="957" spans="1:6" outlineLevel="2" x14ac:dyDescent="0.25">
      <c r="A957">
        <v>39600</v>
      </c>
      <c r="B957">
        <v>2014</v>
      </c>
      <c r="C957" s="77">
        <v>9.5</v>
      </c>
      <c r="D957" s="257">
        <v>926640.52</v>
      </c>
      <c r="E957" s="257">
        <f t="shared" si="39"/>
        <v>8803084.9399999995</v>
      </c>
    </row>
    <row r="958" spans="1:6" outlineLevel="2" x14ac:dyDescent="0.25">
      <c r="A958">
        <v>39600</v>
      </c>
      <c r="B958">
        <v>2013</v>
      </c>
      <c r="C958" s="77">
        <v>10.5</v>
      </c>
      <c r="D958" s="257">
        <v>76102.52</v>
      </c>
      <c r="E958" s="257">
        <f t="shared" si="39"/>
        <v>799076.46000000008</v>
      </c>
    </row>
    <row r="959" spans="1:6" outlineLevel="2" x14ac:dyDescent="0.25">
      <c r="A959">
        <v>39600</v>
      </c>
      <c r="B959">
        <v>2012</v>
      </c>
      <c r="C959" s="77">
        <v>11.5</v>
      </c>
      <c r="D959" s="257">
        <v>79155.789999999994</v>
      </c>
      <c r="E959" s="257">
        <f t="shared" si="39"/>
        <v>910291.58499999996</v>
      </c>
    </row>
    <row r="960" spans="1:6" outlineLevel="2" x14ac:dyDescent="0.25">
      <c r="A960">
        <v>39600</v>
      </c>
      <c r="B960">
        <v>2011</v>
      </c>
      <c r="C960" s="77">
        <v>12.5</v>
      </c>
      <c r="D960" s="257">
        <v>225949.51</v>
      </c>
      <c r="E960" s="257">
        <f t="shared" si="39"/>
        <v>2824368.875</v>
      </c>
    </row>
    <row r="961" spans="1:5" outlineLevel="2" x14ac:dyDescent="0.25">
      <c r="A961">
        <v>39600</v>
      </c>
      <c r="B961">
        <v>2010</v>
      </c>
      <c r="C961" s="77">
        <v>13.5</v>
      </c>
      <c r="D961" s="257">
        <v>218585.51</v>
      </c>
      <c r="E961" s="257">
        <f t="shared" si="39"/>
        <v>2950904.3850000002</v>
      </c>
    </row>
    <row r="962" spans="1:5" outlineLevel="2" x14ac:dyDescent="0.25">
      <c r="A962">
        <v>39600</v>
      </c>
      <c r="B962">
        <v>2009</v>
      </c>
      <c r="C962" s="77">
        <v>14.5</v>
      </c>
      <c r="D962" s="257">
        <v>86902.71</v>
      </c>
      <c r="E962" s="257">
        <f t="shared" si="39"/>
        <v>1260089.2950000002</v>
      </c>
    </row>
    <row r="963" spans="1:5" outlineLevel="2" x14ac:dyDescent="0.25">
      <c r="A963">
        <v>39600</v>
      </c>
      <c r="B963">
        <v>2008</v>
      </c>
      <c r="C963" s="77">
        <v>15.5</v>
      </c>
      <c r="D963" s="257">
        <v>74752.28</v>
      </c>
      <c r="E963" s="257">
        <f t="shared" si="39"/>
        <v>1158660.3400000001</v>
      </c>
    </row>
    <row r="964" spans="1:5" outlineLevel="2" x14ac:dyDescent="0.25">
      <c r="A964">
        <v>39600</v>
      </c>
      <c r="B964">
        <v>2007</v>
      </c>
      <c r="C964" s="77">
        <v>16.5</v>
      </c>
      <c r="D964" s="257">
        <v>9061.0300000000007</v>
      </c>
      <c r="E964" s="257">
        <f t="shared" si="39"/>
        <v>149506.99500000002</v>
      </c>
    </row>
    <row r="965" spans="1:5" outlineLevel="2" x14ac:dyDescent="0.25">
      <c r="A965">
        <v>39600</v>
      </c>
      <c r="B965">
        <v>2006</v>
      </c>
      <c r="C965" s="77">
        <v>17.5</v>
      </c>
      <c r="D965" s="257">
        <v>41545.760000000002</v>
      </c>
      <c r="E965" s="257">
        <f t="shared" si="39"/>
        <v>727050.8</v>
      </c>
    </row>
    <row r="966" spans="1:5" outlineLevel="2" x14ac:dyDescent="0.25">
      <c r="A966">
        <v>39600</v>
      </c>
      <c r="B966">
        <v>2005</v>
      </c>
      <c r="C966" s="77">
        <v>18.5</v>
      </c>
      <c r="D966" s="257">
        <v>5104.2700000000004</v>
      </c>
      <c r="E966" s="257">
        <f t="shared" si="39"/>
        <v>94428.99500000001</v>
      </c>
    </row>
    <row r="967" spans="1:5" outlineLevel="2" x14ac:dyDescent="0.25">
      <c r="A967">
        <v>39600</v>
      </c>
      <c r="B967">
        <v>2004</v>
      </c>
      <c r="C967" s="77">
        <v>19.5</v>
      </c>
      <c r="D967" s="257">
        <v>49850.67</v>
      </c>
      <c r="E967" s="257">
        <f t="shared" si="39"/>
        <v>972088.06499999994</v>
      </c>
    </row>
    <row r="968" spans="1:5" outlineLevel="2" x14ac:dyDescent="0.25">
      <c r="A968">
        <v>39600</v>
      </c>
      <c r="B968">
        <v>2002</v>
      </c>
      <c r="C968" s="77">
        <v>21.5</v>
      </c>
      <c r="D968" s="257">
        <v>58640.06</v>
      </c>
      <c r="E968" s="257">
        <f t="shared" si="39"/>
        <v>1260761.29</v>
      </c>
    </row>
    <row r="969" spans="1:5" outlineLevel="2" x14ac:dyDescent="0.25">
      <c r="A969">
        <v>39600</v>
      </c>
      <c r="B969">
        <v>2001</v>
      </c>
      <c r="C969" s="77">
        <v>22.5</v>
      </c>
      <c r="D969" s="257">
        <v>55638.93</v>
      </c>
      <c r="E969" s="257">
        <f t="shared" si="39"/>
        <v>1251875.925</v>
      </c>
    </row>
    <row r="970" spans="1:5" outlineLevel="2" x14ac:dyDescent="0.25">
      <c r="A970">
        <v>39600</v>
      </c>
      <c r="B970">
        <v>2000</v>
      </c>
      <c r="C970" s="77">
        <v>23.5</v>
      </c>
      <c r="D970" s="257">
        <v>36993.15</v>
      </c>
      <c r="E970" s="257">
        <f t="shared" si="39"/>
        <v>869339.02500000002</v>
      </c>
    </row>
    <row r="971" spans="1:5" outlineLevel="2" x14ac:dyDescent="0.25">
      <c r="A971">
        <v>39600</v>
      </c>
      <c r="B971">
        <v>1999</v>
      </c>
      <c r="C971" s="77">
        <v>24.5</v>
      </c>
      <c r="D971" s="257">
        <v>12270.42</v>
      </c>
      <c r="E971" s="257">
        <f t="shared" si="39"/>
        <v>300625.28999999998</v>
      </c>
    </row>
    <row r="972" spans="1:5" outlineLevel="2" x14ac:dyDescent="0.25">
      <c r="A972">
        <v>39600</v>
      </c>
      <c r="B972">
        <v>1998</v>
      </c>
      <c r="C972" s="77">
        <v>25.5</v>
      </c>
      <c r="D972" s="257">
        <v>194264.2</v>
      </c>
      <c r="E972" s="257">
        <f t="shared" si="39"/>
        <v>4953737.1000000006</v>
      </c>
    </row>
    <row r="973" spans="1:5" outlineLevel="2" x14ac:dyDescent="0.25">
      <c r="A973">
        <v>39600</v>
      </c>
      <c r="B973">
        <v>1997</v>
      </c>
      <c r="C973" s="77">
        <v>26.5</v>
      </c>
      <c r="D973" s="257">
        <v>42989.34</v>
      </c>
      <c r="E973" s="257">
        <f t="shared" si="39"/>
        <v>1139217.51</v>
      </c>
    </row>
    <row r="974" spans="1:5" outlineLevel="2" x14ac:dyDescent="0.25">
      <c r="A974">
        <v>39600</v>
      </c>
      <c r="B974">
        <v>1996</v>
      </c>
      <c r="C974" s="77">
        <v>27.5</v>
      </c>
      <c r="D974" s="257">
        <v>76843.92</v>
      </c>
      <c r="E974" s="257">
        <f t="shared" si="39"/>
        <v>2113207.7999999998</v>
      </c>
    </row>
    <row r="975" spans="1:5" outlineLevel="2" x14ac:dyDescent="0.25">
      <c r="A975">
        <v>39600</v>
      </c>
      <c r="B975">
        <v>1995</v>
      </c>
      <c r="C975" s="77">
        <v>28.5</v>
      </c>
      <c r="D975" s="257">
        <v>43250.67</v>
      </c>
      <c r="E975" s="257">
        <f t="shared" si="39"/>
        <v>1232644.095</v>
      </c>
    </row>
    <row r="976" spans="1:5" outlineLevel="2" x14ac:dyDescent="0.25">
      <c r="A976">
        <v>39600</v>
      </c>
      <c r="B976">
        <v>1994</v>
      </c>
      <c r="C976" s="77">
        <v>29.5</v>
      </c>
      <c r="D976" s="257">
        <v>62179.31</v>
      </c>
      <c r="E976" s="257">
        <f t="shared" si="39"/>
        <v>1834289.645</v>
      </c>
    </row>
    <row r="977" spans="1:6" outlineLevel="2" x14ac:dyDescent="0.25">
      <c r="A977">
        <v>39600</v>
      </c>
      <c r="B977">
        <v>1993</v>
      </c>
      <c r="C977" s="77">
        <v>30.5</v>
      </c>
      <c r="D977" s="257">
        <v>3931.53</v>
      </c>
      <c r="E977" s="257">
        <f t="shared" si="39"/>
        <v>119911.66500000001</v>
      </c>
    </row>
    <row r="978" spans="1:6" outlineLevel="2" x14ac:dyDescent="0.25">
      <c r="A978">
        <v>39600</v>
      </c>
      <c r="B978">
        <v>1992</v>
      </c>
      <c r="C978" s="77">
        <v>31.5</v>
      </c>
      <c r="D978" s="257">
        <v>42733.64</v>
      </c>
      <c r="E978" s="257">
        <f t="shared" si="39"/>
        <v>1346109.66</v>
      </c>
    </row>
    <row r="979" spans="1:6" outlineLevel="2" x14ac:dyDescent="0.25">
      <c r="A979">
        <v>39600</v>
      </c>
      <c r="B979">
        <v>1990</v>
      </c>
      <c r="C979" s="77">
        <v>33.5</v>
      </c>
      <c r="D979" s="257">
        <v>20504.84</v>
      </c>
      <c r="E979" s="257">
        <f t="shared" si="39"/>
        <v>686912.14</v>
      </c>
    </row>
    <row r="980" spans="1:6" outlineLevel="2" x14ac:dyDescent="0.25">
      <c r="A980">
        <v>39600</v>
      </c>
      <c r="B980">
        <v>1987</v>
      </c>
      <c r="C980" s="77">
        <v>36.5</v>
      </c>
      <c r="D980" s="257">
        <v>7895.18</v>
      </c>
      <c r="E980" s="257">
        <f t="shared" si="39"/>
        <v>288174.07</v>
      </c>
    </row>
    <row r="981" spans="1:6" outlineLevel="2" x14ac:dyDescent="0.25">
      <c r="A981">
        <v>39600</v>
      </c>
      <c r="B981">
        <v>1986</v>
      </c>
      <c r="C981" s="77">
        <v>37.5</v>
      </c>
      <c r="D981" s="257">
        <v>10424.950000000001</v>
      </c>
      <c r="E981" s="257">
        <f t="shared" si="39"/>
        <v>390935.625</v>
      </c>
    </row>
    <row r="982" spans="1:6" ht="13" outlineLevel="1" x14ac:dyDescent="0.3">
      <c r="A982" s="18" t="s">
        <v>1204</v>
      </c>
      <c r="C982" s="77" t="s">
        <v>1229</v>
      </c>
      <c r="D982" s="257">
        <f>SUBTOTAL(9,D948:D981)</f>
        <v>3562012.9878999991</v>
      </c>
      <c r="E982" s="257">
        <f>SUBTOTAL(9,E948:E981)</f>
        <v>41965663.313950002</v>
      </c>
      <c r="F982" s="257">
        <f>+E982/D982</f>
        <v>11.781445900535878</v>
      </c>
    </row>
    <row r="983" spans="1:6" outlineLevel="2" x14ac:dyDescent="0.25">
      <c r="A983">
        <v>39700</v>
      </c>
      <c r="B983">
        <v>2023</v>
      </c>
      <c r="C983" s="77">
        <v>0.5</v>
      </c>
      <c r="D983" s="257">
        <v>59905.99</v>
      </c>
      <c r="E983" s="257">
        <f t="shared" ref="E983:E992" si="40">+C983*D983</f>
        <v>29952.994999999999</v>
      </c>
    </row>
    <row r="984" spans="1:6" outlineLevel="2" x14ac:dyDescent="0.25">
      <c r="A984">
        <v>39700</v>
      </c>
      <c r="B984">
        <v>2017</v>
      </c>
      <c r="C984" s="77">
        <v>6.5</v>
      </c>
      <c r="D984" s="257">
        <v>386579.78</v>
      </c>
      <c r="E984" s="257">
        <f t="shared" si="40"/>
        <v>2512768.5700000003</v>
      </c>
    </row>
    <row r="985" spans="1:6" outlineLevel="2" x14ac:dyDescent="0.25">
      <c r="A985">
        <v>39700</v>
      </c>
      <c r="B985">
        <v>2016</v>
      </c>
      <c r="C985" s="77">
        <v>7.5</v>
      </c>
      <c r="D985" s="257">
        <v>163127.93</v>
      </c>
      <c r="E985" s="257">
        <f t="shared" si="40"/>
        <v>1223459.4749999999</v>
      </c>
    </row>
    <row r="986" spans="1:6" outlineLevel="2" x14ac:dyDescent="0.25">
      <c r="A986">
        <v>39700</v>
      </c>
      <c r="B986">
        <v>2014</v>
      </c>
      <c r="C986" s="77">
        <v>9.5</v>
      </c>
      <c r="D986" s="257">
        <v>63729.73</v>
      </c>
      <c r="E986" s="257">
        <f t="shared" si="40"/>
        <v>605432.43500000006</v>
      </c>
    </row>
    <row r="987" spans="1:6" outlineLevel="2" x14ac:dyDescent="0.25">
      <c r="A987">
        <v>39700</v>
      </c>
      <c r="B987">
        <v>2013</v>
      </c>
      <c r="C987" s="77">
        <v>10.5</v>
      </c>
      <c r="D987" s="257">
        <v>799377.33</v>
      </c>
      <c r="E987" s="257">
        <f t="shared" si="40"/>
        <v>8393461.9649999999</v>
      </c>
    </row>
    <row r="988" spans="1:6" outlineLevel="2" x14ac:dyDescent="0.25">
      <c r="A988">
        <v>39700</v>
      </c>
      <c r="B988">
        <v>2012</v>
      </c>
      <c r="C988" s="77">
        <v>11.5</v>
      </c>
      <c r="D988" s="257">
        <v>178355.18</v>
      </c>
      <c r="E988" s="257">
        <f t="shared" si="40"/>
        <v>2051084.5699999998</v>
      </c>
    </row>
    <row r="989" spans="1:6" outlineLevel="2" x14ac:dyDescent="0.25">
      <c r="A989">
        <v>39700</v>
      </c>
      <c r="B989">
        <v>2011</v>
      </c>
      <c r="C989" s="77">
        <v>12.5</v>
      </c>
      <c r="D989" s="257">
        <v>559751.32999999996</v>
      </c>
      <c r="E989" s="257">
        <f t="shared" si="40"/>
        <v>6996891.6249999991</v>
      </c>
    </row>
    <row r="990" spans="1:6" outlineLevel="2" x14ac:dyDescent="0.25">
      <c r="A990">
        <v>39700</v>
      </c>
      <c r="B990">
        <v>2010</v>
      </c>
      <c r="C990" s="77">
        <v>13.5</v>
      </c>
      <c r="D990" s="257">
        <v>274684.7</v>
      </c>
      <c r="E990" s="257">
        <f t="shared" si="40"/>
        <v>3708243.45</v>
      </c>
    </row>
    <row r="991" spans="1:6" outlineLevel="2" x14ac:dyDescent="0.25">
      <c r="A991">
        <v>39700</v>
      </c>
      <c r="B991">
        <v>2009</v>
      </c>
      <c r="C991" s="77">
        <v>14.5</v>
      </c>
      <c r="D991" s="257">
        <v>513040.36</v>
      </c>
      <c r="E991" s="257">
        <f t="shared" si="40"/>
        <v>7439085.2199999997</v>
      </c>
    </row>
    <row r="992" spans="1:6" outlineLevel="2" x14ac:dyDescent="0.25">
      <c r="A992">
        <v>39700</v>
      </c>
      <c r="B992">
        <v>2008</v>
      </c>
      <c r="C992" s="77">
        <v>15.5</v>
      </c>
      <c r="D992" s="257">
        <v>16712.040799999999</v>
      </c>
      <c r="E992" s="257">
        <f t="shared" si="40"/>
        <v>259036.63239999997</v>
      </c>
    </row>
    <row r="993" spans="1:6" ht="13" outlineLevel="1" x14ac:dyDescent="0.3">
      <c r="A993" s="18" t="s">
        <v>1205</v>
      </c>
      <c r="C993" s="77" t="s">
        <v>1229</v>
      </c>
      <c r="D993" s="257">
        <f>SUBTOTAL(9,D983:D992)</f>
        <v>3015264.3707999997</v>
      </c>
      <c r="E993" s="257">
        <f>SUBTOTAL(9,E983:E992)</f>
        <v>33219416.937399995</v>
      </c>
      <c r="F993" s="257">
        <f>+E993/D993</f>
        <v>11.017082700641049</v>
      </c>
    </row>
    <row r="994" spans="1:6" outlineLevel="2" x14ac:dyDescent="0.25">
      <c r="A994">
        <v>39800</v>
      </c>
      <c r="B994">
        <v>2023</v>
      </c>
      <c r="C994" s="77">
        <v>0.5</v>
      </c>
      <c r="D994" s="257">
        <v>583815.16410000005</v>
      </c>
      <c r="E994" s="257">
        <f t="shared" ref="E994:E1008" si="41">+C994*D994</f>
        <v>291907.58205000003</v>
      </c>
    </row>
    <row r="995" spans="1:6" outlineLevel="2" x14ac:dyDescent="0.25">
      <c r="A995">
        <v>39800</v>
      </c>
      <c r="B995">
        <v>2022</v>
      </c>
      <c r="C995" s="77">
        <v>1.5</v>
      </c>
      <c r="D995" s="257">
        <v>8108.69</v>
      </c>
      <c r="E995" s="257">
        <f t="shared" si="41"/>
        <v>12163.035</v>
      </c>
    </row>
    <row r="996" spans="1:6" outlineLevel="2" x14ac:dyDescent="0.25">
      <c r="A996">
        <v>39800</v>
      </c>
      <c r="B996">
        <v>2020</v>
      </c>
      <c r="C996" s="77">
        <v>3.5</v>
      </c>
      <c r="D996" s="257">
        <v>9100.7900000000009</v>
      </c>
      <c r="E996" s="257">
        <f t="shared" si="41"/>
        <v>31852.765000000003</v>
      </c>
    </row>
    <row r="997" spans="1:6" outlineLevel="2" x14ac:dyDescent="0.25">
      <c r="A997">
        <v>39800</v>
      </c>
      <c r="B997">
        <v>2019</v>
      </c>
      <c r="C997" s="77">
        <v>4.5</v>
      </c>
      <c r="D997" s="257">
        <v>4275.45</v>
      </c>
      <c r="E997" s="257">
        <f t="shared" si="41"/>
        <v>19239.524999999998</v>
      </c>
    </row>
    <row r="998" spans="1:6" outlineLevel="2" x14ac:dyDescent="0.25">
      <c r="A998">
        <v>39800</v>
      </c>
      <c r="B998">
        <v>2016</v>
      </c>
      <c r="C998" s="77">
        <v>7.5</v>
      </c>
      <c r="D998" s="257">
        <v>8249.33</v>
      </c>
      <c r="E998" s="257">
        <f t="shared" si="41"/>
        <v>61869.974999999999</v>
      </c>
    </row>
    <row r="999" spans="1:6" outlineLevel="2" x14ac:dyDescent="0.25">
      <c r="A999">
        <v>39800</v>
      </c>
      <c r="B999">
        <v>2015</v>
      </c>
      <c r="C999" s="77">
        <v>8.5</v>
      </c>
      <c r="D999" s="257">
        <v>10833.74</v>
      </c>
      <c r="E999" s="257">
        <f t="shared" si="41"/>
        <v>92086.79</v>
      </c>
    </row>
    <row r="1000" spans="1:6" outlineLevel="2" x14ac:dyDescent="0.25">
      <c r="A1000">
        <v>39800</v>
      </c>
      <c r="B1000">
        <v>2014</v>
      </c>
      <c r="C1000" s="77">
        <v>9.5</v>
      </c>
      <c r="D1000" s="257">
        <v>655.68</v>
      </c>
      <c r="E1000" s="257">
        <f t="shared" si="41"/>
        <v>6228.9599999999991</v>
      </c>
    </row>
    <row r="1001" spans="1:6" outlineLevel="2" x14ac:dyDescent="0.25">
      <c r="A1001">
        <v>39800</v>
      </c>
      <c r="B1001">
        <v>2013</v>
      </c>
      <c r="C1001" s="77">
        <v>10.5</v>
      </c>
      <c r="D1001" s="257">
        <v>1158.3499999999999</v>
      </c>
      <c r="E1001" s="257">
        <f t="shared" si="41"/>
        <v>12162.674999999999</v>
      </c>
    </row>
    <row r="1002" spans="1:6" outlineLevel="2" x14ac:dyDescent="0.25">
      <c r="A1002">
        <v>39800</v>
      </c>
      <c r="B1002">
        <v>2012</v>
      </c>
      <c r="C1002" s="77">
        <v>11.5</v>
      </c>
      <c r="D1002" s="257">
        <v>20642.52</v>
      </c>
      <c r="E1002" s="257">
        <f t="shared" si="41"/>
        <v>237388.98</v>
      </c>
    </row>
    <row r="1003" spans="1:6" outlineLevel="2" x14ac:dyDescent="0.25">
      <c r="A1003">
        <v>39800</v>
      </c>
      <c r="B1003">
        <v>2011</v>
      </c>
      <c r="C1003" s="77">
        <v>12.5</v>
      </c>
      <c r="D1003" s="257">
        <v>5655.92</v>
      </c>
      <c r="E1003" s="257">
        <f t="shared" si="41"/>
        <v>70699</v>
      </c>
    </row>
    <row r="1004" spans="1:6" outlineLevel="2" x14ac:dyDescent="0.25">
      <c r="A1004">
        <v>39800</v>
      </c>
      <c r="B1004">
        <v>2010</v>
      </c>
      <c r="C1004" s="77">
        <v>13.5</v>
      </c>
      <c r="D1004" s="257">
        <v>2887.48</v>
      </c>
      <c r="E1004" s="257">
        <f t="shared" si="41"/>
        <v>38980.980000000003</v>
      </c>
    </row>
    <row r="1005" spans="1:6" outlineLevel="2" x14ac:dyDescent="0.25">
      <c r="A1005">
        <v>39800</v>
      </c>
      <c r="B1005">
        <v>2008</v>
      </c>
      <c r="C1005" s="77">
        <v>15.5</v>
      </c>
      <c r="D1005" s="257">
        <v>3361.02</v>
      </c>
      <c r="E1005" s="257">
        <f t="shared" si="41"/>
        <v>52095.81</v>
      </c>
    </row>
    <row r="1006" spans="1:6" outlineLevel="2" x14ac:dyDescent="0.25">
      <c r="A1006">
        <v>39800</v>
      </c>
      <c r="B1006">
        <v>2007</v>
      </c>
      <c r="C1006" s="77">
        <v>16.5</v>
      </c>
      <c r="D1006" s="257">
        <v>38674.550000000003</v>
      </c>
      <c r="E1006" s="257">
        <f t="shared" si="41"/>
        <v>638130.07500000007</v>
      </c>
    </row>
    <row r="1007" spans="1:6" outlineLevel="2" x14ac:dyDescent="0.25">
      <c r="A1007">
        <v>39800</v>
      </c>
      <c r="B1007">
        <v>2006</v>
      </c>
      <c r="C1007" s="77">
        <v>17.5</v>
      </c>
      <c r="D1007" s="257">
        <v>3032.14</v>
      </c>
      <c r="E1007" s="257">
        <f t="shared" si="41"/>
        <v>53062.45</v>
      </c>
    </row>
    <row r="1008" spans="1:6" outlineLevel="2" x14ac:dyDescent="0.25">
      <c r="A1008">
        <v>39800</v>
      </c>
      <c r="B1008">
        <v>2004</v>
      </c>
      <c r="C1008" s="77">
        <v>19.5</v>
      </c>
      <c r="D1008" s="257">
        <v>48826.15</v>
      </c>
      <c r="E1008" s="257">
        <f t="shared" si="41"/>
        <v>952109.92500000005</v>
      </c>
    </row>
    <row r="1009" spans="1:6" ht="13" outlineLevel="1" x14ac:dyDescent="0.3">
      <c r="A1009" s="18" t="s">
        <v>1206</v>
      </c>
      <c r="D1009" s="257">
        <f>SUBTOTAL(9,D994:D1008)</f>
        <v>749276.97410000011</v>
      </c>
      <c r="E1009" s="257">
        <f>SUBTOTAL(9,E994:E1008)</f>
        <v>2569978.5270500001</v>
      </c>
      <c r="F1009" s="257">
        <f>+E1009/D1009</f>
        <v>3.4299446211288553</v>
      </c>
    </row>
    <row r="1010" spans="1:6" ht="13" x14ac:dyDescent="0.3">
      <c r="A1010" s="18" t="s">
        <v>174</v>
      </c>
      <c r="D1010" s="257">
        <f>SUBTOTAL(9,D2:D1008)</f>
        <v>3186527453.1508017</v>
      </c>
      <c r="E1010" s="257">
        <f>SUBTOTAL(9,E2:E1008)</f>
        <v>32562399922.527405</v>
      </c>
      <c r="F1010" s="257">
        <f>+E1010/D1010</f>
        <v>10.218772755379867</v>
      </c>
    </row>
  </sheetData>
  <sortState xmlns:xlrd2="http://schemas.microsoft.com/office/spreadsheetml/2017/richdata2" ref="A2:E1008">
    <sortCondition ref="A2:A1008"/>
  </sortState>
  <pageMargins left="0.7" right="0.7" top="0.75" bottom="0.75" header="0.3" footer="0.3"/>
  <customProperties>
    <customPr name="EpmWorksheetKeyString_GUID" r:id="rId1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C8244-D746-4235-BE2F-51E199DB7EA2}">
  <dimension ref="A1:K58"/>
  <sheetViews>
    <sheetView topLeftCell="B1" zoomScale="115" zoomScaleNormal="115" workbookViewId="0">
      <selection activeCell="K4" sqref="K4"/>
    </sheetView>
  </sheetViews>
  <sheetFormatPr defaultRowHeight="12.5" x14ac:dyDescent="0.25"/>
  <cols>
    <col min="1" max="1" width="42.81640625" customWidth="1"/>
    <col min="2" max="2" width="48.453125" customWidth="1"/>
  </cols>
  <sheetData>
    <row r="1" spans="1:11" x14ac:dyDescent="0.25">
      <c r="A1" t="s">
        <v>1211</v>
      </c>
    </row>
    <row r="2" spans="1:11" x14ac:dyDescent="0.25">
      <c r="A2" t="s">
        <v>1262</v>
      </c>
    </row>
    <row r="3" spans="1:11" x14ac:dyDescent="0.25">
      <c r="A3" t="s">
        <v>1210</v>
      </c>
    </row>
    <row r="4" spans="1:11" x14ac:dyDescent="0.25">
      <c r="A4" t="s">
        <v>1365</v>
      </c>
    </row>
    <row r="6" spans="1:11" x14ac:dyDescent="0.25">
      <c r="C6" t="s">
        <v>1263</v>
      </c>
    </row>
    <row r="7" spans="1:11" x14ac:dyDescent="0.25">
      <c r="A7" t="s">
        <v>1229</v>
      </c>
      <c r="B7" t="s">
        <v>1229</v>
      </c>
      <c r="C7" t="s">
        <v>1264</v>
      </c>
      <c r="G7" t="s">
        <v>1265</v>
      </c>
    </row>
    <row r="8" spans="1:11" x14ac:dyDescent="0.25">
      <c r="A8" t="s">
        <v>1229</v>
      </c>
      <c r="B8" t="s">
        <v>1229</v>
      </c>
      <c r="C8" t="s">
        <v>1247</v>
      </c>
      <c r="D8">
        <v>0</v>
      </c>
      <c r="G8" t="s">
        <v>1258</v>
      </c>
    </row>
    <row r="9" spans="1:11" x14ac:dyDescent="0.25">
      <c r="A9" t="s">
        <v>1229</v>
      </c>
      <c r="B9" t="s">
        <v>1229</v>
      </c>
    </row>
    <row r="10" spans="1:11" x14ac:dyDescent="0.25">
      <c r="A10" t="s">
        <v>1229</v>
      </c>
      <c r="B10" t="s">
        <v>1229</v>
      </c>
      <c r="C10" t="s">
        <v>3</v>
      </c>
      <c r="E10" t="s">
        <v>4</v>
      </c>
      <c r="G10" t="s">
        <v>3</v>
      </c>
      <c r="I10" t="s">
        <v>4</v>
      </c>
    </row>
    <row r="11" spans="1:11" x14ac:dyDescent="0.25">
      <c r="A11" t="s">
        <v>9</v>
      </c>
      <c r="B11" t="s">
        <v>1229</v>
      </c>
      <c r="C11" t="s">
        <v>10</v>
      </c>
      <c r="D11" t="s">
        <v>13</v>
      </c>
      <c r="E11" t="s">
        <v>12</v>
      </c>
      <c r="G11" t="s">
        <v>10</v>
      </c>
      <c r="H11" t="s">
        <v>13</v>
      </c>
      <c r="I11" t="s">
        <v>12</v>
      </c>
    </row>
    <row r="12" spans="1:11" x14ac:dyDescent="0.25">
      <c r="A12" t="s">
        <v>17</v>
      </c>
      <c r="B12" t="s">
        <v>18</v>
      </c>
      <c r="C12" t="s">
        <v>16</v>
      </c>
      <c r="D12" t="s">
        <v>20</v>
      </c>
      <c r="E12" t="s">
        <v>19</v>
      </c>
      <c r="G12" t="s">
        <v>16</v>
      </c>
      <c r="H12" t="s">
        <v>20</v>
      </c>
      <c r="I12" t="s">
        <v>19</v>
      </c>
    </row>
    <row r="13" spans="1:11" x14ac:dyDescent="0.25">
      <c r="C13" t="s">
        <v>23</v>
      </c>
      <c r="E13" t="s">
        <v>24</v>
      </c>
      <c r="G13" t="s">
        <v>23</v>
      </c>
      <c r="I13" t="s">
        <v>24</v>
      </c>
    </row>
    <row r="14" spans="1:11" x14ac:dyDescent="0.25">
      <c r="B14" t="s">
        <v>27</v>
      </c>
    </row>
    <row r="15" spans="1:11" x14ac:dyDescent="0.25">
      <c r="A15">
        <v>37402</v>
      </c>
      <c r="B15" t="s">
        <v>646</v>
      </c>
      <c r="C15">
        <v>75</v>
      </c>
      <c r="D15" t="s">
        <v>652</v>
      </c>
      <c r="E15">
        <v>0</v>
      </c>
      <c r="G15">
        <v>75</v>
      </c>
      <c r="H15" t="s">
        <v>652</v>
      </c>
      <c r="I15">
        <f>'Proposed Rates'!O16</f>
        <v>0</v>
      </c>
      <c r="K15">
        <f t="shared" ref="K15:K58" si="0">+I15-E15</f>
        <v>0</v>
      </c>
    </row>
    <row r="16" spans="1:11" x14ac:dyDescent="0.25">
      <c r="A16">
        <v>37500</v>
      </c>
      <c r="B16" t="s">
        <v>93</v>
      </c>
      <c r="C16">
        <v>33</v>
      </c>
      <c r="D16" t="s">
        <v>1254</v>
      </c>
      <c r="E16">
        <v>0</v>
      </c>
      <c r="G16">
        <v>33</v>
      </c>
      <c r="H16" t="s">
        <v>1254</v>
      </c>
      <c r="I16">
        <f>'Proposed Rates'!O17</f>
        <v>0</v>
      </c>
      <c r="K16">
        <f t="shared" si="0"/>
        <v>0</v>
      </c>
    </row>
    <row r="17" spans="1:11" x14ac:dyDescent="0.25">
      <c r="A17">
        <v>37600</v>
      </c>
      <c r="B17" t="s">
        <v>94</v>
      </c>
      <c r="C17">
        <v>65</v>
      </c>
      <c r="D17" t="s">
        <v>702</v>
      </c>
      <c r="E17">
        <v>-50</v>
      </c>
      <c r="G17">
        <v>65</v>
      </c>
      <c r="H17" t="s">
        <v>702</v>
      </c>
      <c r="I17">
        <f>'Proposed Rates'!O18</f>
        <v>-60</v>
      </c>
      <c r="K17">
        <f t="shared" si="0"/>
        <v>-10</v>
      </c>
    </row>
    <row r="18" spans="1:11" x14ac:dyDescent="0.25">
      <c r="A18">
        <v>37602</v>
      </c>
      <c r="B18" t="s">
        <v>95</v>
      </c>
      <c r="C18">
        <v>75</v>
      </c>
      <c r="D18" t="s">
        <v>26</v>
      </c>
      <c r="E18">
        <v>-33</v>
      </c>
      <c r="G18">
        <v>75</v>
      </c>
      <c r="H18" t="s">
        <v>26</v>
      </c>
      <c r="I18">
        <f>'Proposed Rates'!O19</f>
        <v>-40</v>
      </c>
      <c r="K18">
        <f t="shared" si="0"/>
        <v>-7</v>
      </c>
    </row>
    <row r="19" spans="1:11" x14ac:dyDescent="0.25">
      <c r="A19">
        <v>37700</v>
      </c>
      <c r="B19" t="s">
        <v>1251</v>
      </c>
      <c r="C19">
        <v>35</v>
      </c>
      <c r="D19" t="s">
        <v>26</v>
      </c>
      <c r="E19">
        <v>-5</v>
      </c>
      <c r="G19">
        <v>35</v>
      </c>
      <c r="H19" t="s">
        <v>26</v>
      </c>
      <c r="I19">
        <f>'Proposed Rates'!O20</f>
        <v>-5</v>
      </c>
      <c r="K19">
        <f t="shared" si="0"/>
        <v>0</v>
      </c>
    </row>
    <row r="20" spans="1:11" x14ac:dyDescent="0.25">
      <c r="A20">
        <v>37800</v>
      </c>
      <c r="B20" t="s">
        <v>96</v>
      </c>
      <c r="C20">
        <v>40</v>
      </c>
      <c r="D20" t="s">
        <v>702</v>
      </c>
      <c r="E20">
        <v>-10</v>
      </c>
      <c r="G20">
        <v>40</v>
      </c>
      <c r="H20" t="s">
        <v>702</v>
      </c>
      <c r="I20">
        <f>'Proposed Rates'!O21</f>
        <v>-20</v>
      </c>
      <c r="K20">
        <f t="shared" si="0"/>
        <v>-10</v>
      </c>
    </row>
    <row r="21" spans="1:11" x14ac:dyDescent="0.25">
      <c r="A21">
        <v>37900</v>
      </c>
      <c r="B21" t="s">
        <v>97</v>
      </c>
      <c r="C21">
        <v>50</v>
      </c>
      <c r="D21" t="s">
        <v>701</v>
      </c>
      <c r="E21">
        <v>-10</v>
      </c>
      <c r="G21">
        <v>52</v>
      </c>
      <c r="H21" t="s">
        <v>26</v>
      </c>
      <c r="I21">
        <f>'Proposed Rates'!O22</f>
        <v>-20</v>
      </c>
      <c r="K21">
        <f t="shared" si="0"/>
        <v>-10</v>
      </c>
    </row>
    <row r="22" spans="1:11" x14ac:dyDescent="0.25">
      <c r="A22">
        <v>38000</v>
      </c>
      <c r="B22" t="s">
        <v>98</v>
      </c>
      <c r="C22">
        <v>52</v>
      </c>
      <c r="D22" t="s">
        <v>704</v>
      </c>
      <c r="E22">
        <v>-125</v>
      </c>
      <c r="G22">
        <v>52</v>
      </c>
      <c r="H22" t="s">
        <v>704</v>
      </c>
      <c r="I22">
        <f>'Proposed Rates'!O23</f>
        <v>-130</v>
      </c>
      <c r="K22">
        <f t="shared" si="0"/>
        <v>-5</v>
      </c>
    </row>
    <row r="23" spans="1:11" x14ac:dyDescent="0.25">
      <c r="A23">
        <v>38002</v>
      </c>
      <c r="B23" t="s">
        <v>99</v>
      </c>
      <c r="C23">
        <v>55</v>
      </c>
      <c r="D23" t="s">
        <v>702</v>
      </c>
      <c r="E23">
        <v>-68</v>
      </c>
      <c r="G23">
        <v>55</v>
      </c>
      <c r="H23" t="s">
        <v>701</v>
      </c>
      <c r="I23">
        <f>'Proposed Rates'!O24</f>
        <v>-75</v>
      </c>
      <c r="K23">
        <f t="shared" si="0"/>
        <v>-7</v>
      </c>
    </row>
    <row r="24" spans="1:11" x14ac:dyDescent="0.25">
      <c r="A24">
        <v>38100</v>
      </c>
      <c r="B24" t="s">
        <v>100</v>
      </c>
      <c r="C24">
        <v>19</v>
      </c>
      <c r="D24" t="s">
        <v>26</v>
      </c>
      <c r="E24">
        <v>3</v>
      </c>
      <c r="G24">
        <v>20</v>
      </c>
      <c r="H24" t="s">
        <v>26</v>
      </c>
      <c r="I24">
        <f>'Proposed Rates'!O25</f>
        <v>0</v>
      </c>
      <c r="K24">
        <f t="shared" si="0"/>
        <v>-3</v>
      </c>
    </row>
    <row r="25" spans="1:11" x14ac:dyDescent="0.25">
      <c r="A25">
        <v>38200</v>
      </c>
      <c r="B25" t="s">
        <v>101</v>
      </c>
      <c r="C25">
        <v>44</v>
      </c>
      <c r="D25" t="s">
        <v>52</v>
      </c>
      <c r="E25">
        <v>-25</v>
      </c>
      <c r="G25">
        <v>45</v>
      </c>
      <c r="H25" t="s">
        <v>702</v>
      </c>
      <c r="I25">
        <f>'Proposed Rates'!O26</f>
        <v>-30</v>
      </c>
      <c r="K25">
        <f t="shared" si="0"/>
        <v>-5</v>
      </c>
    </row>
    <row r="26" spans="1:11" x14ac:dyDescent="0.25">
      <c r="A26">
        <v>38300</v>
      </c>
      <c r="B26" t="s">
        <v>102</v>
      </c>
      <c r="C26">
        <v>42</v>
      </c>
      <c r="D26" t="s">
        <v>53</v>
      </c>
      <c r="E26">
        <v>0</v>
      </c>
      <c r="G26">
        <v>42</v>
      </c>
      <c r="H26" t="s">
        <v>1260</v>
      </c>
      <c r="I26">
        <f>'Proposed Rates'!O27</f>
        <v>0</v>
      </c>
      <c r="K26">
        <f t="shared" si="0"/>
        <v>0</v>
      </c>
    </row>
    <row r="27" spans="1:11" x14ac:dyDescent="0.25">
      <c r="A27">
        <v>38400</v>
      </c>
      <c r="B27" t="s">
        <v>103</v>
      </c>
      <c r="C27">
        <v>47</v>
      </c>
      <c r="D27" t="s">
        <v>52</v>
      </c>
      <c r="E27">
        <v>-25</v>
      </c>
      <c r="G27">
        <v>47</v>
      </c>
      <c r="H27" t="s">
        <v>702</v>
      </c>
      <c r="I27">
        <f>'Proposed Rates'!O28</f>
        <v>-30</v>
      </c>
      <c r="K27">
        <f t="shared" si="0"/>
        <v>-5</v>
      </c>
    </row>
    <row r="28" spans="1:11" x14ac:dyDescent="0.25">
      <c r="A28">
        <v>38500</v>
      </c>
      <c r="B28" t="s">
        <v>104</v>
      </c>
      <c r="C28">
        <v>37</v>
      </c>
      <c r="D28" t="s">
        <v>25</v>
      </c>
      <c r="E28">
        <v>-2</v>
      </c>
      <c r="G28">
        <v>39</v>
      </c>
      <c r="H28" t="s">
        <v>701</v>
      </c>
      <c r="I28">
        <f>'Proposed Rates'!O29</f>
        <v>0</v>
      </c>
      <c r="K28">
        <f t="shared" si="0"/>
        <v>2</v>
      </c>
    </row>
    <row r="29" spans="1:11" x14ac:dyDescent="0.25">
      <c r="A29">
        <v>38600</v>
      </c>
      <c r="B29" t="s">
        <v>105</v>
      </c>
      <c r="C29">
        <v>15</v>
      </c>
      <c r="D29" t="s">
        <v>52</v>
      </c>
      <c r="E29">
        <v>0</v>
      </c>
      <c r="I29">
        <f>'Proposed Rates'!O30</f>
        <v>0</v>
      </c>
      <c r="K29">
        <f t="shared" si="0"/>
        <v>0</v>
      </c>
    </row>
    <row r="30" spans="1:11" x14ac:dyDescent="0.25">
      <c r="A30">
        <v>38700</v>
      </c>
      <c r="B30" t="s">
        <v>106</v>
      </c>
      <c r="C30">
        <v>24</v>
      </c>
      <c r="D30" t="s">
        <v>706</v>
      </c>
      <c r="E30">
        <v>0</v>
      </c>
      <c r="G30">
        <v>27</v>
      </c>
      <c r="H30" t="s">
        <v>1257</v>
      </c>
      <c r="I30">
        <f>'Proposed Rates'!O31</f>
        <v>0</v>
      </c>
      <c r="K30">
        <f t="shared" si="0"/>
        <v>0</v>
      </c>
    </row>
    <row r="32" spans="1:11" x14ac:dyDescent="0.25">
      <c r="B32" t="s">
        <v>31</v>
      </c>
    </row>
    <row r="33" spans="1:11" x14ac:dyDescent="0.25">
      <c r="A33">
        <v>39201</v>
      </c>
      <c r="B33" t="s">
        <v>110</v>
      </c>
      <c r="C33">
        <v>9</v>
      </c>
      <c r="D33" t="s">
        <v>1255</v>
      </c>
      <c r="E33">
        <v>11</v>
      </c>
      <c r="G33">
        <v>8</v>
      </c>
      <c r="H33" t="s">
        <v>1255</v>
      </c>
      <c r="I33">
        <f>'Proposed Rates'!O38</f>
        <v>11</v>
      </c>
      <c r="K33">
        <f t="shared" si="0"/>
        <v>0</v>
      </c>
    </row>
    <row r="34" spans="1:11" x14ac:dyDescent="0.25">
      <c r="A34">
        <v>39202</v>
      </c>
      <c r="B34" t="s">
        <v>111</v>
      </c>
      <c r="C34">
        <v>10</v>
      </c>
      <c r="D34" t="s">
        <v>1256</v>
      </c>
      <c r="E34">
        <v>11</v>
      </c>
      <c r="G34">
        <v>10</v>
      </c>
      <c r="H34" t="s">
        <v>1256</v>
      </c>
      <c r="I34">
        <f>'Proposed Rates'!O39</f>
        <v>11</v>
      </c>
      <c r="K34">
        <f t="shared" si="0"/>
        <v>0</v>
      </c>
    </row>
    <row r="35" spans="1:11" x14ac:dyDescent="0.25">
      <c r="A35">
        <v>39204</v>
      </c>
      <c r="B35" t="s">
        <v>112</v>
      </c>
      <c r="C35">
        <v>27</v>
      </c>
      <c r="D35" t="s">
        <v>26</v>
      </c>
      <c r="E35">
        <v>15</v>
      </c>
      <c r="G35">
        <v>30</v>
      </c>
      <c r="H35" t="s">
        <v>702</v>
      </c>
      <c r="I35">
        <f>'Proposed Rates'!O40</f>
        <v>20</v>
      </c>
      <c r="K35">
        <f t="shared" si="0"/>
        <v>5</v>
      </c>
    </row>
    <row r="36" spans="1:11" x14ac:dyDescent="0.25">
      <c r="A36">
        <v>39205</v>
      </c>
      <c r="B36" t="s">
        <v>113</v>
      </c>
      <c r="C36">
        <v>12</v>
      </c>
      <c r="D36" t="s">
        <v>706</v>
      </c>
      <c r="E36">
        <v>4</v>
      </c>
      <c r="G36">
        <v>13</v>
      </c>
      <c r="H36" t="s">
        <v>1267</v>
      </c>
      <c r="I36">
        <f>'Proposed Rates'!O41</f>
        <v>7</v>
      </c>
      <c r="K36">
        <f t="shared" si="0"/>
        <v>3</v>
      </c>
    </row>
    <row r="37" spans="1:11" x14ac:dyDescent="0.25">
      <c r="A37" t="s">
        <v>1229</v>
      </c>
      <c r="B37" t="s">
        <v>1229</v>
      </c>
      <c r="C37" t="s">
        <v>1229</v>
      </c>
      <c r="D37" t="s">
        <v>1229</v>
      </c>
      <c r="E37" t="s">
        <v>1229</v>
      </c>
    </row>
    <row r="38" spans="1:11" x14ac:dyDescent="0.25">
      <c r="A38" t="s">
        <v>1229</v>
      </c>
      <c r="B38" t="s">
        <v>62</v>
      </c>
      <c r="C38" t="s">
        <v>1229</v>
      </c>
      <c r="D38" t="s">
        <v>1229</v>
      </c>
      <c r="E38" t="s">
        <v>1229</v>
      </c>
    </row>
    <row r="39" spans="1:11" x14ac:dyDescent="0.25">
      <c r="A39">
        <v>30100</v>
      </c>
      <c r="B39" t="s">
        <v>655</v>
      </c>
      <c r="C39" t="s">
        <v>645</v>
      </c>
      <c r="G39" t="s">
        <v>645</v>
      </c>
    </row>
    <row r="40" spans="1:11" x14ac:dyDescent="0.25">
      <c r="A40">
        <v>30200</v>
      </c>
      <c r="B40" t="s">
        <v>90</v>
      </c>
      <c r="C40">
        <v>25</v>
      </c>
      <c r="D40" t="s">
        <v>652</v>
      </c>
      <c r="E40">
        <v>0</v>
      </c>
      <c r="G40">
        <v>25</v>
      </c>
      <c r="H40" t="s">
        <v>652</v>
      </c>
      <c r="I40">
        <v>0</v>
      </c>
      <c r="K40">
        <f t="shared" si="0"/>
        <v>0</v>
      </c>
    </row>
    <row r="41" spans="1:11" x14ac:dyDescent="0.25">
      <c r="A41">
        <v>30300</v>
      </c>
      <c r="B41" t="s">
        <v>91</v>
      </c>
      <c r="C41">
        <v>25</v>
      </c>
      <c r="D41" t="s">
        <v>652</v>
      </c>
      <c r="E41">
        <v>0</v>
      </c>
      <c r="G41">
        <v>25</v>
      </c>
      <c r="H41" t="s">
        <v>652</v>
      </c>
      <c r="I41">
        <v>0</v>
      </c>
      <c r="K41">
        <f t="shared" si="0"/>
        <v>0</v>
      </c>
    </row>
    <row r="42" spans="1:11" x14ac:dyDescent="0.25">
      <c r="A42">
        <v>30301</v>
      </c>
      <c r="B42" t="s">
        <v>92</v>
      </c>
      <c r="C42">
        <v>15</v>
      </c>
      <c r="D42" t="s">
        <v>652</v>
      </c>
      <c r="E42">
        <v>0</v>
      </c>
      <c r="G42">
        <v>15</v>
      </c>
      <c r="H42" t="s">
        <v>652</v>
      </c>
      <c r="I42">
        <v>0</v>
      </c>
      <c r="K42">
        <f t="shared" si="0"/>
        <v>0</v>
      </c>
    </row>
    <row r="43" spans="1:11" x14ac:dyDescent="0.25">
      <c r="A43">
        <v>39000</v>
      </c>
      <c r="B43" t="s">
        <v>93</v>
      </c>
      <c r="C43">
        <v>25</v>
      </c>
      <c r="D43" t="s">
        <v>1254</v>
      </c>
      <c r="E43">
        <v>0</v>
      </c>
      <c r="G43">
        <v>25</v>
      </c>
      <c r="H43" t="s">
        <v>1254</v>
      </c>
      <c r="I43">
        <f>'Proposed Rates'!O54</f>
        <v>0</v>
      </c>
      <c r="K43">
        <f t="shared" si="0"/>
        <v>0</v>
      </c>
    </row>
    <row r="44" spans="1:11" x14ac:dyDescent="0.25">
      <c r="A44">
        <v>39100</v>
      </c>
      <c r="B44" t="s">
        <v>107</v>
      </c>
      <c r="C44">
        <v>17</v>
      </c>
      <c r="D44" t="s">
        <v>652</v>
      </c>
      <c r="E44">
        <v>0</v>
      </c>
      <c r="G44">
        <v>17</v>
      </c>
      <c r="H44" t="s">
        <v>652</v>
      </c>
      <c r="I44">
        <f>'Proposed Rates'!O55</f>
        <v>0</v>
      </c>
      <c r="K44">
        <f t="shared" si="0"/>
        <v>0</v>
      </c>
    </row>
    <row r="45" spans="1:11" x14ac:dyDescent="0.25">
      <c r="A45">
        <v>39101</v>
      </c>
      <c r="B45" t="s">
        <v>108</v>
      </c>
      <c r="C45">
        <v>9</v>
      </c>
      <c r="D45" t="s">
        <v>652</v>
      </c>
      <c r="E45">
        <v>0</v>
      </c>
      <c r="G45">
        <v>9</v>
      </c>
      <c r="H45" t="s">
        <v>652</v>
      </c>
      <c r="I45">
        <f>'Proposed Rates'!O56</f>
        <v>0</v>
      </c>
      <c r="K45">
        <f t="shared" si="0"/>
        <v>0</v>
      </c>
    </row>
    <row r="46" spans="1:11" x14ac:dyDescent="0.25">
      <c r="A46">
        <v>39102</v>
      </c>
      <c r="B46" t="s">
        <v>109</v>
      </c>
      <c r="C46">
        <v>15</v>
      </c>
      <c r="D46" t="s">
        <v>652</v>
      </c>
      <c r="E46">
        <v>0</v>
      </c>
      <c r="G46">
        <v>15</v>
      </c>
      <c r="H46" t="s">
        <v>652</v>
      </c>
      <c r="I46">
        <f>'Proposed Rates'!O57</f>
        <v>0</v>
      </c>
      <c r="K46">
        <f t="shared" si="0"/>
        <v>0</v>
      </c>
    </row>
    <row r="47" spans="1:11" x14ac:dyDescent="0.25">
      <c r="A47">
        <v>39300</v>
      </c>
      <c r="B47" t="s">
        <v>114</v>
      </c>
      <c r="C47">
        <v>24</v>
      </c>
      <c r="D47" t="s">
        <v>652</v>
      </c>
      <c r="E47">
        <v>0</v>
      </c>
      <c r="G47">
        <v>24</v>
      </c>
      <c r="H47" t="s">
        <v>652</v>
      </c>
      <c r="I47">
        <f>'Proposed Rates'!O61</f>
        <v>0</v>
      </c>
      <c r="K47">
        <f t="shared" si="0"/>
        <v>0</v>
      </c>
    </row>
    <row r="48" spans="1:11" x14ac:dyDescent="0.25">
      <c r="A48">
        <v>39400</v>
      </c>
      <c r="B48" t="s">
        <v>115</v>
      </c>
      <c r="C48">
        <v>18</v>
      </c>
      <c r="D48" t="s">
        <v>652</v>
      </c>
      <c r="E48">
        <v>0</v>
      </c>
      <c r="G48">
        <v>18</v>
      </c>
      <c r="H48" t="s">
        <v>652</v>
      </c>
      <c r="I48">
        <f>'Proposed Rates'!O62</f>
        <v>0</v>
      </c>
      <c r="K48">
        <f t="shared" si="0"/>
        <v>0</v>
      </c>
    </row>
    <row r="49" spans="1:11" x14ac:dyDescent="0.25">
      <c r="A49">
        <v>39401</v>
      </c>
      <c r="B49" t="s">
        <v>680</v>
      </c>
      <c r="C49">
        <v>20</v>
      </c>
      <c r="D49" t="s">
        <v>652</v>
      </c>
      <c r="E49">
        <v>0</v>
      </c>
      <c r="G49">
        <v>20</v>
      </c>
      <c r="H49" t="s">
        <v>652</v>
      </c>
      <c r="I49">
        <f>'Proposed Rates'!O63</f>
        <v>0</v>
      </c>
      <c r="K49">
        <f t="shared" si="0"/>
        <v>0</v>
      </c>
    </row>
    <row r="50" spans="1:11" x14ac:dyDescent="0.25">
      <c r="A50">
        <v>39500</v>
      </c>
      <c r="B50" t="s">
        <v>29</v>
      </c>
      <c r="C50">
        <v>20</v>
      </c>
      <c r="D50" t="s">
        <v>652</v>
      </c>
      <c r="E50">
        <v>0</v>
      </c>
      <c r="G50">
        <v>20</v>
      </c>
      <c r="H50" t="s">
        <v>652</v>
      </c>
      <c r="I50">
        <f>'Proposed Rates'!O64</f>
        <v>0</v>
      </c>
      <c r="K50">
        <f t="shared" si="0"/>
        <v>0</v>
      </c>
    </row>
    <row r="51" spans="1:11" x14ac:dyDescent="0.25">
      <c r="A51">
        <v>39600</v>
      </c>
      <c r="B51" t="s">
        <v>30</v>
      </c>
      <c r="C51">
        <v>18</v>
      </c>
      <c r="D51" t="s">
        <v>1257</v>
      </c>
      <c r="E51">
        <v>10</v>
      </c>
      <c r="G51">
        <v>18</v>
      </c>
      <c r="H51" t="s">
        <v>1257</v>
      </c>
      <c r="I51">
        <f>'Proposed Rates'!O65</f>
        <v>10</v>
      </c>
      <c r="K51">
        <f t="shared" si="0"/>
        <v>0</v>
      </c>
    </row>
    <row r="52" spans="1:11" x14ac:dyDescent="0.25">
      <c r="A52">
        <v>39700</v>
      </c>
      <c r="B52" t="s">
        <v>32</v>
      </c>
      <c r="C52">
        <v>13</v>
      </c>
      <c r="D52" t="s">
        <v>652</v>
      </c>
      <c r="E52">
        <v>0</v>
      </c>
      <c r="G52">
        <v>13</v>
      </c>
      <c r="H52" t="s">
        <v>652</v>
      </c>
      <c r="I52">
        <f>'Proposed Rates'!O66</f>
        <v>0</v>
      </c>
      <c r="K52">
        <f t="shared" si="0"/>
        <v>0</v>
      </c>
    </row>
    <row r="53" spans="1:11" x14ac:dyDescent="0.25">
      <c r="A53">
        <v>39800</v>
      </c>
      <c r="B53" t="s">
        <v>33</v>
      </c>
      <c r="C53">
        <v>20</v>
      </c>
      <c r="D53" t="s">
        <v>652</v>
      </c>
      <c r="E53">
        <v>0</v>
      </c>
      <c r="G53">
        <v>20</v>
      </c>
      <c r="H53" t="s">
        <v>652</v>
      </c>
      <c r="I53">
        <f>'Proposed Rates'!O67</f>
        <v>0</v>
      </c>
      <c r="K53">
        <f t="shared" si="0"/>
        <v>0</v>
      </c>
    </row>
    <row r="54" spans="1:11" x14ac:dyDescent="0.25">
      <c r="K54">
        <f t="shared" si="0"/>
        <v>0</v>
      </c>
    </row>
    <row r="55" spans="1:11" x14ac:dyDescent="0.25">
      <c r="A55">
        <v>33600</v>
      </c>
      <c r="B55" t="s">
        <v>1268</v>
      </c>
      <c r="C55">
        <v>30</v>
      </c>
      <c r="D55" t="s">
        <v>26</v>
      </c>
      <c r="E55">
        <v>-5</v>
      </c>
      <c r="G55">
        <v>30</v>
      </c>
      <c r="H55" t="s">
        <v>26</v>
      </c>
      <c r="I55">
        <v>-5</v>
      </c>
      <c r="K55">
        <f t="shared" si="0"/>
        <v>0</v>
      </c>
    </row>
    <row r="56" spans="1:11" x14ac:dyDescent="0.25">
      <c r="A56">
        <v>33601</v>
      </c>
      <c r="B56" s="77" t="s">
        <v>1357</v>
      </c>
      <c r="C56" s="91">
        <v>15</v>
      </c>
      <c r="D56" s="118" t="s">
        <v>652</v>
      </c>
      <c r="E56" s="91">
        <v>0</v>
      </c>
      <c r="G56">
        <v>15</v>
      </c>
      <c r="H56" s="77" t="s">
        <v>652</v>
      </c>
      <c r="I56">
        <v>0</v>
      </c>
      <c r="K56">
        <f t="shared" si="0"/>
        <v>0</v>
      </c>
    </row>
    <row r="57" spans="1:11" x14ac:dyDescent="0.25">
      <c r="A57">
        <v>36400</v>
      </c>
      <c r="B57" t="s">
        <v>1269</v>
      </c>
      <c r="C57">
        <v>30</v>
      </c>
      <c r="D57" t="s">
        <v>26</v>
      </c>
      <c r="E57">
        <v>-5</v>
      </c>
      <c r="G57">
        <v>30</v>
      </c>
      <c r="H57" t="s">
        <v>26</v>
      </c>
      <c r="I57">
        <v>-5</v>
      </c>
      <c r="K57">
        <f t="shared" si="0"/>
        <v>0</v>
      </c>
    </row>
    <row r="58" spans="1:11" x14ac:dyDescent="0.25">
      <c r="K58">
        <f t="shared" si="0"/>
        <v>0</v>
      </c>
    </row>
  </sheetData>
  <pageMargins left="0.7" right="0.7" top="0.75" bottom="0.75" header="0.3" footer="0.3"/>
  <customProperties>
    <customPr name="EpmWorksheetKeyString_GUID" r:id="rId1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R302"/>
  <sheetViews>
    <sheetView zoomScaleNormal="100" workbookViewId="0">
      <pane xSplit="4" ySplit="11" topLeftCell="E279" activePane="bottomRight" state="frozen"/>
      <selection activeCell="R305" sqref="R305"/>
      <selection pane="topRight" activeCell="R305" sqref="R305"/>
      <selection pane="bottomLeft" activeCell="R305" sqref="R305"/>
      <selection pane="bottomRight" activeCell="R305" sqref="R305"/>
    </sheetView>
  </sheetViews>
  <sheetFormatPr defaultColWidth="8.81640625" defaultRowHeight="12.5" x14ac:dyDescent="0.25"/>
  <cols>
    <col min="1" max="1" width="7.7265625" customWidth="1"/>
    <col min="2" max="2" width="1.7265625" customWidth="1"/>
    <col min="3" max="3" width="4.7265625" customWidth="1"/>
    <col min="4" max="4" width="20.453125" bestFit="1" customWidth="1"/>
    <col min="5" max="5" width="1.7265625" customWidth="1"/>
    <col min="6" max="7" width="10.453125" customWidth="1"/>
    <col min="8" max="8" width="1.7265625" customWidth="1"/>
    <col min="9" max="10" width="10.453125" customWidth="1"/>
    <col min="11" max="11" width="1.7265625" customWidth="1"/>
    <col min="12" max="13" width="10.453125" customWidth="1"/>
    <col min="14" max="14" width="1.7265625" customWidth="1"/>
    <col min="15" max="15" width="10.453125" customWidth="1"/>
    <col min="16" max="17" width="1.453125" customWidth="1"/>
    <col min="18" max="18" width="10.453125" customWidth="1"/>
  </cols>
  <sheetData>
    <row r="1" spans="1:18" s="77" customFormat="1" ht="16.5" x14ac:dyDescent="0.35">
      <c r="A1" s="37" t="s">
        <v>88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</row>
    <row r="2" spans="1:18" s="77" customFormat="1" ht="16.5" x14ac:dyDescent="0.35">
      <c r="A2" s="37" t="s">
        <v>44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18" s="77" customFormat="1" ht="16.5" x14ac:dyDescent="0.35">
      <c r="A3" s="37" t="str">
        <f>'Proposed Rates'!A2</f>
        <v>2022 Depreciation Rate Review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</row>
    <row r="4" spans="1:18" s="77" customFormat="1" x14ac:dyDescent="0.25"/>
    <row r="5" spans="1:18" s="77" customFormat="1" x14ac:dyDescent="0.25"/>
    <row r="6" spans="1:18" s="77" customFormat="1" x14ac:dyDescent="0.25"/>
    <row r="7" spans="1:18" s="77" customFormat="1" ht="13.5" thickBot="1" x14ac:dyDescent="0.35">
      <c r="F7" s="24" t="s">
        <v>116</v>
      </c>
      <c r="G7" s="24"/>
      <c r="H7" s="78"/>
      <c r="I7" s="78"/>
      <c r="J7" s="78"/>
      <c r="K7" s="78"/>
      <c r="L7" s="78"/>
      <c r="M7" s="79"/>
      <c r="O7" s="19" t="s">
        <v>89</v>
      </c>
      <c r="P7" s="19"/>
      <c r="Q7" s="19"/>
      <c r="R7" s="78"/>
    </row>
    <row r="8" spans="1:18" s="77" customFormat="1" ht="13" x14ac:dyDescent="0.3">
      <c r="A8" s="20"/>
      <c r="B8" s="20"/>
      <c r="C8" s="20"/>
      <c r="D8" s="20"/>
      <c r="E8" s="20"/>
      <c r="F8" s="75" t="s">
        <v>647</v>
      </c>
      <c r="G8" s="75"/>
      <c r="H8" s="20"/>
      <c r="I8" s="75" t="s">
        <v>649</v>
      </c>
      <c r="J8" s="75"/>
      <c r="K8" s="20"/>
      <c r="L8" s="80" t="s">
        <v>697</v>
      </c>
      <c r="M8" s="80"/>
      <c r="N8" s="20"/>
      <c r="O8" s="23" t="s">
        <v>698</v>
      </c>
      <c r="P8" s="43"/>
      <c r="Q8" s="20"/>
      <c r="R8" s="40">
        <v>42370</v>
      </c>
    </row>
    <row r="9" spans="1:18" s="77" customFormat="1" ht="13" x14ac:dyDescent="0.3">
      <c r="A9" s="20"/>
      <c r="B9" s="20"/>
      <c r="C9" s="20"/>
      <c r="D9" s="20"/>
      <c r="E9" s="20"/>
      <c r="F9" s="75" t="s">
        <v>648</v>
      </c>
      <c r="G9" s="75"/>
      <c r="H9" s="49"/>
      <c r="I9" s="75" t="s">
        <v>650</v>
      </c>
      <c r="J9" s="75"/>
      <c r="K9" s="49"/>
      <c r="L9" s="75" t="s">
        <v>699</v>
      </c>
      <c r="M9" s="75"/>
      <c r="N9" s="20"/>
      <c r="O9" s="23"/>
      <c r="P9" s="43"/>
      <c r="Q9" s="20"/>
      <c r="R9" s="40"/>
    </row>
    <row r="10" spans="1:18" s="77" customFormat="1" ht="13" x14ac:dyDescent="0.3">
      <c r="A10" s="20" t="s">
        <v>9</v>
      </c>
      <c r="B10" s="20"/>
      <c r="C10" s="20"/>
      <c r="D10" s="20"/>
      <c r="E10" s="20"/>
      <c r="F10" s="81">
        <v>39814</v>
      </c>
      <c r="G10" s="81"/>
      <c r="H10" s="76"/>
      <c r="I10" s="81">
        <v>39814</v>
      </c>
      <c r="J10" s="81"/>
      <c r="K10" s="76"/>
      <c r="L10" s="81">
        <v>38718</v>
      </c>
      <c r="M10" s="81"/>
      <c r="N10" s="20"/>
      <c r="O10" s="20" t="s">
        <v>46</v>
      </c>
      <c r="P10" s="43"/>
      <c r="Q10" s="20"/>
      <c r="R10" s="41" t="s">
        <v>45</v>
      </c>
    </row>
    <row r="11" spans="1:18" s="77" customFormat="1" ht="13.5" thickBot="1" x14ac:dyDescent="0.35">
      <c r="A11" s="82" t="s">
        <v>17</v>
      </c>
      <c r="B11" s="20"/>
      <c r="C11" s="19" t="s">
        <v>18</v>
      </c>
      <c r="D11" s="19"/>
      <c r="E11" s="20"/>
      <c r="F11" s="83" t="s">
        <v>657</v>
      </c>
      <c r="G11" s="83" t="s">
        <v>656</v>
      </c>
      <c r="H11" s="20"/>
      <c r="I11" s="83" t="s">
        <v>657</v>
      </c>
      <c r="J11" s="83" t="s">
        <v>656</v>
      </c>
      <c r="K11" s="20"/>
      <c r="L11" s="83" t="s">
        <v>657</v>
      </c>
      <c r="M11" s="83" t="s">
        <v>656</v>
      </c>
      <c r="N11" s="20"/>
      <c r="O11" s="82" t="s">
        <v>5</v>
      </c>
      <c r="P11" s="20"/>
      <c r="Q11" s="20"/>
      <c r="R11" s="84" t="s">
        <v>64</v>
      </c>
    </row>
    <row r="12" spans="1:18" ht="13" x14ac:dyDescent="0.3">
      <c r="A12" s="1"/>
      <c r="F12" s="8"/>
      <c r="G12" s="8"/>
      <c r="H12" s="5"/>
      <c r="I12" s="8"/>
      <c r="J12" s="8"/>
      <c r="K12" s="5"/>
      <c r="L12" s="8"/>
      <c r="M12" s="8"/>
      <c r="O12" s="2"/>
      <c r="P12" s="43"/>
      <c r="Q12" s="20"/>
      <c r="R12" s="2"/>
    </row>
    <row r="13" spans="1:18" ht="13" x14ac:dyDescent="0.3">
      <c r="A13" s="1"/>
      <c r="C13" s="21" t="str">
        <f>'Proposed Rates'!C14</f>
        <v>Distribution Plant</v>
      </c>
      <c r="D13" s="21"/>
      <c r="F13" s="5"/>
      <c r="G13" s="5"/>
      <c r="H13" s="5"/>
      <c r="I13" s="5"/>
      <c r="J13" s="5"/>
      <c r="K13" s="5"/>
      <c r="L13" s="5"/>
      <c r="M13" s="5"/>
      <c r="P13" s="43"/>
      <c r="Q13" s="20"/>
    </row>
    <row r="14" spans="1:18" x14ac:dyDescent="0.25">
      <c r="A14" s="1"/>
      <c r="F14" s="5"/>
      <c r="G14" s="5"/>
      <c r="H14" s="5"/>
      <c r="I14" s="5"/>
      <c r="J14" s="5"/>
      <c r="K14" s="5"/>
      <c r="L14" s="5"/>
      <c r="M14" s="5"/>
      <c r="P14" s="42"/>
    </row>
    <row r="15" spans="1:18" ht="13" x14ac:dyDescent="0.3">
      <c r="A15" s="6">
        <f>'Proposed Rates'!A16</f>
        <v>37402</v>
      </c>
      <c r="C15" s="18" t="str">
        <f>'Proposed Rates'!C16</f>
        <v>Land Rights</v>
      </c>
      <c r="F15" s="12"/>
      <c r="G15" s="12"/>
      <c r="H15" s="12"/>
      <c r="I15" s="12"/>
      <c r="J15" s="12"/>
      <c r="K15" s="12"/>
      <c r="L15" s="12"/>
      <c r="M15" s="12"/>
      <c r="P15" s="42"/>
      <c r="R15" s="18"/>
    </row>
    <row r="16" spans="1:18" ht="13" x14ac:dyDescent="0.3">
      <c r="A16" s="6"/>
      <c r="D16" t="s">
        <v>47</v>
      </c>
      <c r="F16" s="72"/>
      <c r="G16" s="72">
        <v>3.3</v>
      </c>
      <c r="H16" s="13"/>
      <c r="I16" s="72" t="s">
        <v>651</v>
      </c>
      <c r="J16" s="72" t="s">
        <v>651</v>
      </c>
      <c r="K16" s="13"/>
      <c r="L16" s="72">
        <v>1.71</v>
      </c>
      <c r="M16" s="72">
        <v>1.53</v>
      </c>
      <c r="O16" s="3">
        <f>'Proposed Rates'!J16</f>
        <v>1.2999999999999999E-2</v>
      </c>
      <c r="P16" s="45"/>
      <c r="Q16" s="3"/>
      <c r="R16" s="50">
        <f>'Proposed Rates'!X16</f>
        <v>1.3000000000000001E-2</v>
      </c>
    </row>
    <row r="17" spans="1:18" ht="13" x14ac:dyDescent="0.3">
      <c r="A17" s="6"/>
      <c r="D17" t="s">
        <v>79</v>
      </c>
      <c r="F17" s="72"/>
      <c r="G17" s="72"/>
      <c r="H17" s="14"/>
      <c r="I17" s="72" t="s">
        <v>651</v>
      </c>
      <c r="J17" s="72" t="s">
        <v>651</v>
      </c>
      <c r="K17" s="14"/>
      <c r="L17" s="72"/>
      <c r="M17" s="72"/>
      <c r="O17" s="34">
        <f>'Proposed Rates'!F16</f>
        <v>75</v>
      </c>
      <c r="P17" s="46"/>
      <c r="Q17" s="34"/>
      <c r="R17" s="51">
        <f>'Proposed Rates'!N16</f>
        <v>75</v>
      </c>
    </row>
    <row r="18" spans="1:18" ht="13" x14ac:dyDescent="0.3">
      <c r="A18" s="6"/>
      <c r="D18" t="s">
        <v>48</v>
      </c>
      <c r="F18" s="72"/>
      <c r="G18" s="72">
        <v>30</v>
      </c>
      <c r="H18" s="13"/>
      <c r="I18" s="72" t="s">
        <v>651</v>
      </c>
      <c r="J18" s="72" t="s">
        <v>651</v>
      </c>
      <c r="K18" s="13"/>
      <c r="L18" s="72">
        <v>65</v>
      </c>
      <c r="M18" s="72">
        <v>65</v>
      </c>
      <c r="O18" s="3">
        <f>'Proposed Rates'!G16</f>
        <v>59.86</v>
      </c>
      <c r="P18" s="45"/>
      <c r="Q18" s="3"/>
      <c r="R18" s="50">
        <f>'Proposed Rates'!S16</f>
        <v>56.861004813856397</v>
      </c>
    </row>
    <row r="19" spans="1:18" ht="13" x14ac:dyDescent="0.3">
      <c r="A19" s="6"/>
      <c r="D19" t="s">
        <v>49</v>
      </c>
      <c r="F19" s="72"/>
      <c r="G19" s="72">
        <v>0</v>
      </c>
      <c r="H19" s="14"/>
      <c r="I19" s="72" t="s">
        <v>651</v>
      </c>
      <c r="J19" s="72" t="s">
        <v>651</v>
      </c>
      <c r="K19" s="14"/>
      <c r="L19" s="72">
        <v>0</v>
      </c>
      <c r="M19" s="72">
        <v>0</v>
      </c>
      <c r="O19">
        <f>'Proposed Rates'!H16</f>
        <v>0</v>
      </c>
      <c r="P19" s="46"/>
      <c r="Q19" s="34"/>
      <c r="R19" s="86">
        <f>'Proposed Rates'!O16</f>
        <v>0</v>
      </c>
    </row>
    <row r="20" spans="1:18" ht="13" x14ac:dyDescent="0.3">
      <c r="A20" s="6"/>
      <c r="D20" t="s">
        <v>50</v>
      </c>
      <c r="F20" s="72"/>
      <c r="G20" s="72"/>
      <c r="H20" s="15"/>
      <c r="I20" s="72" t="s">
        <v>651</v>
      </c>
      <c r="J20" s="72" t="s">
        <v>651</v>
      </c>
      <c r="K20" s="15"/>
      <c r="L20" s="72" t="s">
        <v>651</v>
      </c>
      <c r="M20" s="72" t="s">
        <v>651</v>
      </c>
      <c r="O20" s="4">
        <f>'Proposed Rates'!I16</f>
        <v>21.7</v>
      </c>
      <c r="P20" s="47"/>
      <c r="Q20" s="4"/>
      <c r="R20" s="52">
        <f>'Proposed Rates'!V16</f>
        <v>25.32</v>
      </c>
    </row>
    <row r="21" spans="1:18" ht="13" x14ac:dyDescent="0.3">
      <c r="A21" s="6"/>
      <c r="D21" t="s">
        <v>51</v>
      </c>
      <c r="F21" s="72"/>
      <c r="G21" s="72"/>
      <c r="H21" s="16"/>
      <c r="I21" s="72" t="s">
        <v>651</v>
      </c>
      <c r="J21" s="72" t="s">
        <v>651</v>
      </c>
      <c r="K21" s="16"/>
      <c r="L21" s="72" t="s">
        <v>700</v>
      </c>
      <c r="M21" s="72" t="s">
        <v>700</v>
      </c>
      <c r="O21" s="35" t="str">
        <f>'Proposed Rates'!E16</f>
        <v>SQ</v>
      </c>
      <c r="P21" s="48"/>
      <c r="Q21" s="35"/>
      <c r="R21" s="53" t="str">
        <f>'Proposed Rates'!M16</f>
        <v>SQ</v>
      </c>
    </row>
    <row r="22" spans="1:18" x14ac:dyDescent="0.25">
      <c r="A22" s="1"/>
      <c r="F22" s="5"/>
      <c r="G22" s="5"/>
      <c r="H22" s="5"/>
      <c r="I22" s="5"/>
      <c r="J22" s="5"/>
      <c r="K22" s="5"/>
      <c r="L22" s="5"/>
      <c r="M22" s="5"/>
      <c r="P22" s="42"/>
    </row>
    <row r="23" spans="1:18" ht="13" x14ac:dyDescent="0.3">
      <c r="A23" s="6">
        <f>'Proposed Rates'!A17</f>
        <v>37500</v>
      </c>
      <c r="C23" s="18" t="str">
        <f>'Proposed Rates'!C17</f>
        <v>Structures &amp; Improvements</v>
      </c>
      <c r="F23" s="12"/>
      <c r="G23" s="12"/>
      <c r="H23" s="12"/>
      <c r="I23" s="12"/>
      <c r="J23" s="12"/>
      <c r="K23" s="12"/>
      <c r="L23" s="12"/>
      <c r="M23" s="12"/>
      <c r="P23" s="42"/>
      <c r="R23" s="18"/>
    </row>
    <row r="24" spans="1:18" ht="13" x14ac:dyDescent="0.3">
      <c r="A24" s="6"/>
      <c r="D24" t="s">
        <v>47</v>
      </c>
      <c r="F24" s="13"/>
      <c r="G24" s="13">
        <v>3.1</v>
      </c>
      <c r="H24" s="13"/>
      <c r="I24" s="13">
        <v>2.2000000000000002</v>
      </c>
      <c r="J24" s="13">
        <v>2.5</v>
      </c>
      <c r="K24" s="13"/>
      <c r="L24" s="13">
        <v>1.54</v>
      </c>
      <c r="M24" s="13">
        <v>1.62</v>
      </c>
      <c r="O24" s="3">
        <f>'Proposed Rates'!J17</f>
        <v>2.8000000000000001E-2</v>
      </c>
      <c r="P24" s="45"/>
      <c r="Q24" s="3"/>
      <c r="R24" s="50">
        <f>'Proposed Rates'!X17</f>
        <v>2.7999999999999997E-2</v>
      </c>
    </row>
    <row r="25" spans="1:18" ht="13" x14ac:dyDescent="0.3">
      <c r="A25" s="6"/>
      <c r="D25" t="s">
        <v>79</v>
      </c>
      <c r="F25" s="14"/>
      <c r="G25" s="14"/>
      <c r="H25" s="14"/>
      <c r="I25" s="14"/>
      <c r="J25" s="14"/>
      <c r="K25" s="14"/>
      <c r="L25" s="22"/>
      <c r="M25" s="22"/>
      <c r="O25" s="34">
        <f>'Proposed Rates'!F17</f>
        <v>33</v>
      </c>
      <c r="P25" s="46"/>
      <c r="Q25" s="34"/>
      <c r="R25" s="51">
        <f>'Proposed Rates'!N17</f>
        <v>33</v>
      </c>
    </row>
    <row r="26" spans="1:18" ht="13" x14ac:dyDescent="0.3">
      <c r="A26" s="6"/>
      <c r="D26" t="s">
        <v>48</v>
      </c>
      <c r="F26" s="13"/>
      <c r="G26" s="13">
        <v>14.4</v>
      </c>
      <c r="H26" s="13"/>
      <c r="I26" s="13">
        <v>27</v>
      </c>
      <c r="J26" s="13">
        <v>25.6</v>
      </c>
      <c r="K26" s="13"/>
      <c r="L26" s="13">
        <v>60</v>
      </c>
      <c r="M26" s="13">
        <v>60</v>
      </c>
      <c r="O26" s="3">
        <f>'Proposed Rates'!G17</f>
        <v>25.9</v>
      </c>
      <c r="P26" s="45"/>
      <c r="Q26" s="3"/>
      <c r="R26" s="50">
        <f>'Proposed Rates'!S17</f>
        <v>26.1164740929384</v>
      </c>
    </row>
    <row r="27" spans="1:18" ht="13" x14ac:dyDescent="0.3">
      <c r="A27" s="6"/>
      <c r="D27" t="s">
        <v>49</v>
      </c>
      <c r="F27" s="16"/>
      <c r="G27" s="16">
        <v>0</v>
      </c>
      <c r="H27" s="14"/>
      <c r="I27" s="16">
        <v>0</v>
      </c>
      <c r="J27" s="16">
        <v>0</v>
      </c>
      <c r="K27" s="14"/>
      <c r="L27" s="14">
        <v>0</v>
      </c>
      <c r="M27" s="14">
        <v>0</v>
      </c>
      <c r="O27">
        <f>'Proposed Rates'!H17</f>
        <v>0</v>
      </c>
      <c r="P27" s="46"/>
      <c r="Q27" s="34"/>
      <c r="R27" s="86">
        <f>'Proposed Rates'!O17</f>
        <v>0</v>
      </c>
    </row>
    <row r="28" spans="1:18" ht="13" x14ac:dyDescent="0.3">
      <c r="A28" s="6"/>
      <c r="D28" t="s">
        <v>50</v>
      </c>
      <c r="F28" s="15"/>
      <c r="G28" s="15">
        <v>55.6</v>
      </c>
      <c r="H28" s="15"/>
      <c r="I28" s="15"/>
      <c r="J28" s="15">
        <v>36</v>
      </c>
      <c r="K28" s="15"/>
      <c r="L28" s="73"/>
      <c r="M28" s="73"/>
      <c r="O28" s="4">
        <f>'Proposed Rates'!I17</f>
        <v>27.1</v>
      </c>
      <c r="P28" s="47"/>
      <c r="Q28" s="4"/>
      <c r="R28" s="52">
        <f>'Proposed Rates'!V17</f>
        <v>26.66</v>
      </c>
    </row>
    <row r="29" spans="1:18" ht="13" x14ac:dyDescent="0.3">
      <c r="A29" s="6"/>
      <c r="D29" t="s">
        <v>51</v>
      </c>
      <c r="F29" s="16"/>
      <c r="G29" s="16"/>
      <c r="H29" s="16"/>
      <c r="I29" s="16"/>
      <c r="J29" s="16"/>
      <c r="K29" s="16"/>
      <c r="L29" s="73" t="s">
        <v>701</v>
      </c>
      <c r="M29" s="73" t="s">
        <v>702</v>
      </c>
      <c r="O29" s="35" t="str">
        <f>'Proposed Rates'!E17</f>
        <v>L0</v>
      </c>
      <c r="P29" s="48"/>
      <c r="Q29" s="35"/>
      <c r="R29" s="53" t="str">
        <f>'Proposed Rates'!M17</f>
        <v>L0</v>
      </c>
    </row>
    <row r="30" spans="1:18" ht="13" x14ac:dyDescent="0.3">
      <c r="A30" s="6"/>
      <c r="F30" s="16"/>
      <c r="G30" s="16"/>
      <c r="H30" s="16"/>
      <c r="I30" s="16"/>
      <c r="J30" s="16"/>
      <c r="K30" s="16"/>
      <c r="L30" s="16"/>
      <c r="M30" s="16"/>
      <c r="O30" s="35"/>
      <c r="P30" s="48"/>
      <c r="Q30" s="35"/>
      <c r="R30" s="54"/>
    </row>
    <row r="31" spans="1:18" ht="13" x14ac:dyDescent="0.3">
      <c r="A31" s="6">
        <f>'Proposed Rates'!A18</f>
        <v>37600</v>
      </c>
      <c r="C31" s="18" t="str">
        <f>'Proposed Rates'!C18</f>
        <v>Mains Steel</v>
      </c>
      <c r="F31" s="12"/>
      <c r="G31" s="12"/>
      <c r="H31" s="12"/>
      <c r="I31" s="12"/>
      <c r="J31" s="12"/>
      <c r="K31" s="12"/>
      <c r="L31" s="12"/>
      <c r="M31" s="12"/>
      <c r="P31" s="42"/>
      <c r="R31" s="18"/>
    </row>
    <row r="32" spans="1:18" ht="13" x14ac:dyDescent="0.3">
      <c r="A32" s="6"/>
      <c r="D32" t="s">
        <v>47</v>
      </c>
      <c r="F32" s="13"/>
      <c r="G32" s="13">
        <v>2.8</v>
      </c>
      <c r="H32" s="13"/>
      <c r="I32" s="13">
        <v>2.8</v>
      </c>
      <c r="J32" s="13">
        <v>3</v>
      </c>
      <c r="K32" s="13"/>
      <c r="L32" s="13">
        <v>1.96</v>
      </c>
      <c r="M32" s="13">
        <v>2.1</v>
      </c>
      <c r="O32" s="3">
        <f>'Proposed Rates'!J18</f>
        <v>2.1000000000000001E-2</v>
      </c>
      <c r="P32" s="45"/>
      <c r="Q32" s="3"/>
      <c r="R32" s="50">
        <f>'Proposed Rates'!X18</f>
        <v>2.4E-2</v>
      </c>
    </row>
    <row r="33" spans="1:18" ht="13" x14ac:dyDescent="0.3">
      <c r="A33" s="6"/>
      <c r="D33" t="s">
        <v>79</v>
      </c>
      <c r="F33" s="14"/>
      <c r="G33" s="14"/>
      <c r="H33" s="14"/>
      <c r="I33" s="14"/>
      <c r="J33" s="14"/>
      <c r="K33" s="14"/>
      <c r="L33" s="14"/>
      <c r="M33" s="14"/>
      <c r="O33" s="34">
        <f>'Proposed Rates'!F18</f>
        <v>65</v>
      </c>
      <c r="P33" s="46"/>
      <c r="Q33" s="34"/>
      <c r="R33" s="51">
        <f>'Proposed Rates'!N18</f>
        <v>65</v>
      </c>
    </row>
    <row r="34" spans="1:18" ht="13" x14ac:dyDescent="0.3">
      <c r="A34" s="6"/>
      <c r="D34" t="s">
        <v>48</v>
      </c>
      <c r="F34" s="13"/>
      <c r="G34" s="13">
        <v>23</v>
      </c>
      <c r="H34" s="13"/>
      <c r="I34" s="13">
        <v>26</v>
      </c>
      <c r="J34" s="13">
        <v>20.7</v>
      </c>
      <c r="K34" s="13"/>
      <c r="L34" s="13">
        <v>65</v>
      </c>
      <c r="M34" s="13">
        <v>65</v>
      </c>
      <c r="O34" s="3">
        <f>'Proposed Rates'!G18</f>
        <v>53.2</v>
      </c>
      <c r="P34" s="45"/>
      <c r="Q34" s="3"/>
      <c r="R34" s="50">
        <f>'Proposed Rates'!S18</f>
        <v>55.234840721733569</v>
      </c>
    </row>
    <row r="35" spans="1:18" ht="13" x14ac:dyDescent="0.3">
      <c r="A35" s="6"/>
      <c r="D35" t="s">
        <v>49</v>
      </c>
      <c r="F35" s="14"/>
      <c r="G35" s="14">
        <v>-20</v>
      </c>
      <c r="H35" s="14"/>
      <c r="I35" s="14">
        <v>-20</v>
      </c>
      <c r="J35" s="14">
        <v>-20</v>
      </c>
      <c r="K35" s="14"/>
      <c r="L35" s="14">
        <v>-30</v>
      </c>
      <c r="M35" s="14">
        <v>-40</v>
      </c>
      <c r="O35" s="34">
        <f>'Proposed Rates'!H18</f>
        <v>-50</v>
      </c>
      <c r="P35" s="46"/>
      <c r="Q35" s="34"/>
      <c r="R35" s="51">
        <f>'Proposed Rates'!O18</f>
        <v>-60</v>
      </c>
    </row>
    <row r="36" spans="1:18" ht="13" x14ac:dyDescent="0.3">
      <c r="A36" s="6"/>
      <c r="D36" t="s">
        <v>50</v>
      </c>
      <c r="F36" s="15"/>
      <c r="G36" s="15">
        <v>54.54</v>
      </c>
      <c r="H36" s="15"/>
      <c r="I36" s="15"/>
      <c r="J36" s="15">
        <v>57.3</v>
      </c>
      <c r="K36" s="15"/>
      <c r="L36" s="15"/>
      <c r="M36" s="15"/>
      <c r="O36" s="4">
        <f>'Proposed Rates'!I18</f>
        <v>37.5</v>
      </c>
      <c r="P36" s="47"/>
      <c r="Q36" s="4"/>
      <c r="R36" s="52">
        <f>'Proposed Rates'!V18</f>
        <v>28.49</v>
      </c>
    </row>
    <row r="37" spans="1:18" ht="13" x14ac:dyDescent="0.3">
      <c r="A37" s="6"/>
      <c r="D37" t="s">
        <v>51</v>
      </c>
      <c r="F37" s="16"/>
      <c r="G37" s="16"/>
      <c r="H37" s="16"/>
      <c r="I37" s="16"/>
      <c r="J37" s="16"/>
      <c r="K37" s="16"/>
      <c r="L37" s="16" t="s">
        <v>25</v>
      </c>
      <c r="M37" s="16" t="s">
        <v>25</v>
      </c>
      <c r="O37" s="35" t="str">
        <f>'Proposed Rates'!E18</f>
        <v>R1.5</v>
      </c>
      <c r="P37" s="48"/>
      <c r="Q37" s="35"/>
      <c r="R37" s="53" t="str">
        <f>'Proposed Rates'!M18</f>
        <v>R1.5</v>
      </c>
    </row>
    <row r="38" spans="1:18" ht="13" x14ac:dyDescent="0.3">
      <c r="A38" s="6"/>
      <c r="F38" s="16"/>
      <c r="G38" s="16"/>
      <c r="H38" s="16"/>
      <c r="I38" s="16"/>
      <c r="J38" s="16"/>
      <c r="K38" s="16"/>
      <c r="L38" s="16"/>
      <c r="M38" s="16"/>
      <c r="O38" s="35"/>
      <c r="P38" s="48"/>
      <c r="Q38" s="35"/>
      <c r="R38" s="54"/>
    </row>
    <row r="39" spans="1:18" ht="13" x14ac:dyDescent="0.3">
      <c r="A39" s="6">
        <f>'Proposed Rates'!A19</f>
        <v>37602</v>
      </c>
      <c r="C39" s="18" t="str">
        <f>'Proposed Rates'!C19</f>
        <v>Mains Plastic</v>
      </c>
      <c r="F39" s="12"/>
      <c r="G39" s="12"/>
      <c r="H39" s="12"/>
      <c r="I39" s="12"/>
      <c r="J39" s="12"/>
      <c r="K39" s="12"/>
      <c r="L39" s="12"/>
      <c r="M39" s="12"/>
      <c r="P39" s="42"/>
      <c r="R39" s="18"/>
    </row>
    <row r="40" spans="1:18" ht="13" x14ac:dyDescent="0.3">
      <c r="A40" s="6"/>
      <c r="D40" t="s">
        <v>47</v>
      </c>
      <c r="F40" s="13"/>
      <c r="G40" s="13">
        <v>2.5</v>
      </c>
      <c r="H40" s="13"/>
      <c r="I40" s="13">
        <v>2.9</v>
      </c>
      <c r="J40" s="13">
        <v>3</v>
      </c>
      <c r="K40" s="13"/>
      <c r="L40" s="13"/>
      <c r="M40" s="13"/>
      <c r="O40" s="3">
        <f>'Proposed Rates'!J19</f>
        <v>1.6E-2</v>
      </c>
      <c r="P40" s="45"/>
      <c r="Q40" s="3"/>
      <c r="R40" s="50">
        <f>'Proposed Rates'!X19</f>
        <v>1.8000000000000002E-2</v>
      </c>
    </row>
    <row r="41" spans="1:18" ht="13" x14ac:dyDescent="0.3">
      <c r="A41" s="6"/>
      <c r="D41" t="s">
        <v>79</v>
      </c>
      <c r="F41" s="14"/>
      <c r="G41" s="14"/>
      <c r="H41" s="14"/>
      <c r="I41" s="14"/>
      <c r="J41" s="14"/>
      <c r="K41" s="14"/>
      <c r="L41" s="14"/>
      <c r="M41" s="14"/>
      <c r="O41" s="34">
        <f>'Proposed Rates'!F19</f>
        <v>75</v>
      </c>
      <c r="P41" s="46"/>
      <c r="Q41" s="34"/>
      <c r="R41" s="51">
        <f>'Proposed Rates'!N19</f>
        <v>75</v>
      </c>
    </row>
    <row r="42" spans="1:18" ht="13" x14ac:dyDescent="0.3">
      <c r="A42" s="6"/>
      <c r="D42" t="s">
        <v>48</v>
      </c>
      <c r="F42" s="13"/>
      <c r="G42" s="13">
        <v>37</v>
      </c>
      <c r="H42" s="13"/>
      <c r="I42" s="13">
        <v>32</v>
      </c>
      <c r="J42" s="13">
        <v>29.1</v>
      </c>
      <c r="K42" s="13"/>
      <c r="L42" s="13"/>
      <c r="M42" s="13"/>
      <c r="O42" s="3">
        <f>'Proposed Rates'!G19</f>
        <v>65.7</v>
      </c>
      <c r="P42" s="45"/>
      <c r="Q42" s="3"/>
      <c r="R42" s="50">
        <f>'Proposed Rates'!S19</f>
        <v>67.039532878491158</v>
      </c>
    </row>
    <row r="43" spans="1:18" ht="13" x14ac:dyDescent="0.3">
      <c r="A43" s="6"/>
      <c r="D43" t="s">
        <v>49</v>
      </c>
      <c r="F43" s="14"/>
      <c r="G43" s="14">
        <v>-10</v>
      </c>
      <c r="H43" s="14"/>
      <c r="I43" s="14">
        <v>-20</v>
      </c>
      <c r="J43" s="14">
        <v>-20</v>
      </c>
      <c r="K43" s="14"/>
      <c r="L43" s="14"/>
      <c r="M43" s="14"/>
      <c r="O43" s="34">
        <f>'Proposed Rates'!H19</f>
        <v>-33</v>
      </c>
      <c r="P43" s="46"/>
      <c r="Q43" s="34"/>
      <c r="R43" s="51">
        <f>'Proposed Rates'!O19</f>
        <v>-40</v>
      </c>
    </row>
    <row r="44" spans="1:18" ht="13" x14ac:dyDescent="0.3">
      <c r="A44" s="6"/>
      <c r="D44" t="s">
        <v>50</v>
      </c>
      <c r="F44" s="15"/>
      <c r="G44" s="15">
        <v>19.28</v>
      </c>
      <c r="H44" s="15"/>
      <c r="I44" s="15"/>
      <c r="J44" s="15">
        <v>42.64</v>
      </c>
      <c r="K44" s="15"/>
      <c r="L44" s="15"/>
      <c r="M44" s="15"/>
      <c r="O44" s="4">
        <f>'Proposed Rates'!I19</f>
        <v>30</v>
      </c>
      <c r="P44" s="47"/>
      <c r="Q44" s="4"/>
      <c r="R44" s="52">
        <f>'Proposed Rates'!V19</f>
        <v>20.38</v>
      </c>
    </row>
    <row r="45" spans="1:18" ht="13" x14ac:dyDescent="0.3">
      <c r="A45" s="6"/>
      <c r="D45" t="s">
        <v>51</v>
      </c>
      <c r="F45" s="16"/>
      <c r="G45" s="16"/>
      <c r="H45" s="16"/>
      <c r="I45" s="16"/>
      <c r="J45" s="16"/>
      <c r="K45" s="16"/>
      <c r="L45" s="15"/>
      <c r="M45" s="15"/>
      <c r="O45" s="35" t="str">
        <f>'Proposed Rates'!E19</f>
        <v>R2</v>
      </c>
      <c r="P45" s="48"/>
      <c r="Q45" s="35"/>
      <c r="R45" s="53" t="str">
        <f>'Proposed Rates'!M19</f>
        <v>R2</v>
      </c>
    </row>
    <row r="46" spans="1:18" ht="13" x14ac:dyDescent="0.3">
      <c r="A46" s="6"/>
      <c r="F46" s="16"/>
      <c r="G46" s="16"/>
      <c r="H46" s="16"/>
      <c r="I46" s="16"/>
      <c r="J46" s="16"/>
      <c r="K46" s="16"/>
      <c r="L46" s="16"/>
      <c r="M46" s="16"/>
      <c r="O46" s="35"/>
      <c r="P46" s="48"/>
      <c r="Q46" s="35"/>
      <c r="R46" s="54"/>
    </row>
    <row r="47" spans="1:18" ht="13" x14ac:dyDescent="0.3">
      <c r="A47" s="6">
        <f>'Proposed Rates'!A21</f>
        <v>37800</v>
      </c>
      <c r="C47" s="18" t="str">
        <f>'Proposed Rates'!C21</f>
        <v>Meas &amp; Reg Station Eqp Gen</v>
      </c>
      <c r="F47" s="12"/>
      <c r="G47" s="12"/>
      <c r="H47" s="12"/>
      <c r="I47" s="12"/>
      <c r="J47" s="12"/>
      <c r="K47" s="12"/>
      <c r="L47" s="12"/>
      <c r="M47" s="12"/>
      <c r="P47" s="42"/>
      <c r="R47" s="18"/>
    </row>
    <row r="48" spans="1:18" ht="13" x14ac:dyDescent="0.3">
      <c r="A48" s="6"/>
      <c r="D48" t="s">
        <v>47</v>
      </c>
      <c r="F48" s="13"/>
      <c r="G48" s="13">
        <v>3.8</v>
      </c>
      <c r="H48" s="13"/>
      <c r="I48" s="72" t="s">
        <v>651</v>
      </c>
      <c r="J48" s="72" t="s">
        <v>651</v>
      </c>
      <c r="K48" s="13"/>
      <c r="L48" s="13">
        <v>1.7</v>
      </c>
      <c r="M48" s="13">
        <v>1.51</v>
      </c>
      <c r="O48" s="3">
        <f>'Proposed Rates'!J21</f>
        <v>2.7E-2</v>
      </c>
      <c r="P48" s="45"/>
      <c r="Q48" s="3"/>
      <c r="R48" s="50">
        <f>'Proposed Rates'!X21</f>
        <v>0.03</v>
      </c>
    </row>
    <row r="49" spans="1:18" ht="13" x14ac:dyDescent="0.3">
      <c r="A49" s="6"/>
      <c r="D49" t="s">
        <v>79</v>
      </c>
      <c r="F49" s="14"/>
      <c r="G49" s="14"/>
      <c r="H49" s="14"/>
      <c r="I49" s="72" t="s">
        <v>651</v>
      </c>
      <c r="J49" s="72" t="s">
        <v>651</v>
      </c>
      <c r="K49" s="14"/>
      <c r="L49" s="14"/>
      <c r="M49" s="14"/>
      <c r="O49" s="34">
        <f>'Proposed Rates'!F21</f>
        <v>40</v>
      </c>
      <c r="P49" s="46"/>
      <c r="Q49" s="34"/>
      <c r="R49" s="51">
        <f>'Proposed Rates'!N21</f>
        <v>40</v>
      </c>
    </row>
    <row r="50" spans="1:18" ht="13" x14ac:dyDescent="0.3">
      <c r="A50" s="6"/>
      <c r="D50" t="s">
        <v>48</v>
      </c>
      <c r="F50" s="13"/>
      <c r="G50" s="13">
        <v>19</v>
      </c>
      <c r="H50" s="13"/>
      <c r="I50" s="72" t="s">
        <v>651</v>
      </c>
      <c r="J50" s="72" t="s">
        <v>651</v>
      </c>
      <c r="K50" s="13"/>
      <c r="L50" s="13">
        <v>59</v>
      </c>
      <c r="M50" s="13">
        <v>55</v>
      </c>
      <c r="O50" s="3">
        <f>'Proposed Rates'!G21</f>
        <v>32.1</v>
      </c>
      <c r="P50" s="45"/>
      <c r="Q50" s="3"/>
      <c r="R50" s="50">
        <f>'Proposed Rates'!S21</f>
        <v>31.211242123723302</v>
      </c>
    </row>
    <row r="51" spans="1:18" ht="13" x14ac:dyDescent="0.3">
      <c r="A51" s="6"/>
      <c r="D51" t="s">
        <v>49</v>
      </c>
      <c r="F51" s="14"/>
      <c r="G51" s="14">
        <v>-5</v>
      </c>
      <c r="H51" s="14"/>
      <c r="I51" s="72" t="s">
        <v>651</v>
      </c>
      <c r="J51" s="72" t="s">
        <v>651</v>
      </c>
      <c r="K51" s="14"/>
      <c r="L51" s="14">
        <v>-10</v>
      </c>
      <c r="M51" s="14">
        <v>-5</v>
      </c>
      <c r="O51" s="34">
        <f>'Proposed Rates'!H21</f>
        <v>-10</v>
      </c>
      <c r="P51" s="46"/>
      <c r="Q51" s="34"/>
      <c r="R51" s="51">
        <f>'Proposed Rates'!O21</f>
        <v>-20</v>
      </c>
    </row>
    <row r="52" spans="1:18" ht="13" x14ac:dyDescent="0.3">
      <c r="A52" s="6"/>
      <c r="D52" t="s">
        <v>50</v>
      </c>
      <c r="F52" s="15"/>
      <c r="G52" s="15">
        <v>32.57</v>
      </c>
      <c r="H52" s="15"/>
      <c r="I52" s="72" t="s">
        <v>651</v>
      </c>
      <c r="J52" s="72" t="s">
        <v>651</v>
      </c>
      <c r="K52" s="15"/>
      <c r="L52" s="15"/>
      <c r="M52" s="15"/>
      <c r="O52" s="4">
        <f>'Proposed Rates'!I21</f>
        <v>22.9</v>
      </c>
      <c r="P52" s="47"/>
      <c r="Q52" s="4"/>
      <c r="R52" s="52">
        <f>'Proposed Rates'!V21</f>
        <v>26.24</v>
      </c>
    </row>
    <row r="53" spans="1:18" ht="13" x14ac:dyDescent="0.3">
      <c r="A53" s="6"/>
      <c r="D53" t="s">
        <v>51</v>
      </c>
      <c r="F53" s="16"/>
      <c r="G53" s="16"/>
      <c r="H53" s="16"/>
      <c r="I53" s="72" t="s">
        <v>651</v>
      </c>
      <c r="J53" s="72" t="s">
        <v>651</v>
      </c>
      <c r="K53" s="16"/>
      <c r="L53" s="73" t="s">
        <v>703</v>
      </c>
      <c r="M53" s="73" t="s">
        <v>703</v>
      </c>
      <c r="O53" s="35" t="str">
        <f>'Proposed Rates'!E21</f>
        <v>R1.5</v>
      </c>
      <c r="P53" s="48"/>
      <c r="Q53" s="35"/>
      <c r="R53" s="53" t="str">
        <f>'Proposed Rates'!M21</f>
        <v>R1.5</v>
      </c>
    </row>
    <row r="54" spans="1:18" ht="13" x14ac:dyDescent="0.3">
      <c r="A54" s="6"/>
      <c r="F54" s="16"/>
      <c r="G54" s="16"/>
      <c r="H54" s="16"/>
      <c r="I54" s="16"/>
      <c r="J54" s="16"/>
      <c r="K54" s="16"/>
      <c r="L54" s="16"/>
      <c r="M54" s="16"/>
      <c r="O54" s="35"/>
      <c r="P54" s="48"/>
      <c r="Q54" s="35"/>
      <c r="R54" s="54"/>
    </row>
    <row r="55" spans="1:18" ht="13" x14ac:dyDescent="0.3">
      <c r="A55" s="6">
        <f>'Proposed Rates'!A22</f>
        <v>37900</v>
      </c>
      <c r="C55" s="18" t="str">
        <f>'Proposed Rates'!C22</f>
        <v>Meas &amp; Reg Station Eqp City</v>
      </c>
      <c r="F55" s="12"/>
      <c r="G55" s="12"/>
      <c r="H55" s="12"/>
      <c r="I55" s="12"/>
      <c r="J55" s="12"/>
      <c r="K55" s="12"/>
      <c r="L55" s="12"/>
      <c r="M55" s="12"/>
      <c r="P55" s="42"/>
      <c r="R55" s="18"/>
    </row>
    <row r="56" spans="1:18" ht="13" x14ac:dyDescent="0.3">
      <c r="A56" s="6"/>
      <c r="D56" t="s">
        <v>47</v>
      </c>
      <c r="F56" s="13"/>
      <c r="G56" s="13">
        <v>3.8</v>
      </c>
      <c r="H56" s="13"/>
      <c r="I56" s="13">
        <v>2.9</v>
      </c>
      <c r="J56" s="13">
        <v>3.3</v>
      </c>
      <c r="K56" s="13"/>
      <c r="L56" s="13">
        <v>2.79</v>
      </c>
      <c r="M56" s="13">
        <v>2.64</v>
      </c>
      <c r="O56" s="3">
        <f>'Proposed Rates'!J22</f>
        <v>2.1000000000000001E-2</v>
      </c>
      <c r="P56" s="45"/>
      <c r="Q56" s="3"/>
      <c r="R56" s="50">
        <f>'Proposed Rates'!X22</f>
        <v>2.2000000000000002E-2</v>
      </c>
    </row>
    <row r="57" spans="1:18" ht="13" x14ac:dyDescent="0.3">
      <c r="A57" s="6"/>
      <c r="D57" t="s">
        <v>79</v>
      </c>
      <c r="F57" s="14"/>
      <c r="G57" s="14"/>
      <c r="H57" s="14"/>
      <c r="I57" s="14"/>
      <c r="J57" s="14"/>
      <c r="K57" s="14"/>
      <c r="L57" s="14"/>
      <c r="M57" s="14"/>
      <c r="O57" s="34">
        <f>'Proposed Rates'!F22</f>
        <v>50</v>
      </c>
      <c r="P57" s="46"/>
      <c r="Q57" s="34"/>
      <c r="R57" s="51">
        <f>'Proposed Rates'!N22</f>
        <v>52</v>
      </c>
    </row>
    <row r="58" spans="1:18" ht="13" x14ac:dyDescent="0.3">
      <c r="A58" s="6"/>
      <c r="D58" t="s">
        <v>48</v>
      </c>
      <c r="F58" s="13"/>
      <c r="G58" s="13">
        <v>21</v>
      </c>
      <c r="H58" s="13"/>
      <c r="I58" s="13">
        <v>26</v>
      </c>
      <c r="J58" s="13">
        <v>17.3</v>
      </c>
      <c r="K58" s="13"/>
      <c r="L58" s="13">
        <v>41</v>
      </c>
      <c r="M58" s="13">
        <v>35</v>
      </c>
      <c r="O58" s="3">
        <f>'Proposed Rates'!G22</f>
        <v>45.5</v>
      </c>
      <c r="P58" s="45"/>
      <c r="Q58" s="3"/>
      <c r="R58" s="50">
        <f>'Proposed Rates'!S22</f>
        <v>46.317516811955663</v>
      </c>
    </row>
    <row r="59" spans="1:18" ht="13" x14ac:dyDescent="0.3">
      <c r="A59" s="6"/>
      <c r="D59" t="s">
        <v>49</v>
      </c>
      <c r="F59" s="16"/>
      <c r="G59" s="14">
        <v>-5</v>
      </c>
      <c r="H59" s="14"/>
      <c r="I59" s="16">
        <v>-5</v>
      </c>
      <c r="J59" s="16">
        <v>0</v>
      </c>
      <c r="K59" s="14"/>
      <c r="L59" s="14">
        <v>-30</v>
      </c>
      <c r="M59" s="14">
        <v>-5</v>
      </c>
      <c r="O59" s="34">
        <f>'Proposed Rates'!H22</f>
        <v>-10</v>
      </c>
      <c r="P59" s="46"/>
      <c r="Q59" s="34"/>
      <c r="R59" s="51">
        <f>'Proposed Rates'!O22</f>
        <v>-20</v>
      </c>
    </row>
    <row r="60" spans="1:18" ht="13" x14ac:dyDescent="0.3">
      <c r="A60" s="6"/>
      <c r="D60" t="s">
        <v>50</v>
      </c>
      <c r="F60" s="15"/>
      <c r="G60" s="15">
        <v>25.23</v>
      </c>
      <c r="H60" s="15"/>
      <c r="I60" s="15"/>
      <c r="J60" s="15">
        <v>42.64</v>
      </c>
      <c r="K60" s="15"/>
      <c r="L60" s="15"/>
      <c r="M60" s="15"/>
      <c r="O60" s="4">
        <f>'Proposed Rates'!I22</f>
        <v>13.3</v>
      </c>
      <c r="P60" s="47"/>
      <c r="Q60" s="4"/>
      <c r="R60" s="52">
        <f>'Proposed Rates'!V22</f>
        <v>15.97</v>
      </c>
    </row>
    <row r="61" spans="1:18" ht="13" x14ac:dyDescent="0.3">
      <c r="A61" s="6"/>
      <c r="D61" t="s">
        <v>51</v>
      </c>
      <c r="F61" s="16"/>
      <c r="G61" s="16"/>
      <c r="H61" s="16"/>
      <c r="I61" s="16"/>
      <c r="J61" s="16"/>
      <c r="K61" s="16"/>
      <c r="L61" s="73" t="s">
        <v>704</v>
      </c>
      <c r="M61" s="73" t="s">
        <v>702</v>
      </c>
      <c r="O61" s="35" t="str">
        <f>'Proposed Rates'!E22</f>
        <v>R2.5</v>
      </c>
      <c r="P61" s="48"/>
      <c r="Q61" s="35"/>
      <c r="R61" s="53" t="str">
        <f>'Proposed Rates'!M22</f>
        <v>R2</v>
      </c>
    </row>
    <row r="62" spans="1:18" ht="13" x14ac:dyDescent="0.3">
      <c r="A62" s="6"/>
      <c r="F62" s="16"/>
      <c r="G62" s="16"/>
      <c r="H62" s="16"/>
      <c r="I62" s="16"/>
      <c r="J62" s="16"/>
      <c r="K62" s="16"/>
      <c r="L62" s="16"/>
      <c r="M62" s="16"/>
      <c r="O62" s="35"/>
      <c r="P62" s="48"/>
      <c r="Q62" s="35"/>
      <c r="R62" s="54"/>
    </row>
    <row r="63" spans="1:18" ht="13" x14ac:dyDescent="0.3">
      <c r="A63" s="6">
        <f>'Proposed Rates'!A23</f>
        <v>38000</v>
      </c>
      <c r="C63" s="18" t="str">
        <f>'Proposed Rates'!C23</f>
        <v>Services Steel</v>
      </c>
      <c r="F63" s="12"/>
      <c r="G63" s="12"/>
      <c r="H63" s="12"/>
      <c r="I63" s="12"/>
      <c r="J63" s="12"/>
      <c r="K63" s="12"/>
      <c r="L63" s="12"/>
      <c r="M63" s="12"/>
      <c r="P63" s="42"/>
      <c r="R63" s="18"/>
    </row>
    <row r="64" spans="1:18" ht="13" x14ac:dyDescent="0.3">
      <c r="A64" s="6"/>
      <c r="D64" t="s">
        <v>47</v>
      </c>
      <c r="F64" s="13"/>
      <c r="G64" s="13">
        <v>11.1</v>
      </c>
      <c r="H64" s="13"/>
      <c r="I64" s="13">
        <v>7.1</v>
      </c>
      <c r="J64" s="13">
        <v>7</v>
      </c>
      <c r="K64" s="13"/>
      <c r="L64" s="13">
        <v>3.57</v>
      </c>
      <c r="M64" s="13">
        <v>2.4700000000000002</v>
      </c>
      <c r="O64" s="3">
        <f>'Proposed Rates'!J23</f>
        <v>0.04</v>
      </c>
      <c r="P64" s="45"/>
      <c r="Q64" s="3"/>
      <c r="R64" s="50">
        <f>'Proposed Rates'!X23</f>
        <v>4.2999999999999997E-2</v>
      </c>
    </row>
    <row r="65" spans="1:18" ht="13" x14ac:dyDescent="0.3">
      <c r="A65" s="6"/>
      <c r="D65" t="s">
        <v>79</v>
      </c>
      <c r="F65" s="14"/>
      <c r="G65" s="14"/>
      <c r="H65" s="14"/>
      <c r="I65" s="14"/>
      <c r="J65" s="14"/>
      <c r="K65" s="14"/>
      <c r="L65" s="14"/>
      <c r="M65" s="14"/>
      <c r="O65" s="34">
        <f>'Proposed Rates'!F23</f>
        <v>52</v>
      </c>
      <c r="P65" s="46"/>
      <c r="Q65" s="34"/>
      <c r="R65" s="51">
        <f>'Proposed Rates'!N23</f>
        <v>52</v>
      </c>
    </row>
    <row r="66" spans="1:18" ht="13" x14ac:dyDescent="0.3">
      <c r="A66" s="6"/>
      <c r="D66" t="s">
        <v>48</v>
      </c>
      <c r="F66" s="13"/>
      <c r="G66" s="13">
        <v>12.3</v>
      </c>
      <c r="H66" s="13"/>
      <c r="I66" s="13">
        <v>11.8</v>
      </c>
      <c r="J66" s="13">
        <v>7.6</v>
      </c>
      <c r="K66" s="13"/>
      <c r="L66" s="13">
        <v>57</v>
      </c>
      <c r="M66" s="13">
        <v>57</v>
      </c>
      <c r="O66" s="3">
        <f>'Proposed Rates'!G23</f>
        <v>38.299999999999997</v>
      </c>
      <c r="P66" s="45"/>
      <c r="Q66" s="3"/>
      <c r="R66" s="50">
        <f>'Proposed Rates'!S23</f>
        <v>39.320137264024254</v>
      </c>
    </row>
    <row r="67" spans="1:18" ht="13" x14ac:dyDescent="0.3">
      <c r="A67" s="6"/>
      <c r="D67" t="s">
        <v>49</v>
      </c>
      <c r="F67" s="14"/>
      <c r="G67" s="14">
        <v>-125</v>
      </c>
      <c r="H67" s="14"/>
      <c r="I67" s="14">
        <v>-80</v>
      </c>
      <c r="J67" s="14">
        <v>-80</v>
      </c>
      <c r="K67" s="14"/>
      <c r="L67" s="14">
        <v>-100</v>
      </c>
      <c r="M67" s="14">
        <v>-50</v>
      </c>
      <c r="O67" s="34">
        <f>'Proposed Rates'!H23</f>
        <v>-125</v>
      </c>
      <c r="P67" s="46"/>
      <c r="Q67" s="34"/>
      <c r="R67" s="51">
        <f>'Proposed Rates'!O23</f>
        <v>-130</v>
      </c>
    </row>
    <row r="68" spans="1:18" ht="13" x14ac:dyDescent="0.3">
      <c r="A68" s="6"/>
      <c r="D68" t="s">
        <v>50</v>
      </c>
      <c r="F68" s="15"/>
      <c r="G68" s="15">
        <v>89.06</v>
      </c>
      <c r="H68" s="15"/>
      <c r="I68" s="15"/>
      <c r="J68" s="15">
        <v>126.57</v>
      </c>
      <c r="K68" s="15"/>
      <c r="L68" s="16"/>
      <c r="M68" s="16"/>
      <c r="O68" s="4">
        <f>'Proposed Rates'!I23</f>
        <v>72</v>
      </c>
      <c r="P68" s="47"/>
      <c r="Q68" s="4"/>
      <c r="R68" s="52">
        <f>'Proposed Rates'!V23</f>
        <v>60.94</v>
      </c>
    </row>
    <row r="69" spans="1:18" ht="13" x14ac:dyDescent="0.3">
      <c r="A69" s="6"/>
      <c r="D69" t="s">
        <v>51</v>
      </c>
      <c r="F69" s="16"/>
      <c r="G69" s="16"/>
      <c r="H69" s="16"/>
      <c r="I69" s="16"/>
      <c r="J69" s="16"/>
      <c r="K69" s="16"/>
      <c r="O69" s="35" t="str">
        <f>'Proposed Rates'!E23</f>
        <v>R0.5</v>
      </c>
      <c r="P69" s="48"/>
      <c r="Q69" s="35"/>
      <c r="R69" s="53" t="str">
        <f>'Proposed Rates'!M23</f>
        <v>R0.5</v>
      </c>
    </row>
    <row r="70" spans="1:18" ht="13" x14ac:dyDescent="0.3">
      <c r="A70" s="6"/>
      <c r="F70" s="16"/>
      <c r="G70" s="16"/>
      <c r="H70" s="16"/>
      <c r="I70" s="16"/>
      <c r="J70" s="16"/>
      <c r="K70" s="16"/>
      <c r="L70" s="16"/>
      <c r="M70" s="16"/>
      <c r="O70" s="35"/>
      <c r="P70" s="48"/>
      <c r="Q70" s="35"/>
      <c r="R70" s="54"/>
    </row>
    <row r="71" spans="1:18" ht="13" x14ac:dyDescent="0.3">
      <c r="A71" s="6">
        <f>'Proposed Rates'!A24</f>
        <v>38002</v>
      </c>
      <c r="C71" s="18" t="str">
        <f>'Proposed Rates'!C24</f>
        <v>Services Plastic</v>
      </c>
      <c r="F71" s="12"/>
      <c r="G71" s="12"/>
      <c r="H71" s="12"/>
      <c r="I71" s="12"/>
      <c r="J71" s="12"/>
      <c r="K71" s="12"/>
      <c r="L71" s="12"/>
      <c r="M71" s="12"/>
      <c r="P71" s="42"/>
      <c r="R71" s="18"/>
    </row>
    <row r="72" spans="1:18" ht="13" x14ac:dyDescent="0.3">
      <c r="A72" s="6"/>
      <c r="D72" t="s">
        <v>47</v>
      </c>
      <c r="F72" s="13"/>
      <c r="G72" s="13">
        <v>3.4</v>
      </c>
      <c r="H72" s="13"/>
      <c r="I72" s="13">
        <v>3.8</v>
      </c>
      <c r="J72" s="13">
        <v>3.9</v>
      </c>
      <c r="K72" s="13"/>
      <c r="L72" s="13"/>
      <c r="M72" s="13"/>
      <c r="O72" s="3">
        <f>'Proposed Rates'!J24</f>
        <v>2.7E-2</v>
      </c>
      <c r="P72" s="45"/>
      <c r="Q72" s="3"/>
      <c r="R72" s="50">
        <f>'Proposed Rates'!X24</f>
        <v>3.1E-2</v>
      </c>
    </row>
    <row r="73" spans="1:18" ht="13" x14ac:dyDescent="0.3">
      <c r="A73" s="6"/>
      <c r="D73" t="s">
        <v>79</v>
      </c>
      <c r="F73" s="14"/>
      <c r="G73" s="14"/>
      <c r="H73" s="14"/>
      <c r="I73" s="14"/>
      <c r="J73" s="14"/>
      <c r="K73" s="14"/>
      <c r="L73" s="14"/>
      <c r="M73" s="14"/>
      <c r="O73" s="34">
        <f>'Proposed Rates'!F24</f>
        <v>55</v>
      </c>
      <c r="P73" s="46"/>
      <c r="Q73" s="34"/>
      <c r="R73" s="51">
        <f>'Proposed Rates'!N24</f>
        <v>55</v>
      </c>
    </row>
    <row r="74" spans="1:18" ht="13" x14ac:dyDescent="0.3">
      <c r="A74" s="6"/>
      <c r="D74" t="s">
        <v>48</v>
      </c>
      <c r="F74" s="13"/>
      <c r="G74" s="13">
        <v>26</v>
      </c>
      <c r="H74" s="13"/>
      <c r="I74" s="13">
        <v>27</v>
      </c>
      <c r="J74" s="13">
        <v>23.1</v>
      </c>
      <c r="K74" s="13"/>
      <c r="L74" s="13"/>
      <c r="M74" s="13"/>
      <c r="O74" s="3">
        <f>'Proposed Rates'!G24</f>
        <v>46</v>
      </c>
      <c r="P74" s="45"/>
      <c r="Q74" s="3"/>
      <c r="R74" s="50">
        <f>'Proposed Rates'!S24</f>
        <v>46.094449152257631</v>
      </c>
    </row>
    <row r="75" spans="1:18" ht="13" x14ac:dyDescent="0.3">
      <c r="A75" s="6"/>
      <c r="D75" t="s">
        <v>49</v>
      </c>
      <c r="F75" s="14"/>
      <c r="G75" s="14">
        <v>-15</v>
      </c>
      <c r="H75" s="14"/>
      <c r="I75" s="14">
        <v>-35</v>
      </c>
      <c r="J75" s="14">
        <v>-30</v>
      </c>
      <c r="K75" s="14"/>
      <c r="L75" s="14"/>
      <c r="M75" s="14"/>
      <c r="O75" s="34">
        <f>'Proposed Rates'!H24</f>
        <v>-68</v>
      </c>
      <c r="P75" s="46"/>
      <c r="Q75" s="34"/>
      <c r="R75" s="51">
        <f>'Proposed Rates'!O24</f>
        <v>-75</v>
      </c>
    </row>
    <row r="76" spans="1:18" ht="13" x14ac:dyDescent="0.3">
      <c r="A76" s="6"/>
      <c r="D76" t="s">
        <v>50</v>
      </c>
      <c r="F76" s="15"/>
      <c r="G76" s="15">
        <v>26.91</v>
      </c>
      <c r="H76" s="15"/>
      <c r="I76" s="15"/>
      <c r="J76" s="15">
        <v>39.380000000000003</v>
      </c>
      <c r="K76" s="15"/>
      <c r="L76" s="15"/>
      <c r="M76" s="15"/>
      <c r="O76" s="4">
        <f>'Proposed Rates'!I24</f>
        <v>44.8</v>
      </c>
      <c r="P76" s="47"/>
      <c r="Q76" s="4"/>
      <c r="R76" s="52">
        <f>'Proposed Rates'!V24</f>
        <v>33.299999999999997</v>
      </c>
    </row>
    <row r="77" spans="1:18" ht="13" x14ac:dyDescent="0.3">
      <c r="A77" s="6"/>
      <c r="D77" t="s">
        <v>51</v>
      </c>
      <c r="F77" s="16"/>
      <c r="G77" s="16"/>
      <c r="H77" s="16"/>
      <c r="I77" s="16"/>
      <c r="J77" s="16"/>
      <c r="K77" s="16"/>
      <c r="L77" s="15"/>
      <c r="M77" s="15"/>
      <c r="O77" s="35" t="str">
        <f>'Proposed Rates'!E24</f>
        <v>R1.5</v>
      </c>
      <c r="P77" s="48"/>
      <c r="Q77" s="35"/>
      <c r="R77" s="53" t="str">
        <f>'Proposed Rates'!M24</f>
        <v>R2.5</v>
      </c>
    </row>
    <row r="78" spans="1:18" ht="13" x14ac:dyDescent="0.3">
      <c r="A78" s="6"/>
      <c r="F78" s="16"/>
      <c r="G78" s="16"/>
      <c r="H78" s="16"/>
      <c r="I78" s="16"/>
      <c r="J78" s="16"/>
      <c r="K78" s="16"/>
      <c r="L78" s="16"/>
      <c r="M78" s="16"/>
      <c r="O78" s="35"/>
      <c r="P78" s="48"/>
      <c r="Q78" s="35"/>
      <c r="R78" s="54"/>
    </row>
    <row r="79" spans="1:18" ht="13" x14ac:dyDescent="0.3">
      <c r="A79" s="6">
        <f>'Proposed Rates'!A25</f>
        <v>38100</v>
      </c>
      <c r="C79" s="18" t="str">
        <f>'Proposed Rates'!C25</f>
        <v>Meters</v>
      </c>
      <c r="F79" s="12"/>
      <c r="G79" s="12"/>
      <c r="H79" s="12"/>
      <c r="I79" s="12"/>
      <c r="J79" s="12"/>
      <c r="K79" s="12"/>
      <c r="L79" s="12"/>
      <c r="M79" s="12"/>
      <c r="P79" s="42"/>
      <c r="R79" s="18"/>
    </row>
    <row r="80" spans="1:18" ht="13" x14ac:dyDescent="0.3">
      <c r="A80" s="6"/>
      <c r="D80" t="s">
        <v>47</v>
      </c>
      <c r="F80" s="13"/>
      <c r="G80" s="13">
        <v>3.4</v>
      </c>
      <c r="H80" s="13"/>
      <c r="I80" s="13">
        <v>4.2</v>
      </c>
      <c r="J80" s="13">
        <v>4.5</v>
      </c>
      <c r="K80" s="13"/>
      <c r="L80" s="13">
        <v>2.04</v>
      </c>
      <c r="M80" s="13">
        <v>1.69</v>
      </c>
      <c r="O80" s="3">
        <f>'Proposed Rates'!J25</f>
        <v>0.05</v>
      </c>
      <c r="P80" s="45"/>
      <c r="Q80" s="3"/>
      <c r="R80" s="50">
        <f>'Proposed Rates'!X25</f>
        <v>4.7E-2</v>
      </c>
    </row>
    <row r="81" spans="1:18" ht="13" x14ac:dyDescent="0.3">
      <c r="A81" s="6"/>
      <c r="D81" t="s">
        <v>79</v>
      </c>
      <c r="F81" s="14"/>
      <c r="G81" s="14"/>
      <c r="H81" s="14"/>
      <c r="I81" s="14"/>
      <c r="J81" s="14"/>
      <c r="K81" s="14"/>
      <c r="L81" s="14"/>
      <c r="M81" s="14"/>
      <c r="O81" s="34">
        <f>'Proposed Rates'!F25</f>
        <v>19</v>
      </c>
      <c r="P81" s="46"/>
      <c r="Q81" s="34"/>
      <c r="R81" s="51">
        <f>'Proposed Rates'!N25</f>
        <v>20</v>
      </c>
    </row>
    <row r="82" spans="1:18" ht="13" x14ac:dyDescent="0.3">
      <c r="A82" s="6"/>
      <c r="D82" t="s">
        <v>48</v>
      </c>
      <c r="F82" s="13"/>
      <c r="G82" s="13">
        <v>17.8</v>
      </c>
      <c r="H82" s="13"/>
      <c r="I82" s="13">
        <v>14.5</v>
      </c>
      <c r="J82" s="13">
        <v>16.8</v>
      </c>
      <c r="K82" s="13"/>
      <c r="L82" s="13">
        <v>50</v>
      </c>
      <c r="M82" s="13">
        <v>50</v>
      </c>
      <c r="O82" s="3">
        <f>'Proposed Rates'!G25</f>
        <v>11.7</v>
      </c>
      <c r="P82" s="45"/>
      <c r="Q82" s="3"/>
      <c r="R82" s="50">
        <f>'Proposed Rates'!S25</f>
        <v>12.361035694693776</v>
      </c>
    </row>
    <row r="83" spans="1:18" ht="13" x14ac:dyDescent="0.3">
      <c r="A83" s="6"/>
      <c r="D83" t="s">
        <v>49</v>
      </c>
      <c r="F83" s="16"/>
      <c r="G83" s="16">
        <v>0</v>
      </c>
      <c r="H83" s="14"/>
      <c r="I83" s="14">
        <v>0.2</v>
      </c>
      <c r="J83" s="14">
        <v>0.2</v>
      </c>
      <c r="K83" s="14"/>
      <c r="L83" s="14">
        <v>0.2</v>
      </c>
      <c r="M83" s="14">
        <v>5</v>
      </c>
      <c r="O83" s="34">
        <f>'Proposed Rates'!H25</f>
        <v>3</v>
      </c>
      <c r="P83" s="46"/>
      <c r="Q83" s="34"/>
      <c r="R83" s="51">
        <f>'Proposed Rates'!O25</f>
        <v>0</v>
      </c>
    </row>
    <row r="84" spans="1:18" ht="13" x14ac:dyDescent="0.3">
      <c r="A84" s="6"/>
      <c r="D84" t="s">
        <v>50</v>
      </c>
      <c r="F84" s="15"/>
      <c r="G84" s="15">
        <v>39.49</v>
      </c>
      <c r="H84" s="15"/>
      <c r="I84" s="15"/>
      <c r="J84" s="15">
        <v>23.93</v>
      </c>
      <c r="K84" s="15"/>
      <c r="L84" s="15"/>
      <c r="M84" s="15"/>
      <c r="O84" s="4">
        <f>'Proposed Rates'!I25</f>
        <v>37.799999999999997</v>
      </c>
      <c r="P84" s="47"/>
      <c r="Q84" s="4"/>
      <c r="R84" s="52">
        <f>'Proposed Rates'!V25</f>
        <v>41.38</v>
      </c>
    </row>
    <row r="85" spans="1:18" ht="13" x14ac:dyDescent="0.3">
      <c r="A85" s="6"/>
      <c r="D85" t="s">
        <v>51</v>
      </c>
      <c r="F85" s="16"/>
      <c r="G85" s="16"/>
      <c r="H85" s="16"/>
      <c r="I85" s="16"/>
      <c r="J85" s="16"/>
      <c r="K85" s="16"/>
      <c r="L85" s="16" t="s">
        <v>28</v>
      </c>
      <c r="M85" s="16" t="s">
        <v>28</v>
      </c>
      <c r="O85" s="35" t="str">
        <f>'Proposed Rates'!E25</f>
        <v>R2</v>
      </c>
      <c r="P85" s="48"/>
      <c r="Q85" s="35"/>
      <c r="R85" s="53" t="str">
        <f>'Proposed Rates'!M25</f>
        <v>R2</v>
      </c>
    </row>
    <row r="86" spans="1:18" ht="13" x14ac:dyDescent="0.3">
      <c r="A86" s="6"/>
      <c r="F86" s="16"/>
      <c r="G86" s="16"/>
      <c r="H86" s="16"/>
      <c r="I86" s="16"/>
      <c r="J86" s="16"/>
      <c r="K86" s="16"/>
      <c r="L86" s="16"/>
      <c r="M86" s="16"/>
      <c r="O86" s="35"/>
      <c r="P86" s="48"/>
      <c r="Q86" s="35"/>
      <c r="R86" s="54"/>
    </row>
    <row r="87" spans="1:18" ht="13" x14ac:dyDescent="0.3">
      <c r="A87" s="6">
        <f>'Proposed Rates'!A26</f>
        <v>38200</v>
      </c>
      <c r="C87" s="18" t="str">
        <f>'Proposed Rates'!C26</f>
        <v>Meter Installations</v>
      </c>
      <c r="F87" s="12"/>
      <c r="G87" s="12"/>
      <c r="H87" s="12"/>
      <c r="I87" s="12"/>
      <c r="J87" s="12"/>
      <c r="K87" s="12"/>
      <c r="L87" s="12"/>
      <c r="M87" s="12"/>
      <c r="P87" s="42"/>
      <c r="R87" s="18"/>
    </row>
    <row r="88" spans="1:18" ht="13" x14ac:dyDescent="0.3">
      <c r="A88" s="6"/>
      <c r="D88" t="s">
        <v>47</v>
      </c>
      <c r="F88" s="13"/>
      <c r="G88" s="13">
        <v>3</v>
      </c>
      <c r="H88" s="13"/>
      <c r="I88" s="13">
        <v>3.5</v>
      </c>
      <c r="J88" s="13">
        <v>4.5</v>
      </c>
      <c r="K88" s="13"/>
      <c r="L88" s="13">
        <v>1.86</v>
      </c>
      <c r="M88" s="13">
        <v>2.19</v>
      </c>
      <c r="O88" s="3">
        <f>'Proposed Rates'!J26</f>
        <v>2.1999999999999999E-2</v>
      </c>
      <c r="P88" s="45"/>
      <c r="Q88" s="3"/>
      <c r="R88" s="50">
        <f>'Proposed Rates'!X26</f>
        <v>2.6000000000000002E-2</v>
      </c>
    </row>
    <row r="89" spans="1:18" ht="13" x14ac:dyDescent="0.3">
      <c r="A89" s="6"/>
      <c r="D89" t="s">
        <v>79</v>
      </c>
      <c r="F89" s="14"/>
      <c r="G89" s="14"/>
      <c r="H89" s="14"/>
      <c r="I89" s="14"/>
      <c r="J89" s="14"/>
      <c r="K89" s="14"/>
      <c r="L89" s="14"/>
      <c r="M89" s="14"/>
      <c r="O89" s="34">
        <f>'Proposed Rates'!F26</f>
        <v>44</v>
      </c>
      <c r="P89" s="46"/>
      <c r="Q89" s="34"/>
      <c r="R89" s="51">
        <f>'Proposed Rates'!N26</f>
        <v>45</v>
      </c>
    </row>
    <row r="90" spans="1:18" ht="13" x14ac:dyDescent="0.3">
      <c r="A90" s="6"/>
      <c r="D90" t="s">
        <v>48</v>
      </c>
      <c r="F90" s="13"/>
      <c r="G90" s="13">
        <v>26</v>
      </c>
      <c r="H90" s="13"/>
      <c r="I90" s="13">
        <v>21</v>
      </c>
      <c r="J90" s="13">
        <v>17.600000000000001</v>
      </c>
      <c r="K90" s="13"/>
      <c r="L90" s="13">
        <v>50</v>
      </c>
      <c r="M90" s="13">
        <v>45</v>
      </c>
      <c r="O90" s="3">
        <f>'Proposed Rates'!G26</f>
        <v>35.6</v>
      </c>
      <c r="P90" s="45"/>
      <c r="Q90" s="3"/>
      <c r="R90" s="50">
        <f>'Proposed Rates'!S26</f>
        <v>36.949157945704926</v>
      </c>
    </row>
    <row r="91" spans="1:18" ht="13" x14ac:dyDescent="0.3">
      <c r="A91" s="6"/>
      <c r="D91" t="s">
        <v>49</v>
      </c>
      <c r="F91" s="14"/>
      <c r="G91" s="14">
        <v>-5</v>
      </c>
      <c r="H91" s="14"/>
      <c r="I91" s="14">
        <v>-10</v>
      </c>
      <c r="J91" s="14">
        <v>-25</v>
      </c>
      <c r="K91" s="14"/>
      <c r="L91" s="16">
        <v>0</v>
      </c>
      <c r="M91" s="16">
        <v>0</v>
      </c>
      <c r="O91" s="34">
        <f>'Proposed Rates'!H26</f>
        <v>-25</v>
      </c>
      <c r="P91" s="46"/>
      <c r="Q91" s="34"/>
      <c r="R91" s="51">
        <f>'Proposed Rates'!O26</f>
        <v>-30</v>
      </c>
    </row>
    <row r="92" spans="1:18" ht="13" x14ac:dyDescent="0.3">
      <c r="A92" s="6"/>
      <c r="D92" t="s">
        <v>50</v>
      </c>
      <c r="F92" s="15"/>
      <c r="G92" s="15">
        <v>26.9</v>
      </c>
      <c r="H92" s="15"/>
      <c r="I92" s="15"/>
      <c r="J92" s="15">
        <v>46.2</v>
      </c>
      <c r="K92" s="15"/>
      <c r="L92" s="15"/>
      <c r="M92" s="15"/>
      <c r="O92" s="4">
        <f>'Proposed Rates'!I26</f>
        <v>46.2</v>
      </c>
      <c r="P92" s="47"/>
      <c r="Q92" s="4"/>
      <c r="R92" s="52">
        <f>'Proposed Rates'!V26</f>
        <v>33.15</v>
      </c>
    </row>
    <row r="93" spans="1:18" ht="13" x14ac:dyDescent="0.3">
      <c r="A93" s="6"/>
      <c r="D93" t="s">
        <v>51</v>
      </c>
      <c r="F93" s="16"/>
      <c r="G93" s="16"/>
      <c r="H93" s="16"/>
      <c r="I93" s="16"/>
      <c r="J93" s="16"/>
      <c r="K93" s="16"/>
      <c r="L93" s="16" t="s">
        <v>28</v>
      </c>
      <c r="M93" s="16" t="s">
        <v>28</v>
      </c>
      <c r="O93" s="35" t="str">
        <f>'Proposed Rates'!E26</f>
        <v>R1</v>
      </c>
      <c r="P93" s="48"/>
      <c r="Q93" s="35"/>
      <c r="R93" s="53" t="str">
        <f>'Proposed Rates'!M26</f>
        <v>R1.5</v>
      </c>
    </row>
    <row r="94" spans="1:18" ht="13" x14ac:dyDescent="0.3">
      <c r="A94" s="6"/>
      <c r="F94" s="16"/>
      <c r="G94" s="16"/>
      <c r="H94" s="16"/>
      <c r="I94" s="16"/>
      <c r="J94" s="16"/>
      <c r="K94" s="16"/>
      <c r="L94" s="16"/>
      <c r="M94" s="16"/>
      <c r="O94" s="35"/>
      <c r="P94" s="48"/>
      <c r="Q94" s="35"/>
      <c r="R94" s="54"/>
    </row>
    <row r="95" spans="1:18" ht="13" x14ac:dyDescent="0.3">
      <c r="A95" s="6">
        <f>'Proposed Rates'!A27</f>
        <v>38300</v>
      </c>
      <c r="C95" s="18" t="str">
        <f>'Proposed Rates'!C27</f>
        <v>House Regulators</v>
      </c>
      <c r="F95" s="12"/>
      <c r="G95" s="12"/>
      <c r="H95" s="12"/>
      <c r="I95" s="12"/>
      <c r="J95" s="12"/>
      <c r="K95" s="12"/>
      <c r="L95" s="12"/>
      <c r="M95" s="12"/>
      <c r="P95" s="42"/>
      <c r="R95" s="18"/>
    </row>
    <row r="96" spans="1:18" ht="13" x14ac:dyDescent="0.3">
      <c r="A96" s="6"/>
      <c r="D96" t="s">
        <v>47</v>
      </c>
      <c r="F96" s="13"/>
      <c r="G96" s="13">
        <v>3.4</v>
      </c>
      <c r="H96" s="13"/>
      <c r="I96" s="13">
        <v>4.4000000000000004</v>
      </c>
      <c r="J96" s="13">
        <v>5</v>
      </c>
      <c r="K96" s="13"/>
      <c r="L96" s="13">
        <v>2.09</v>
      </c>
      <c r="M96" s="13">
        <v>1.99</v>
      </c>
      <c r="O96" s="3">
        <f>'Proposed Rates'!J27</f>
        <v>1.7999999999999999E-2</v>
      </c>
      <c r="P96" s="45"/>
      <c r="Q96" s="3"/>
      <c r="R96" s="50">
        <f>'Proposed Rates'!X27</f>
        <v>0.02</v>
      </c>
    </row>
    <row r="97" spans="1:18" ht="13" x14ac:dyDescent="0.3">
      <c r="A97" s="6"/>
      <c r="D97" t="s">
        <v>79</v>
      </c>
      <c r="F97" s="14"/>
      <c r="G97" s="14"/>
      <c r="H97" s="14"/>
      <c r="I97" s="14"/>
      <c r="J97" s="14"/>
      <c r="K97" s="14"/>
      <c r="L97" s="14"/>
      <c r="M97" s="14"/>
      <c r="O97" s="34">
        <f>'Proposed Rates'!F27</f>
        <v>42</v>
      </c>
      <c r="P97" s="46"/>
      <c r="Q97" s="34"/>
      <c r="R97" s="51">
        <f>'Proposed Rates'!N27</f>
        <v>42</v>
      </c>
    </row>
    <row r="98" spans="1:18" ht="13" x14ac:dyDescent="0.3">
      <c r="A98" s="6"/>
      <c r="D98" t="s">
        <v>48</v>
      </c>
      <c r="F98" s="13"/>
      <c r="G98" s="13">
        <v>18</v>
      </c>
      <c r="H98" s="13"/>
      <c r="I98" s="13">
        <v>11.7</v>
      </c>
      <c r="J98" s="13">
        <v>10.9</v>
      </c>
      <c r="K98" s="13"/>
      <c r="L98" s="13">
        <v>50</v>
      </c>
      <c r="M98" s="13">
        <v>45</v>
      </c>
      <c r="O98" s="3">
        <f>'Proposed Rates'!G27</f>
        <v>28.9</v>
      </c>
      <c r="P98" s="45"/>
      <c r="Q98" s="3"/>
      <c r="R98" s="50">
        <f>'Proposed Rates'!S27</f>
        <v>28.224161583133867</v>
      </c>
    </row>
    <row r="99" spans="1:18" ht="13" x14ac:dyDescent="0.3">
      <c r="A99" s="6"/>
      <c r="D99" t="s">
        <v>49</v>
      </c>
      <c r="F99" s="16"/>
      <c r="G99" s="16">
        <v>0</v>
      </c>
      <c r="H99" s="14"/>
      <c r="I99" s="16">
        <v>0</v>
      </c>
      <c r="J99" s="16">
        <v>0</v>
      </c>
      <c r="K99" s="14"/>
      <c r="L99" s="16">
        <v>0</v>
      </c>
      <c r="M99" s="16">
        <v>0</v>
      </c>
      <c r="O99">
        <f>'Proposed Rates'!H27</f>
        <v>0</v>
      </c>
      <c r="P99" s="46"/>
      <c r="Q99" s="34"/>
      <c r="R99" s="86">
        <f>'Proposed Rates'!O27</f>
        <v>0</v>
      </c>
    </row>
    <row r="100" spans="1:18" ht="13" x14ac:dyDescent="0.3">
      <c r="A100" s="6"/>
      <c r="D100" t="s">
        <v>50</v>
      </c>
      <c r="F100" s="15"/>
      <c r="G100" s="15">
        <v>39.29</v>
      </c>
      <c r="H100" s="15"/>
      <c r="I100" s="15"/>
      <c r="J100" s="15">
        <v>45.98</v>
      </c>
      <c r="K100" s="15"/>
      <c r="L100" s="15"/>
      <c r="M100" s="15"/>
      <c r="O100" s="4">
        <f>'Proposed Rates'!I27</f>
        <v>47.7</v>
      </c>
      <c r="P100" s="47"/>
      <c r="Q100" s="4"/>
      <c r="R100" s="52">
        <f>'Proposed Rates'!V27</f>
        <v>42.44</v>
      </c>
    </row>
    <row r="101" spans="1:18" ht="13" x14ac:dyDescent="0.3">
      <c r="A101" s="6"/>
      <c r="D101" t="s">
        <v>51</v>
      </c>
      <c r="F101" s="16"/>
      <c r="G101" s="16"/>
      <c r="H101" s="16"/>
      <c r="I101" s="16"/>
      <c r="J101" s="16"/>
      <c r="K101" s="16"/>
      <c r="L101" s="16" t="s">
        <v>25</v>
      </c>
      <c r="M101" s="16" t="s">
        <v>25</v>
      </c>
      <c r="O101" s="35" t="str">
        <f>'Proposed Rates'!E27</f>
        <v>S1</v>
      </c>
      <c r="P101" s="48"/>
      <c r="Q101" s="35"/>
      <c r="R101" s="53" t="str">
        <f>'Proposed Rates'!M27</f>
        <v>S1.5</v>
      </c>
    </row>
    <row r="102" spans="1:18" ht="13" x14ac:dyDescent="0.3">
      <c r="A102" s="6"/>
      <c r="F102" s="16"/>
      <c r="G102" s="16"/>
      <c r="H102" s="16"/>
      <c r="I102" s="16"/>
      <c r="J102" s="16"/>
      <c r="K102" s="16"/>
      <c r="L102" s="16"/>
      <c r="M102" s="16"/>
      <c r="O102" s="35"/>
      <c r="P102" s="48"/>
      <c r="Q102" s="35"/>
      <c r="R102" s="54"/>
    </row>
    <row r="103" spans="1:18" ht="13" x14ac:dyDescent="0.3">
      <c r="A103" s="6">
        <f>'Proposed Rates'!A28</f>
        <v>38400</v>
      </c>
      <c r="C103" s="18" t="str">
        <f>'Proposed Rates'!C28</f>
        <v>House Regulator Installs</v>
      </c>
      <c r="F103" s="12"/>
      <c r="G103" s="12"/>
      <c r="H103" s="12"/>
      <c r="I103" s="12"/>
      <c r="J103" s="12"/>
      <c r="K103" s="12"/>
      <c r="L103" s="12"/>
      <c r="M103" s="12"/>
      <c r="P103" s="42"/>
      <c r="R103" s="18"/>
    </row>
    <row r="104" spans="1:18" ht="13" x14ac:dyDescent="0.3">
      <c r="A104" s="6"/>
      <c r="D104" t="s">
        <v>47</v>
      </c>
      <c r="F104" s="13"/>
      <c r="G104" s="13">
        <v>3</v>
      </c>
      <c r="H104" s="13"/>
      <c r="I104" s="13">
        <v>3.7</v>
      </c>
      <c r="J104" s="13">
        <v>3.2</v>
      </c>
      <c r="K104" s="13"/>
      <c r="L104" s="72" t="s">
        <v>651</v>
      </c>
      <c r="M104" s="72" t="s">
        <v>651</v>
      </c>
      <c r="O104" s="3">
        <f>'Proposed Rates'!J28</f>
        <v>1.9E-2</v>
      </c>
      <c r="P104" s="45"/>
      <c r="Q104" s="3"/>
      <c r="R104" s="50">
        <f>'Proposed Rates'!X28</f>
        <v>2.4E-2</v>
      </c>
    </row>
    <row r="105" spans="1:18" ht="13" x14ac:dyDescent="0.3">
      <c r="A105" s="6"/>
      <c r="D105" t="s">
        <v>79</v>
      </c>
      <c r="F105" s="14"/>
      <c r="G105" s="14"/>
      <c r="H105" s="14"/>
      <c r="I105" s="14"/>
      <c r="J105" s="14"/>
      <c r="K105" s="14"/>
      <c r="L105" s="72" t="s">
        <v>651</v>
      </c>
      <c r="M105" s="72" t="s">
        <v>651</v>
      </c>
      <c r="O105" s="34">
        <f>'Proposed Rates'!F28</f>
        <v>47</v>
      </c>
      <c r="P105" s="46"/>
      <c r="Q105" s="34"/>
      <c r="R105" s="51">
        <f>'Proposed Rates'!N28</f>
        <v>47</v>
      </c>
    </row>
    <row r="106" spans="1:18" ht="13" x14ac:dyDescent="0.3">
      <c r="A106" s="6"/>
      <c r="D106" t="s">
        <v>48</v>
      </c>
      <c r="F106" s="13"/>
      <c r="G106" s="13">
        <v>24</v>
      </c>
      <c r="H106" s="13"/>
      <c r="I106" s="13">
        <v>20</v>
      </c>
      <c r="J106" s="13">
        <v>16.399999999999999</v>
      </c>
      <c r="K106" s="13"/>
      <c r="L106" s="72" t="s">
        <v>651</v>
      </c>
      <c r="M106" s="72" t="s">
        <v>651</v>
      </c>
      <c r="O106" s="3">
        <f>'Proposed Rates'!G28</f>
        <v>37.299999999999997</v>
      </c>
      <c r="P106" s="45"/>
      <c r="Q106" s="3"/>
      <c r="R106" s="50">
        <f>'Proposed Rates'!S28</f>
        <v>37.904258814550687</v>
      </c>
    </row>
    <row r="107" spans="1:18" ht="13" x14ac:dyDescent="0.3">
      <c r="A107" s="6"/>
      <c r="D107" t="s">
        <v>49</v>
      </c>
      <c r="F107" s="14"/>
      <c r="G107" s="14">
        <v>-5</v>
      </c>
      <c r="H107" s="14"/>
      <c r="I107" s="14">
        <v>-10</v>
      </c>
      <c r="J107" s="16">
        <v>0</v>
      </c>
      <c r="K107" s="14"/>
      <c r="L107" s="72" t="s">
        <v>651</v>
      </c>
      <c r="M107" s="72" t="s">
        <v>651</v>
      </c>
      <c r="O107" s="34">
        <f>'Proposed Rates'!H28</f>
        <v>-25</v>
      </c>
      <c r="P107" s="46"/>
      <c r="Q107" s="34"/>
      <c r="R107" s="51">
        <f>'Proposed Rates'!O28</f>
        <v>-30</v>
      </c>
    </row>
    <row r="108" spans="1:18" ht="13" x14ac:dyDescent="0.3">
      <c r="A108" s="6"/>
      <c r="D108" t="s">
        <v>50</v>
      </c>
      <c r="F108" s="15"/>
      <c r="G108" s="15">
        <v>32.1</v>
      </c>
      <c r="H108" s="15"/>
      <c r="I108" s="15"/>
      <c r="J108" s="15">
        <v>47.72</v>
      </c>
      <c r="K108" s="15"/>
      <c r="L108" s="72" t="s">
        <v>651</v>
      </c>
      <c r="M108" s="72" t="s">
        <v>651</v>
      </c>
      <c r="O108" s="4">
        <f>'Proposed Rates'!I28</f>
        <v>55.7</v>
      </c>
      <c r="P108" s="47"/>
      <c r="Q108" s="4"/>
      <c r="R108" s="52">
        <f>'Proposed Rates'!V28</f>
        <v>38.130000000000003</v>
      </c>
    </row>
    <row r="109" spans="1:18" ht="13" x14ac:dyDescent="0.3">
      <c r="A109" s="6"/>
      <c r="D109" t="s">
        <v>51</v>
      </c>
      <c r="F109" s="16"/>
      <c r="G109" s="16"/>
      <c r="H109" s="16"/>
      <c r="I109" s="16"/>
      <c r="J109" s="16"/>
      <c r="K109" s="16"/>
      <c r="L109" s="72" t="s">
        <v>651</v>
      </c>
      <c r="M109" s="72" t="s">
        <v>651</v>
      </c>
      <c r="O109" s="35" t="str">
        <f>'Proposed Rates'!E28</f>
        <v>R1</v>
      </c>
      <c r="P109" s="48"/>
      <c r="Q109" s="35"/>
      <c r="R109" s="53" t="str">
        <f>'Proposed Rates'!M28</f>
        <v>R1.5</v>
      </c>
    </row>
    <row r="110" spans="1:18" ht="13" x14ac:dyDescent="0.3">
      <c r="A110" s="6"/>
      <c r="F110" s="12"/>
      <c r="G110" s="12"/>
      <c r="H110" s="12"/>
      <c r="I110" s="12"/>
      <c r="J110" s="12"/>
      <c r="K110" s="12"/>
      <c r="L110" s="12"/>
      <c r="M110" s="12"/>
      <c r="P110" s="42"/>
      <c r="R110" s="54"/>
    </row>
    <row r="111" spans="1:18" ht="13" x14ac:dyDescent="0.3">
      <c r="A111" s="6">
        <f>'Proposed Rates'!A29</f>
        <v>38500</v>
      </c>
      <c r="C111" s="18" t="str">
        <f>'Proposed Rates'!C29</f>
        <v>Meas &amp; Reg Station Eqp Ind</v>
      </c>
      <c r="F111" s="12"/>
      <c r="G111" s="12"/>
      <c r="H111" s="12"/>
      <c r="I111" s="12"/>
      <c r="J111" s="12"/>
      <c r="K111" s="12"/>
      <c r="L111" s="12"/>
      <c r="M111" s="12"/>
      <c r="P111" s="42"/>
      <c r="R111" s="18"/>
    </row>
    <row r="112" spans="1:18" ht="13" x14ac:dyDescent="0.3">
      <c r="A112" s="6"/>
      <c r="D112" t="s">
        <v>47</v>
      </c>
      <c r="F112" s="13"/>
      <c r="G112" s="13">
        <v>7.8</v>
      </c>
      <c r="H112" s="13"/>
      <c r="I112" s="13">
        <v>3.2</v>
      </c>
      <c r="J112" s="13">
        <v>3.4</v>
      </c>
      <c r="K112" s="13"/>
      <c r="L112" s="72" t="s">
        <v>651</v>
      </c>
      <c r="M112" s="72" t="s">
        <v>651</v>
      </c>
      <c r="O112" s="3">
        <f>'Proposed Rates'!J29</f>
        <v>2.3E-2</v>
      </c>
      <c r="P112" s="45"/>
      <c r="Q112" s="3"/>
      <c r="R112" s="50">
        <f>'Proposed Rates'!X29</f>
        <v>2.2000000000000002E-2</v>
      </c>
    </row>
    <row r="113" spans="1:18" ht="13" x14ac:dyDescent="0.3">
      <c r="A113" s="6"/>
      <c r="D113" t="s">
        <v>79</v>
      </c>
      <c r="F113" s="14"/>
      <c r="G113" s="14"/>
      <c r="H113" s="14"/>
      <c r="I113" s="14"/>
      <c r="J113" s="14"/>
      <c r="K113" s="14"/>
      <c r="L113" s="72" t="s">
        <v>651</v>
      </c>
      <c r="M113" s="72" t="s">
        <v>651</v>
      </c>
      <c r="O113" s="34">
        <f>'Proposed Rates'!F29</f>
        <v>37</v>
      </c>
      <c r="P113" s="46"/>
      <c r="Q113" s="34"/>
      <c r="R113" s="51">
        <f>'Proposed Rates'!N29</f>
        <v>39</v>
      </c>
    </row>
    <row r="114" spans="1:18" ht="13" x14ac:dyDescent="0.3">
      <c r="A114" s="6"/>
      <c r="D114" t="s">
        <v>48</v>
      </c>
      <c r="F114" s="13"/>
      <c r="G114" s="13">
        <v>10</v>
      </c>
      <c r="H114" s="13"/>
      <c r="I114" s="13">
        <v>21</v>
      </c>
      <c r="J114" s="13">
        <v>16.8</v>
      </c>
      <c r="K114" s="13"/>
      <c r="L114" s="72" t="s">
        <v>651</v>
      </c>
      <c r="M114" s="72" t="s">
        <v>651</v>
      </c>
      <c r="O114" s="3">
        <f>'Proposed Rates'!G29</f>
        <v>20</v>
      </c>
      <c r="P114" s="45"/>
      <c r="Q114" s="3"/>
      <c r="R114" s="50">
        <f>'Proposed Rates'!S29</f>
        <v>24.262388357540377</v>
      </c>
    </row>
    <row r="115" spans="1:18" ht="13" x14ac:dyDescent="0.3">
      <c r="A115" s="6"/>
      <c r="D115" t="s">
        <v>49</v>
      </c>
      <c r="F115" s="16"/>
      <c r="G115" s="16">
        <v>0</v>
      </c>
      <c r="H115" s="14"/>
      <c r="I115" s="16">
        <v>0</v>
      </c>
      <c r="J115" s="16">
        <v>0</v>
      </c>
      <c r="K115" s="14"/>
      <c r="L115" s="72" t="s">
        <v>651</v>
      </c>
      <c r="M115" s="72" t="s">
        <v>651</v>
      </c>
      <c r="O115" s="34">
        <f>'Proposed Rates'!H29</f>
        <v>-2</v>
      </c>
      <c r="P115" s="46"/>
      <c r="Q115" s="34"/>
      <c r="R115" s="51">
        <f>'Proposed Rates'!O29</f>
        <v>0</v>
      </c>
    </row>
    <row r="116" spans="1:18" ht="13" x14ac:dyDescent="0.3">
      <c r="A116" s="6"/>
      <c r="D116" t="s">
        <v>50</v>
      </c>
      <c r="F116" s="15"/>
      <c r="G116" s="15">
        <v>21.96</v>
      </c>
      <c r="H116" s="15"/>
      <c r="I116" s="15"/>
      <c r="J116" s="15">
        <v>43.55</v>
      </c>
      <c r="K116" s="15"/>
      <c r="L116" s="72" t="s">
        <v>651</v>
      </c>
      <c r="M116" s="72" t="s">
        <v>651</v>
      </c>
      <c r="O116" s="4">
        <f>'Proposed Rates'!I29</f>
        <v>56.9</v>
      </c>
      <c r="P116" s="47"/>
      <c r="Q116" s="4"/>
      <c r="R116" s="52">
        <f>'Proposed Rates'!V29</f>
        <v>45.91</v>
      </c>
    </row>
    <row r="117" spans="1:18" ht="13" x14ac:dyDescent="0.3">
      <c r="A117" s="6"/>
      <c r="D117" t="s">
        <v>51</v>
      </c>
      <c r="F117" s="16"/>
      <c r="G117" s="16"/>
      <c r="H117" s="16"/>
      <c r="I117" s="16"/>
      <c r="J117" s="16"/>
      <c r="K117" s="16"/>
      <c r="L117" s="72" t="s">
        <v>651</v>
      </c>
      <c r="M117" s="72" t="s">
        <v>651</v>
      </c>
      <c r="O117" s="35" t="str">
        <f>'Proposed Rates'!E29</f>
        <v>R3</v>
      </c>
      <c r="P117" s="48"/>
      <c r="Q117" s="35"/>
      <c r="R117" s="53" t="str">
        <f>'Proposed Rates'!M29</f>
        <v>R2.5</v>
      </c>
    </row>
    <row r="118" spans="1:18" ht="13" x14ac:dyDescent="0.3">
      <c r="A118" s="6"/>
      <c r="F118" s="12"/>
      <c r="G118" s="12"/>
      <c r="H118" s="12"/>
      <c r="I118" s="12"/>
      <c r="J118" s="12"/>
      <c r="K118" s="12"/>
      <c r="L118" s="12"/>
      <c r="M118" s="12"/>
      <c r="P118" s="42"/>
      <c r="R118" s="54"/>
    </row>
    <row r="119" spans="1:18" ht="13" x14ac:dyDescent="0.3">
      <c r="A119" s="6">
        <f>'Proposed Rates'!A30</f>
        <v>38600</v>
      </c>
      <c r="C119" s="18" t="str">
        <f>'Proposed Rates'!C30</f>
        <v>Other Property Cust Premise</v>
      </c>
      <c r="F119" s="12"/>
      <c r="G119" s="12"/>
      <c r="H119" s="12"/>
      <c r="I119" s="12"/>
      <c r="J119" s="12"/>
      <c r="K119" s="12"/>
      <c r="L119" s="12"/>
      <c r="M119" s="12"/>
      <c r="P119" s="42"/>
      <c r="R119" s="18"/>
    </row>
    <row r="120" spans="1:18" ht="13" x14ac:dyDescent="0.3">
      <c r="A120" s="6"/>
      <c r="D120" t="s">
        <v>47</v>
      </c>
      <c r="F120" s="72" t="s">
        <v>651</v>
      </c>
      <c r="G120" s="72" t="s">
        <v>651</v>
      </c>
      <c r="H120" s="13"/>
      <c r="I120" s="72" t="s">
        <v>651</v>
      </c>
      <c r="J120" s="72" t="s">
        <v>651</v>
      </c>
      <c r="K120" s="13"/>
      <c r="L120" s="72" t="s">
        <v>651</v>
      </c>
      <c r="M120" s="72" t="s">
        <v>651</v>
      </c>
      <c r="O120" s="3">
        <f>'Proposed Rates'!J30</f>
        <v>6.7000000000000004E-2</v>
      </c>
      <c r="P120" s="45"/>
      <c r="Q120" s="3"/>
      <c r="R120" s="50">
        <f>'Proposed Rates'!X30</f>
        <v>6.7000000000000004E-2</v>
      </c>
    </row>
    <row r="121" spans="1:18" ht="13" x14ac:dyDescent="0.3">
      <c r="A121" s="6"/>
      <c r="D121" t="s">
        <v>79</v>
      </c>
      <c r="F121" s="72" t="s">
        <v>651</v>
      </c>
      <c r="G121" s="72" t="s">
        <v>651</v>
      </c>
      <c r="H121" s="14"/>
      <c r="I121" s="72" t="s">
        <v>651</v>
      </c>
      <c r="J121" s="72" t="s">
        <v>651</v>
      </c>
      <c r="K121" s="14"/>
      <c r="L121" s="72" t="s">
        <v>651</v>
      </c>
      <c r="M121" s="72" t="s">
        <v>651</v>
      </c>
      <c r="O121" s="34">
        <f>'Proposed Rates'!F30</f>
        <v>15</v>
      </c>
      <c r="P121" s="46"/>
      <c r="Q121" s="34"/>
      <c r="R121" s="51">
        <f>'Proposed Rates'!N30</f>
        <v>15</v>
      </c>
    </row>
    <row r="122" spans="1:18" ht="13" x14ac:dyDescent="0.3">
      <c r="A122" s="6"/>
      <c r="D122" t="s">
        <v>48</v>
      </c>
      <c r="F122" s="72" t="s">
        <v>651</v>
      </c>
      <c r="G122" s="72" t="s">
        <v>651</v>
      </c>
      <c r="H122" s="13"/>
      <c r="I122" s="72" t="s">
        <v>651</v>
      </c>
      <c r="J122" s="72" t="s">
        <v>651</v>
      </c>
      <c r="K122" s="13"/>
      <c r="L122" s="72" t="s">
        <v>651</v>
      </c>
      <c r="M122" s="72" t="s">
        <v>651</v>
      </c>
      <c r="O122" s="3">
        <f>'Proposed Rates'!G30</f>
        <v>15</v>
      </c>
      <c r="P122" s="45"/>
      <c r="Q122" s="3"/>
      <c r="R122" s="50">
        <f>'Proposed Rates'!S30</f>
        <v>15</v>
      </c>
    </row>
    <row r="123" spans="1:18" ht="13" x14ac:dyDescent="0.3">
      <c r="A123" s="6"/>
      <c r="D123" t="s">
        <v>49</v>
      </c>
      <c r="F123" s="72" t="s">
        <v>651</v>
      </c>
      <c r="G123" s="72" t="s">
        <v>651</v>
      </c>
      <c r="H123" s="14"/>
      <c r="I123" s="72" t="s">
        <v>651</v>
      </c>
      <c r="J123" s="72" t="s">
        <v>651</v>
      </c>
      <c r="K123" s="14"/>
      <c r="L123" s="72" t="s">
        <v>651</v>
      </c>
      <c r="M123" s="72" t="s">
        <v>651</v>
      </c>
      <c r="O123">
        <f>'Proposed Rates'!H30</f>
        <v>0</v>
      </c>
      <c r="P123" s="46"/>
      <c r="Q123" s="34"/>
      <c r="R123" s="86">
        <f>'Proposed Rates'!O30</f>
        <v>0</v>
      </c>
    </row>
    <row r="124" spans="1:18" ht="13" x14ac:dyDescent="0.3">
      <c r="A124" s="6"/>
      <c r="D124" t="s">
        <v>50</v>
      </c>
      <c r="F124" s="72" t="s">
        <v>651</v>
      </c>
      <c r="G124" s="72" t="s">
        <v>651</v>
      </c>
      <c r="H124" s="15"/>
      <c r="I124" s="72" t="s">
        <v>651</v>
      </c>
      <c r="J124" s="72" t="s">
        <v>651</v>
      </c>
      <c r="K124" s="15"/>
      <c r="L124" s="72" t="s">
        <v>651</v>
      </c>
      <c r="M124" s="72" t="s">
        <v>651</v>
      </c>
      <c r="O124">
        <f>'Proposed Rates'!I30</f>
        <v>0</v>
      </c>
      <c r="P124" s="46"/>
      <c r="Q124" s="34"/>
      <c r="R124" s="86">
        <f>'Proposed Rates'!V30</f>
        <v>0</v>
      </c>
    </row>
    <row r="125" spans="1:18" ht="13" x14ac:dyDescent="0.3">
      <c r="A125" s="6"/>
      <c r="D125" t="s">
        <v>51</v>
      </c>
      <c r="F125" s="72" t="s">
        <v>651</v>
      </c>
      <c r="G125" s="72" t="s">
        <v>651</v>
      </c>
      <c r="H125" s="16"/>
      <c r="I125" s="72" t="s">
        <v>651</v>
      </c>
      <c r="J125" s="72" t="s">
        <v>651</v>
      </c>
      <c r="K125" s="16"/>
      <c r="L125" s="72" t="s">
        <v>651</v>
      </c>
      <c r="M125" s="72" t="s">
        <v>651</v>
      </c>
      <c r="O125" s="35" t="str">
        <f>'Proposed Rates'!E30</f>
        <v>R1</v>
      </c>
      <c r="P125" s="48"/>
      <c r="Q125" s="35"/>
      <c r="R125" s="53" t="str">
        <f>'Proposed Rates'!M30</f>
        <v>R1</v>
      </c>
    </row>
    <row r="126" spans="1:18" ht="13" x14ac:dyDescent="0.3">
      <c r="A126" s="6"/>
      <c r="F126" s="12"/>
      <c r="G126" s="12"/>
      <c r="H126" s="12"/>
      <c r="I126" s="12"/>
      <c r="J126" s="12"/>
      <c r="K126" s="12"/>
      <c r="L126" s="12"/>
      <c r="M126" s="12"/>
      <c r="P126" s="42"/>
      <c r="R126" s="54"/>
    </row>
    <row r="127" spans="1:18" ht="13" x14ac:dyDescent="0.3">
      <c r="A127" s="6">
        <f>'Proposed Rates'!A31</f>
        <v>38700</v>
      </c>
      <c r="C127" s="18" t="str">
        <f>'Proposed Rates'!C31</f>
        <v>Other Equipment</v>
      </c>
      <c r="F127" s="12"/>
      <c r="G127" s="12"/>
      <c r="H127" s="12"/>
      <c r="I127" s="12"/>
      <c r="J127" s="12"/>
      <c r="K127" s="12"/>
      <c r="L127" s="12"/>
      <c r="M127" s="12"/>
      <c r="P127" s="42"/>
      <c r="R127" s="18"/>
    </row>
    <row r="128" spans="1:18" ht="13" x14ac:dyDescent="0.3">
      <c r="A128" s="6"/>
      <c r="D128" t="s">
        <v>47</v>
      </c>
      <c r="F128" s="13"/>
      <c r="G128" s="13">
        <v>4.7</v>
      </c>
      <c r="H128" s="13"/>
      <c r="I128" s="13">
        <v>2.9</v>
      </c>
      <c r="J128" s="13">
        <v>4.5</v>
      </c>
      <c r="K128" s="13"/>
      <c r="L128" s="72" t="s">
        <v>651</v>
      </c>
      <c r="M128" s="72" t="s">
        <v>651</v>
      </c>
      <c r="O128" s="3">
        <f>'Proposed Rates'!J31</f>
        <v>0.03</v>
      </c>
      <c r="P128" s="45"/>
      <c r="Q128" s="3"/>
      <c r="R128" s="50">
        <f>'Proposed Rates'!X31</f>
        <v>0.03</v>
      </c>
    </row>
    <row r="129" spans="1:18" ht="13" x14ac:dyDescent="0.3">
      <c r="A129" s="6"/>
      <c r="D129" t="s">
        <v>79</v>
      </c>
      <c r="F129" s="14"/>
      <c r="G129" s="14"/>
      <c r="H129" s="14"/>
      <c r="I129" s="14"/>
      <c r="J129" s="14"/>
      <c r="K129" s="14"/>
      <c r="L129" s="72" t="s">
        <v>651</v>
      </c>
      <c r="M129" s="72" t="s">
        <v>651</v>
      </c>
      <c r="O129" s="34">
        <f>'Proposed Rates'!F31</f>
        <v>24</v>
      </c>
      <c r="P129" s="46"/>
      <c r="Q129" s="34"/>
      <c r="R129" s="51">
        <f>'Proposed Rates'!N31</f>
        <v>27</v>
      </c>
    </row>
    <row r="130" spans="1:18" ht="13" x14ac:dyDescent="0.3">
      <c r="A130" s="6"/>
      <c r="D130" t="s">
        <v>48</v>
      </c>
      <c r="F130" s="13"/>
      <c r="G130" s="13">
        <v>17.600000000000001</v>
      </c>
      <c r="H130" s="13"/>
      <c r="I130" s="13">
        <v>10.4</v>
      </c>
      <c r="J130" s="13">
        <v>14.8</v>
      </c>
      <c r="K130" s="13"/>
      <c r="L130" s="72" t="s">
        <v>651</v>
      </c>
      <c r="M130" s="72" t="s">
        <v>651</v>
      </c>
      <c r="O130" s="3">
        <f>'Proposed Rates'!G31</f>
        <v>17.100000000000001</v>
      </c>
      <c r="P130" s="45"/>
      <c r="Q130" s="3"/>
      <c r="R130" s="50">
        <f>'Proposed Rates'!S31</f>
        <v>19.953017994548844</v>
      </c>
    </row>
    <row r="131" spans="1:18" ht="13" x14ac:dyDescent="0.3">
      <c r="A131" s="6"/>
      <c r="D131" t="s">
        <v>49</v>
      </c>
      <c r="F131" s="16"/>
      <c r="G131" s="16">
        <v>0</v>
      </c>
      <c r="H131" s="14"/>
      <c r="I131" s="16">
        <v>0</v>
      </c>
      <c r="J131" s="16">
        <v>0</v>
      </c>
      <c r="K131" s="14"/>
      <c r="L131" s="72" t="s">
        <v>651</v>
      </c>
      <c r="M131" s="72" t="s">
        <v>651</v>
      </c>
      <c r="O131">
        <f>'Proposed Rates'!H31</f>
        <v>0</v>
      </c>
      <c r="P131" s="46"/>
      <c r="Q131" s="34"/>
      <c r="R131" s="86">
        <f>'Proposed Rates'!O31</f>
        <v>0</v>
      </c>
    </row>
    <row r="132" spans="1:18" ht="13" x14ac:dyDescent="0.3">
      <c r="A132" s="6"/>
      <c r="D132" t="s">
        <v>50</v>
      </c>
      <c r="F132" s="15"/>
      <c r="G132" s="15">
        <v>17.54</v>
      </c>
      <c r="H132" s="15"/>
      <c r="I132" s="15"/>
      <c r="J132" s="15">
        <v>32.93</v>
      </c>
      <c r="K132" s="15"/>
      <c r="L132" s="72" t="s">
        <v>651</v>
      </c>
      <c r="M132" s="72" t="s">
        <v>651</v>
      </c>
      <c r="O132" s="4">
        <f>'Proposed Rates'!I31</f>
        <v>48.3</v>
      </c>
      <c r="P132" s="47"/>
      <c r="Q132" s="4"/>
      <c r="R132" s="52">
        <f>'Proposed Rates'!V31</f>
        <v>39.56</v>
      </c>
    </row>
    <row r="133" spans="1:18" ht="13" x14ac:dyDescent="0.3">
      <c r="A133" s="6"/>
      <c r="D133" t="s">
        <v>51</v>
      </c>
      <c r="F133" s="16"/>
      <c r="G133" s="16"/>
      <c r="H133" s="16"/>
      <c r="I133" s="16"/>
      <c r="J133" s="16"/>
      <c r="K133" s="16"/>
      <c r="L133" s="72" t="s">
        <v>651</v>
      </c>
      <c r="M133" s="72" t="s">
        <v>651</v>
      </c>
      <c r="O133" s="35" t="str">
        <f>'Proposed Rates'!E31</f>
        <v>L2</v>
      </c>
      <c r="P133" s="48"/>
      <c r="Q133" s="35"/>
      <c r="R133" s="53" t="str">
        <f>'Proposed Rates'!M31</f>
        <v>L1.5</v>
      </c>
    </row>
    <row r="134" spans="1:18" ht="13" x14ac:dyDescent="0.3">
      <c r="A134" s="1"/>
      <c r="F134" s="16"/>
      <c r="G134" s="16"/>
      <c r="H134" s="16"/>
      <c r="I134" s="16"/>
      <c r="J134" s="16"/>
      <c r="K134" s="16"/>
      <c r="L134" s="16"/>
      <c r="M134" s="16"/>
      <c r="O134" s="35"/>
      <c r="P134" s="48"/>
      <c r="Q134" s="35"/>
      <c r="R134" s="54"/>
    </row>
    <row r="135" spans="1:18" ht="13" x14ac:dyDescent="0.3">
      <c r="A135" s="1"/>
      <c r="C135" s="21" t="str">
        <f>'Proposed Rates'!C36</f>
        <v>Transportation Equipment</v>
      </c>
      <c r="D135" s="21"/>
      <c r="F135" s="16"/>
      <c r="G135" s="16"/>
      <c r="H135" s="16"/>
      <c r="I135" s="16"/>
      <c r="J135" s="16"/>
      <c r="K135" s="16"/>
      <c r="L135" s="16"/>
      <c r="M135" s="16"/>
      <c r="O135" s="35"/>
      <c r="P135" s="48"/>
      <c r="Q135" s="35"/>
      <c r="R135" s="54"/>
    </row>
    <row r="136" spans="1:18" ht="13" x14ac:dyDescent="0.3">
      <c r="A136" s="1"/>
      <c r="F136" s="16"/>
      <c r="G136" s="16"/>
      <c r="H136" s="16"/>
      <c r="I136" s="16"/>
      <c r="J136" s="16"/>
      <c r="K136" s="16"/>
      <c r="L136" s="16"/>
      <c r="M136" s="16"/>
      <c r="O136" s="35"/>
      <c r="P136" s="48"/>
      <c r="Q136" s="35"/>
      <c r="R136" s="54"/>
    </row>
    <row r="137" spans="1:18" ht="13" x14ac:dyDescent="0.3">
      <c r="A137" s="6">
        <v>39200</v>
      </c>
      <c r="C137" s="18" t="s">
        <v>705</v>
      </c>
      <c r="F137" s="14"/>
      <c r="G137" s="14"/>
      <c r="H137" s="12"/>
      <c r="I137" s="14"/>
      <c r="J137" s="14"/>
      <c r="K137" s="12"/>
      <c r="L137" s="14"/>
      <c r="M137" s="14"/>
      <c r="O137" s="4"/>
      <c r="P137" s="47"/>
      <c r="Q137" s="4"/>
      <c r="R137" s="18"/>
    </row>
    <row r="138" spans="1:18" ht="13" x14ac:dyDescent="0.3">
      <c r="A138" s="1"/>
      <c r="D138" t="s">
        <v>47</v>
      </c>
      <c r="F138" s="72" t="s">
        <v>651</v>
      </c>
      <c r="G138" s="72" t="s">
        <v>651</v>
      </c>
      <c r="H138" s="13"/>
      <c r="I138" s="72">
        <v>2.7</v>
      </c>
      <c r="J138" s="72">
        <v>7.5</v>
      </c>
      <c r="K138" s="13"/>
      <c r="L138" s="72">
        <v>9</v>
      </c>
      <c r="M138" s="72">
        <v>9</v>
      </c>
      <c r="O138" s="3"/>
      <c r="P138" s="45"/>
      <c r="Q138" s="3"/>
      <c r="R138" s="50">
        <f>'Proposed Rates'!X30</f>
        <v>6.7000000000000004E-2</v>
      </c>
    </row>
    <row r="139" spans="1:18" ht="13" x14ac:dyDescent="0.3">
      <c r="A139" s="1"/>
      <c r="D139" t="s">
        <v>79</v>
      </c>
      <c r="F139" s="72" t="s">
        <v>651</v>
      </c>
      <c r="G139" s="72" t="s">
        <v>651</v>
      </c>
      <c r="H139" s="14"/>
      <c r="I139" s="72"/>
      <c r="J139" s="72"/>
      <c r="K139" s="14"/>
      <c r="L139" s="72"/>
      <c r="M139" s="72"/>
      <c r="O139" s="34"/>
      <c r="P139" s="46"/>
      <c r="Q139" s="34"/>
      <c r="R139" s="51">
        <f>'Proposed Rates'!N30</f>
        <v>15</v>
      </c>
    </row>
    <row r="140" spans="1:18" ht="13" x14ac:dyDescent="0.3">
      <c r="A140" s="1"/>
      <c r="D140" t="s">
        <v>48</v>
      </c>
      <c r="F140" s="72" t="s">
        <v>651</v>
      </c>
      <c r="G140" s="72" t="s">
        <v>651</v>
      </c>
      <c r="H140" s="13"/>
      <c r="I140" s="72">
        <v>7.2</v>
      </c>
      <c r="J140" s="72">
        <v>6.3</v>
      </c>
      <c r="K140" s="13"/>
      <c r="L140" s="72">
        <v>10</v>
      </c>
      <c r="M140" s="72">
        <v>10</v>
      </c>
      <c r="O140" s="3"/>
      <c r="P140" s="45"/>
      <c r="Q140" s="3"/>
      <c r="R140" s="50">
        <f>'Proposed Rates'!S30</f>
        <v>15</v>
      </c>
    </row>
    <row r="141" spans="1:18" ht="13" x14ac:dyDescent="0.3">
      <c r="A141" s="1"/>
      <c r="D141" t="s">
        <v>49</v>
      </c>
      <c r="F141" s="72" t="s">
        <v>651</v>
      </c>
      <c r="G141" s="72" t="s">
        <v>651</v>
      </c>
      <c r="H141" s="14"/>
      <c r="I141" s="72">
        <v>0</v>
      </c>
      <c r="J141" s="72">
        <v>10</v>
      </c>
      <c r="K141" s="14"/>
      <c r="L141" s="72">
        <v>10</v>
      </c>
      <c r="M141" s="72">
        <v>10</v>
      </c>
      <c r="O141" s="34"/>
      <c r="P141" s="46"/>
      <c r="Q141" s="34"/>
      <c r="R141" s="51">
        <f>'Proposed Rates'!O30</f>
        <v>0</v>
      </c>
    </row>
    <row r="142" spans="1:18" ht="13" x14ac:dyDescent="0.3">
      <c r="A142" s="1"/>
      <c r="D142" t="s">
        <v>50</v>
      </c>
      <c r="F142" s="72" t="s">
        <v>651</v>
      </c>
      <c r="G142" s="72" t="s">
        <v>651</v>
      </c>
      <c r="H142" s="15"/>
      <c r="I142" s="72"/>
      <c r="J142" s="72">
        <v>42.75</v>
      </c>
      <c r="K142" s="15"/>
      <c r="L142" s="72"/>
      <c r="M142" s="72"/>
      <c r="O142" s="4"/>
      <c r="P142" s="47"/>
      <c r="Q142" s="4"/>
      <c r="R142" s="52">
        <f>'Proposed Rates'!V30</f>
        <v>0</v>
      </c>
    </row>
    <row r="143" spans="1:18" ht="13" x14ac:dyDescent="0.3">
      <c r="A143" s="1"/>
      <c r="D143" t="s">
        <v>51</v>
      </c>
      <c r="F143" s="72" t="s">
        <v>651</v>
      </c>
      <c r="G143" s="72" t="s">
        <v>651</v>
      </c>
      <c r="H143" s="16"/>
      <c r="I143" s="72"/>
      <c r="J143" s="72"/>
      <c r="K143" s="16"/>
      <c r="L143" s="16" t="s">
        <v>652</v>
      </c>
      <c r="M143" s="16" t="s">
        <v>652</v>
      </c>
      <c r="O143" s="35"/>
      <c r="P143" s="48"/>
      <c r="Q143" s="35"/>
      <c r="R143" s="53" t="str">
        <f>'Proposed Rates'!M30</f>
        <v>R1</v>
      </c>
    </row>
    <row r="144" spans="1:18" ht="13" x14ac:dyDescent="0.3">
      <c r="A144" s="1"/>
      <c r="F144" s="16"/>
      <c r="G144" s="16"/>
      <c r="H144" s="16"/>
      <c r="I144" s="16"/>
      <c r="J144" s="16"/>
      <c r="K144" s="16"/>
      <c r="L144" s="16"/>
      <c r="M144" s="16"/>
      <c r="O144" s="35"/>
      <c r="P144" s="48"/>
      <c r="Q144" s="35"/>
      <c r="R144" s="54"/>
    </row>
    <row r="145" spans="1:18" ht="13" x14ac:dyDescent="0.3">
      <c r="A145" s="6">
        <f>'Proposed Rates'!A38</f>
        <v>39201</v>
      </c>
      <c r="C145" s="18" t="str">
        <f>'Proposed Rates'!C38</f>
        <v>Vehicles up to 1/2 Tons</v>
      </c>
      <c r="F145" s="14"/>
      <c r="G145" s="14"/>
      <c r="H145" s="12"/>
      <c r="I145" s="14"/>
      <c r="J145" s="14"/>
      <c r="K145" s="12"/>
      <c r="L145" s="14"/>
      <c r="M145" s="14"/>
      <c r="O145" s="4"/>
      <c r="P145" s="47"/>
      <c r="Q145" s="4"/>
      <c r="R145" s="18"/>
    </row>
    <row r="146" spans="1:18" ht="13" x14ac:dyDescent="0.3">
      <c r="A146" s="1"/>
      <c r="D146" t="s">
        <v>47</v>
      </c>
      <c r="F146" s="13"/>
      <c r="G146" s="13">
        <v>13.1</v>
      </c>
      <c r="H146" s="13"/>
      <c r="I146" s="72" t="s">
        <v>651</v>
      </c>
      <c r="J146" s="72" t="s">
        <v>651</v>
      </c>
      <c r="K146" s="13"/>
      <c r="L146" s="72" t="s">
        <v>651</v>
      </c>
      <c r="M146" s="72" t="s">
        <v>651</v>
      </c>
      <c r="O146" s="3">
        <f>'Proposed Rates'!J38</f>
        <v>7.0000000000000007E-2</v>
      </c>
      <c r="P146" s="45"/>
      <c r="Q146" s="3"/>
      <c r="R146" s="50">
        <f>'Proposed Rates'!X38</f>
        <v>9.5000000000000001E-2</v>
      </c>
    </row>
    <row r="147" spans="1:18" ht="13" x14ac:dyDescent="0.3">
      <c r="A147" s="1"/>
      <c r="D147" t="s">
        <v>79</v>
      </c>
      <c r="F147" s="14"/>
      <c r="G147" s="14"/>
      <c r="H147" s="14"/>
      <c r="I147" s="72" t="s">
        <v>651</v>
      </c>
      <c r="J147" s="72" t="s">
        <v>651</v>
      </c>
      <c r="K147" s="14"/>
      <c r="L147" s="72" t="s">
        <v>651</v>
      </c>
      <c r="M147" s="72" t="s">
        <v>651</v>
      </c>
      <c r="O147" s="34">
        <f>'Proposed Rates'!F38</f>
        <v>9</v>
      </c>
      <c r="P147" s="46"/>
      <c r="Q147" s="34"/>
      <c r="R147" s="51">
        <f>'Proposed Rates'!N38</f>
        <v>8</v>
      </c>
    </row>
    <row r="148" spans="1:18" ht="13" x14ac:dyDescent="0.3">
      <c r="A148" s="1"/>
      <c r="D148" t="s">
        <v>48</v>
      </c>
      <c r="F148" s="13"/>
      <c r="G148" s="13">
        <v>4.2</v>
      </c>
      <c r="H148" s="13"/>
      <c r="I148" s="72" t="s">
        <v>651</v>
      </c>
      <c r="J148" s="72" t="s">
        <v>651</v>
      </c>
      <c r="K148" s="13"/>
      <c r="L148" s="72" t="s">
        <v>651</v>
      </c>
      <c r="M148" s="72" t="s">
        <v>651</v>
      </c>
      <c r="O148" s="3">
        <f>'Proposed Rates'!G38</f>
        <v>5.6</v>
      </c>
      <c r="P148" s="45"/>
      <c r="Q148" s="3"/>
      <c r="R148" s="50">
        <f>'Proposed Rates'!S38</f>
        <v>5.2056941527829395</v>
      </c>
    </row>
    <row r="149" spans="1:18" ht="13" x14ac:dyDescent="0.3">
      <c r="A149" s="1"/>
      <c r="D149" t="s">
        <v>49</v>
      </c>
      <c r="F149" s="14"/>
      <c r="G149" s="14">
        <v>10</v>
      </c>
      <c r="H149" s="14"/>
      <c r="I149" s="72" t="s">
        <v>651</v>
      </c>
      <c r="J149" s="72" t="s">
        <v>651</v>
      </c>
      <c r="K149" s="14"/>
      <c r="L149" s="72" t="s">
        <v>651</v>
      </c>
      <c r="M149" s="72" t="s">
        <v>651</v>
      </c>
      <c r="O149" s="34">
        <f>'Proposed Rates'!H38</f>
        <v>11</v>
      </c>
      <c r="P149" s="46"/>
      <c r="Q149" s="34"/>
      <c r="R149" s="51">
        <f>'Proposed Rates'!O38</f>
        <v>11</v>
      </c>
    </row>
    <row r="150" spans="1:18" ht="13" x14ac:dyDescent="0.3">
      <c r="A150" s="1"/>
      <c r="D150" t="s">
        <v>50</v>
      </c>
      <c r="F150" s="15"/>
      <c r="G150" s="15">
        <v>35.119999999999997</v>
      </c>
      <c r="H150" s="15"/>
      <c r="I150" s="72" t="s">
        <v>651</v>
      </c>
      <c r="J150" s="72" t="s">
        <v>651</v>
      </c>
      <c r="K150" s="15"/>
      <c r="L150" s="72" t="s">
        <v>651</v>
      </c>
      <c r="M150" s="72" t="s">
        <v>651</v>
      </c>
      <c r="O150" s="4">
        <f>'Proposed Rates'!I38</f>
        <v>49.6</v>
      </c>
      <c r="P150" s="47"/>
      <c r="Q150" s="4"/>
      <c r="R150" s="52">
        <f>'Proposed Rates'!V38</f>
        <v>39.39</v>
      </c>
    </row>
    <row r="151" spans="1:18" ht="13" x14ac:dyDescent="0.3">
      <c r="A151" s="1"/>
      <c r="D151" t="s">
        <v>51</v>
      </c>
      <c r="F151" s="16"/>
      <c r="G151" s="16"/>
      <c r="H151" s="16"/>
      <c r="I151" s="72" t="s">
        <v>651</v>
      </c>
      <c r="J151" s="72" t="s">
        <v>651</v>
      </c>
      <c r="K151" s="16"/>
      <c r="L151" s="72" t="s">
        <v>651</v>
      </c>
      <c r="M151" s="72" t="s">
        <v>651</v>
      </c>
      <c r="O151" s="35" t="str">
        <f>'Proposed Rates'!E38</f>
        <v>L2.5</v>
      </c>
      <c r="P151" s="48"/>
      <c r="Q151" s="35"/>
      <c r="R151" s="53" t="str">
        <f>'Proposed Rates'!M38</f>
        <v>L2.5</v>
      </c>
    </row>
    <row r="152" spans="1:18" ht="13" x14ac:dyDescent="0.3">
      <c r="A152" s="1"/>
      <c r="F152" s="17"/>
      <c r="G152" s="17"/>
      <c r="H152" s="12"/>
      <c r="I152" s="17"/>
      <c r="J152" s="17"/>
      <c r="K152" s="12"/>
      <c r="L152" s="17"/>
      <c r="M152" s="17"/>
      <c r="O152" s="35"/>
      <c r="P152" s="48"/>
      <c r="Q152" s="35"/>
      <c r="R152" s="54"/>
    </row>
    <row r="153" spans="1:18" ht="13" x14ac:dyDescent="0.3">
      <c r="A153" s="6">
        <f>'Proposed Rates'!A39</f>
        <v>39202</v>
      </c>
      <c r="C153" s="18" t="str">
        <f>'Proposed Rates'!C39</f>
        <v>Vehicles from 1/2 - 1 Tons</v>
      </c>
      <c r="F153" s="14"/>
      <c r="G153" s="14"/>
      <c r="H153" s="12"/>
      <c r="I153" s="14"/>
      <c r="J153" s="14"/>
      <c r="K153" s="12"/>
      <c r="L153" s="14"/>
      <c r="M153" s="14"/>
      <c r="O153" s="4"/>
      <c r="P153" s="47"/>
      <c r="Q153" s="4"/>
      <c r="R153" s="18"/>
    </row>
    <row r="154" spans="1:18" ht="13" x14ac:dyDescent="0.3">
      <c r="A154" s="1"/>
      <c r="D154" t="s">
        <v>47</v>
      </c>
      <c r="F154" s="13"/>
      <c r="G154" s="13">
        <v>8.6</v>
      </c>
      <c r="H154" s="13"/>
      <c r="I154" s="72" t="s">
        <v>651</v>
      </c>
      <c r="J154" s="72" t="s">
        <v>651</v>
      </c>
      <c r="K154" s="13"/>
      <c r="L154" s="72" t="s">
        <v>651</v>
      </c>
      <c r="M154" s="72" t="s">
        <v>651</v>
      </c>
      <c r="O154" s="3">
        <f>'Proposed Rates'!J39</f>
        <v>5.6000000000000001E-2</v>
      </c>
      <c r="P154" s="45"/>
      <c r="Q154" s="3"/>
      <c r="R154" s="50">
        <f>'Proposed Rates'!X39</f>
        <v>7.4999999999999997E-2</v>
      </c>
    </row>
    <row r="155" spans="1:18" ht="13" x14ac:dyDescent="0.3">
      <c r="A155" s="1"/>
      <c r="D155" t="s">
        <v>79</v>
      </c>
      <c r="F155" s="14"/>
      <c r="G155" s="14"/>
      <c r="H155" s="14"/>
      <c r="I155" s="72" t="s">
        <v>651</v>
      </c>
      <c r="J155" s="72" t="s">
        <v>651</v>
      </c>
      <c r="K155" s="14"/>
      <c r="L155" s="72" t="s">
        <v>651</v>
      </c>
      <c r="M155" s="72" t="s">
        <v>651</v>
      </c>
      <c r="O155" s="34">
        <f>'Proposed Rates'!F39</f>
        <v>10</v>
      </c>
      <c r="P155" s="46"/>
      <c r="Q155" s="34"/>
      <c r="R155" s="51">
        <f>'Proposed Rates'!N39</f>
        <v>10</v>
      </c>
    </row>
    <row r="156" spans="1:18" ht="13" x14ac:dyDescent="0.3">
      <c r="A156" s="1"/>
      <c r="D156" t="s">
        <v>48</v>
      </c>
      <c r="F156" s="13"/>
      <c r="G156" s="13">
        <v>6.9</v>
      </c>
      <c r="H156" s="13"/>
      <c r="I156" s="72" t="s">
        <v>651</v>
      </c>
      <c r="J156" s="72" t="s">
        <v>651</v>
      </c>
      <c r="K156" s="13"/>
      <c r="L156" s="72" t="s">
        <v>651</v>
      </c>
      <c r="M156" s="72" t="s">
        <v>651</v>
      </c>
      <c r="O156" s="3">
        <f>'Proposed Rates'!G39</f>
        <v>6.2</v>
      </c>
      <c r="P156" s="45"/>
      <c r="Q156" s="3"/>
      <c r="R156" s="50">
        <f>'Proposed Rates'!S39</f>
        <v>5.5896089345402205</v>
      </c>
    </row>
    <row r="157" spans="1:18" ht="13" x14ac:dyDescent="0.3">
      <c r="A157" s="1"/>
      <c r="D157" t="s">
        <v>49</v>
      </c>
      <c r="F157" s="14"/>
      <c r="G157" s="14">
        <v>10</v>
      </c>
      <c r="H157" s="14"/>
      <c r="I157" s="72" t="s">
        <v>651</v>
      </c>
      <c r="J157" s="72" t="s">
        <v>651</v>
      </c>
      <c r="K157" s="14"/>
      <c r="L157" s="72" t="s">
        <v>651</v>
      </c>
      <c r="M157" s="72" t="s">
        <v>651</v>
      </c>
      <c r="O157" s="34">
        <f>'Proposed Rates'!H39</f>
        <v>11</v>
      </c>
      <c r="P157" s="46"/>
      <c r="Q157" s="34"/>
      <c r="R157" s="51">
        <f>'Proposed Rates'!O39</f>
        <v>11</v>
      </c>
    </row>
    <row r="158" spans="1:18" ht="13" x14ac:dyDescent="0.3">
      <c r="A158" s="1"/>
      <c r="D158" t="s">
        <v>50</v>
      </c>
      <c r="F158" s="15"/>
      <c r="G158" s="15">
        <v>30.93</v>
      </c>
      <c r="H158" s="15"/>
      <c r="I158" s="72" t="s">
        <v>651</v>
      </c>
      <c r="J158" s="72" t="s">
        <v>651</v>
      </c>
      <c r="K158" s="15"/>
      <c r="L158" s="72" t="s">
        <v>651</v>
      </c>
      <c r="M158" s="72" t="s">
        <v>651</v>
      </c>
      <c r="O158" s="4">
        <f>'Proposed Rates'!I39</f>
        <v>54.6</v>
      </c>
      <c r="P158" s="47"/>
      <c r="Q158" s="4"/>
      <c r="R158" s="52">
        <f>'Proposed Rates'!V39</f>
        <v>46.92</v>
      </c>
    </row>
    <row r="159" spans="1:18" ht="13" x14ac:dyDescent="0.3">
      <c r="A159" s="1"/>
      <c r="D159" t="s">
        <v>51</v>
      </c>
      <c r="F159" s="16"/>
      <c r="G159" s="16"/>
      <c r="H159" s="16"/>
      <c r="I159" s="72" t="s">
        <v>651</v>
      </c>
      <c r="J159" s="72" t="s">
        <v>651</v>
      </c>
      <c r="K159" s="16"/>
      <c r="L159" s="72" t="s">
        <v>651</v>
      </c>
      <c r="M159" s="72" t="s">
        <v>651</v>
      </c>
      <c r="O159" s="35" t="str">
        <f>'Proposed Rates'!E39</f>
        <v>L3</v>
      </c>
      <c r="P159" s="48"/>
      <c r="Q159" s="35"/>
      <c r="R159" s="53" t="str">
        <f>'Proposed Rates'!M39</f>
        <v>L3</v>
      </c>
    </row>
    <row r="160" spans="1:18" ht="13" x14ac:dyDescent="0.3">
      <c r="A160" s="1"/>
      <c r="F160" s="17"/>
      <c r="G160" s="17"/>
      <c r="H160" s="12"/>
      <c r="I160" s="17"/>
      <c r="J160" s="17"/>
      <c r="K160" s="12"/>
      <c r="L160" s="17"/>
      <c r="M160" s="17"/>
      <c r="O160" s="35"/>
      <c r="P160" s="48"/>
      <c r="Q160" s="35"/>
      <c r="R160" s="54"/>
    </row>
    <row r="161" spans="1:18" ht="13" x14ac:dyDescent="0.3">
      <c r="A161" s="6">
        <f>'Proposed Rates'!A40</f>
        <v>39204</v>
      </c>
      <c r="C161" s="18" t="str">
        <f>'Proposed Rates'!C40</f>
        <v>Trailers &amp; Other</v>
      </c>
      <c r="F161" s="14"/>
      <c r="G161" s="14"/>
      <c r="H161" s="12"/>
      <c r="I161" s="14"/>
      <c r="J161" s="14"/>
      <c r="K161" s="12"/>
      <c r="L161" s="14"/>
      <c r="M161" s="14"/>
      <c r="O161" s="4"/>
      <c r="P161" s="47"/>
      <c r="Q161" s="4"/>
      <c r="R161" s="18"/>
    </row>
    <row r="162" spans="1:18" ht="13" x14ac:dyDescent="0.3">
      <c r="A162" s="1"/>
      <c r="D162" t="s">
        <v>47</v>
      </c>
      <c r="F162" s="72" t="s">
        <v>651</v>
      </c>
      <c r="G162" s="72" t="s">
        <v>651</v>
      </c>
      <c r="H162" s="13"/>
      <c r="I162" s="72" t="s">
        <v>651</v>
      </c>
      <c r="J162" s="72" t="s">
        <v>651</v>
      </c>
      <c r="K162" s="13"/>
      <c r="L162" s="72" t="s">
        <v>651</v>
      </c>
      <c r="M162" s="72" t="s">
        <v>651</v>
      </c>
      <c r="O162" s="3">
        <f>'Proposed Rates'!J40</f>
        <v>2.9000000000000001E-2</v>
      </c>
      <c r="P162" s="45"/>
      <c r="Q162" s="3"/>
      <c r="R162" s="50">
        <f>'Proposed Rates'!X40</f>
        <v>2.4E-2</v>
      </c>
    </row>
    <row r="163" spans="1:18" ht="13" x14ac:dyDescent="0.3">
      <c r="A163" s="1"/>
      <c r="D163" t="s">
        <v>79</v>
      </c>
      <c r="F163" s="72" t="s">
        <v>651</v>
      </c>
      <c r="G163" s="72" t="s">
        <v>651</v>
      </c>
      <c r="H163" s="14"/>
      <c r="I163" s="72" t="s">
        <v>651</v>
      </c>
      <c r="J163" s="72" t="s">
        <v>651</v>
      </c>
      <c r="K163" s="14"/>
      <c r="L163" s="72" t="s">
        <v>651</v>
      </c>
      <c r="M163" s="72" t="s">
        <v>651</v>
      </c>
      <c r="O163" s="34">
        <f>'Proposed Rates'!F40</f>
        <v>27</v>
      </c>
      <c r="P163" s="46"/>
      <c r="Q163" s="34"/>
      <c r="R163" s="51">
        <f>'Proposed Rates'!N40</f>
        <v>30</v>
      </c>
    </row>
    <row r="164" spans="1:18" ht="13" x14ac:dyDescent="0.3">
      <c r="A164" s="1"/>
      <c r="D164" t="s">
        <v>48</v>
      </c>
      <c r="F164" s="72" t="s">
        <v>651</v>
      </c>
      <c r="G164" s="72" t="s">
        <v>651</v>
      </c>
      <c r="H164" s="13"/>
      <c r="I164" s="72" t="s">
        <v>651</v>
      </c>
      <c r="J164" s="72" t="s">
        <v>651</v>
      </c>
      <c r="K164" s="13"/>
      <c r="L164" s="72" t="s">
        <v>651</v>
      </c>
      <c r="M164" s="72" t="s">
        <v>651</v>
      </c>
      <c r="O164" s="3">
        <f>'Proposed Rates'!G40</f>
        <v>22.6</v>
      </c>
      <c r="P164" s="45"/>
      <c r="Q164" s="3"/>
      <c r="R164" s="50">
        <f>'Proposed Rates'!S40</f>
        <v>25.85932663673589</v>
      </c>
    </row>
    <row r="165" spans="1:18" ht="13" x14ac:dyDescent="0.3">
      <c r="A165" s="1"/>
      <c r="D165" t="s">
        <v>49</v>
      </c>
      <c r="F165" s="72" t="s">
        <v>651</v>
      </c>
      <c r="G165" s="72" t="s">
        <v>651</v>
      </c>
      <c r="H165" s="14"/>
      <c r="I165" s="72" t="s">
        <v>651</v>
      </c>
      <c r="J165" s="72" t="s">
        <v>651</v>
      </c>
      <c r="K165" s="14"/>
      <c r="L165" s="72" t="s">
        <v>651</v>
      </c>
      <c r="M165" s="72" t="s">
        <v>651</v>
      </c>
      <c r="O165" s="34">
        <f>'Proposed Rates'!H40</f>
        <v>15</v>
      </c>
      <c r="P165" s="46"/>
      <c r="Q165" s="34"/>
      <c r="R165" s="51">
        <f>'Proposed Rates'!O40</f>
        <v>20</v>
      </c>
    </row>
    <row r="166" spans="1:18" ht="13" x14ac:dyDescent="0.3">
      <c r="A166" s="1"/>
      <c r="D166" t="s">
        <v>50</v>
      </c>
      <c r="F166" s="72" t="s">
        <v>651</v>
      </c>
      <c r="G166" s="72" t="s">
        <v>651</v>
      </c>
      <c r="H166" s="15"/>
      <c r="I166" s="72" t="s">
        <v>651</v>
      </c>
      <c r="J166" s="72" t="s">
        <v>651</v>
      </c>
      <c r="K166" s="15"/>
      <c r="L166" s="72" t="s">
        <v>651</v>
      </c>
      <c r="M166" s="72" t="s">
        <v>651</v>
      </c>
      <c r="O166" s="4">
        <f>'Proposed Rates'!I40</f>
        <v>19.7</v>
      </c>
      <c r="P166" s="47"/>
      <c r="Q166" s="4"/>
      <c r="R166" s="86">
        <f>'Proposed Rates'!V40</f>
        <v>17.809999999999999</v>
      </c>
    </row>
    <row r="167" spans="1:18" ht="13" x14ac:dyDescent="0.3">
      <c r="A167" s="1"/>
      <c r="D167" t="s">
        <v>51</v>
      </c>
      <c r="F167" s="72" t="s">
        <v>651</v>
      </c>
      <c r="G167" s="72" t="s">
        <v>651</v>
      </c>
      <c r="H167" s="16"/>
      <c r="I167" s="72" t="s">
        <v>651</v>
      </c>
      <c r="J167" s="72" t="s">
        <v>651</v>
      </c>
      <c r="K167" s="16"/>
      <c r="L167" s="72" t="s">
        <v>651</v>
      </c>
      <c r="M167" s="72" t="s">
        <v>651</v>
      </c>
      <c r="O167" s="35" t="str">
        <f>'Proposed Rates'!E40</f>
        <v>R2</v>
      </c>
      <c r="P167" s="48"/>
      <c r="Q167" s="35"/>
      <c r="R167" s="53" t="str">
        <f>'Proposed Rates'!M40</f>
        <v>R1.5</v>
      </c>
    </row>
    <row r="168" spans="1:18" ht="13" x14ac:dyDescent="0.3">
      <c r="A168" s="1"/>
      <c r="F168" s="17"/>
      <c r="G168" s="17"/>
      <c r="H168" s="12"/>
      <c r="I168" s="14"/>
      <c r="J168" s="14"/>
      <c r="K168" s="12"/>
      <c r="L168" s="14"/>
      <c r="M168" s="14"/>
      <c r="O168" s="35"/>
      <c r="P168" s="48"/>
      <c r="Q168" s="35"/>
      <c r="R168" s="54"/>
    </row>
    <row r="169" spans="1:18" ht="13" x14ac:dyDescent="0.3">
      <c r="A169" s="6">
        <f>'Proposed Rates'!A41</f>
        <v>39205</v>
      </c>
      <c r="C169" s="18" t="str">
        <f>'Proposed Rates'!C41</f>
        <v>Vehicles over 1 Ton</v>
      </c>
      <c r="F169" s="14"/>
      <c r="G169" s="14"/>
      <c r="H169" s="12"/>
      <c r="I169" s="14"/>
      <c r="J169" s="14"/>
      <c r="K169" s="12"/>
      <c r="L169" s="14"/>
      <c r="M169" s="14"/>
      <c r="O169" s="4"/>
      <c r="P169" s="47"/>
      <c r="Q169" s="4"/>
      <c r="R169" s="18"/>
    </row>
    <row r="170" spans="1:18" ht="13" x14ac:dyDescent="0.3">
      <c r="A170" s="1"/>
      <c r="D170" t="s">
        <v>47</v>
      </c>
      <c r="F170" s="13"/>
      <c r="G170" s="13">
        <v>5.2</v>
      </c>
      <c r="H170" s="13"/>
      <c r="I170" s="72" t="s">
        <v>651</v>
      </c>
      <c r="J170" s="72" t="s">
        <v>651</v>
      </c>
      <c r="K170" s="13"/>
      <c r="L170" s="72" t="s">
        <v>651</v>
      </c>
      <c r="M170" s="72" t="s">
        <v>651</v>
      </c>
      <c r="O170" s="3">
        <f>'Proposed Rates'!J41</f>
        <v>6.6000000000000003E-2</v>
      </c>
      <c r="P170" s="45"/>
      <c r="Q170" s="3"/>
      <c r="R170" s="50">
        <f>'Proposed Rates'!X41</f>
        <v>5.7999999999999996E-2</v>
      </c>
    </row>
    <row r="171" spans="1:18" ht="13" x14ac:dyDescent="0.3">
      <c r="A171" s="1"/>
      <c r="D171" t="s">
        <v>79</v>
      </c>
      <c r="F171" s="14"/>
      <c r="G171" s="14"/>
      <c r="H171" s="14"/>
      <c r="I171" s="72" t="s">
        <v>651</v>
      </c>
      <c r="J171" s="72" t="s">
        <v>651</v>
      </c>
      <c r="K171" s="14"/>
      <c r="L171" s="72" t="s">
        <v>651</v>
      </c>
      <c r="M171" s="72" t="s">
        <v>651</v>
      </c>
      <c r="O171" s="34">
        <f>'Proposed Rates'!F41</f>
        <v>12</v>
      </c>
      <c r="P171" s="46"/>
      <c r="Q171" s="34"/>
      <c r="R171" s="51">
        <f>'Proposed Rates'!N41</f>
        <v>13</v>
      </c>
    </row>
    <row r="172" spans="1:18" ht="13" x14ac:dyDescent="0.3">
      <c r="A172" s="1"/>
      <c r="D172" t="s">
        <v>48</v>
      </c>
      <c r="F172" s="13"/>
      <c r="G172" s="13">
        <v>8.5</v>
      </c>
      <c r="H172" s="13"/>
      <c r="I172" s="72" t="s">
        <v>651</v>
      </c>
      <c r="J172" s="72" t="s">
        <v>651</v>
      </c>
      <c r="K172" s="13"/>
      <c r="L172" s="72" t="s">
        <v>651</v>
      </c>
      <c r="M172" s="72" t="s">
        <v>651</v>
      </c>
      <c r="O172" s="3">
        <f>'Proposed Rates'!G41</f>
        <v>6.6</v>
      </c>
      <c r="P172" s="45"/>
      <c r="Q172" s="3"/>
      <c r="R172" s="50">
        <f>'Proposed Rates'!S41</f>
        <v>7.5226482151389957</v>
      </c>
    </row>
    <row r="173" spans="1:18" ht="13" x14ac:dyDescent="0.3">
      <c r="A173" s="1"/>
      <c r="D173" t="s">
        <v>49</v>
      </c>
      <c r="F173" s="16"/>
      <c r="G173" s="16">
        <v>0</v>
      </c>
      <c r="H173" s="14"/>
      <c r="I173" s="72" t="s">
        <v>651</v>
      </c>
      <c r="J173" s="72" t="s">
        <v>651</v>
      </c>
      <c r="K173" s="14"/>
      <c r="L173" s="72" t="s">
        <v>651</v>
      </c>
      <c r="M173" s="72" t="s">
        <v>651</v>
      </c>
      <c r="O173" s="34">
        <f>'Proposed Rates'!H41</f>
        <v>4</v>
      </c>
      <c r="P173" s="46"/>
      <c r="Q173" s="34"/>
      <c r="R173" s="51">
        <f>'Proposed Rates'!O41</f>
        <v>7</v>
      </c>
    </row>
    <row r="174" spans="1:18" ht="13" x14ac:dyDescent="0.3">
      <c r="A174" s="1"/>
      <c r="D174" t="s">
        <v>50</v>
      </c>
      <c r="F174" s="15"/>
      <c r="G174" s="15">
        <v>56.13</v>
      </c>
      <c r="H174" s="15"/>
      <c r="I174" s="72" t="s">
        <v>651</v>
      </c>
      <c r="J174" s="72" t="s">
        <v>651</v>
      </c>
      <c r="K174" s="15"/>
      <c r="L174" s="72" t="s">
        <v>651</v>
      </c>
      <c r="M174" s="72" t="s">
        <v>651</v>
      </c>
      <c r="O174" s="4">
        <f>'Proposed Rates'!I41</f>
        <v>52.6</v>
      </c>
      <c r="P174" s="47"/>
      <c r="Q174" s="4"/>
      <c r="R174" s="52">
        <f>'Proposed Rates'!V41</f>
        <v>49.43</v>
      </c>
    </row>
    <row r="175" spans="1:18" ht="13" x14ac:dyDescent="0.3">
      <c r="A175" s="1"/>
      <c r="D175" t="s">
        <v>51</v>
      </c>
      <c r="F175" s="16"/>
      <c r="G175" s="16"/>
      <c r="H175" s="16"/>
      <c r="I175" s="72" t="s">
        <v>651</v>
      </c>
      <c r="J175" s="72" t="s">
        <v>651</v>
      </c>
      <c r="K175" s="16"/>
      <c r="L175" s="72" t="s">
        <v>651</v>
      </c>
      <c r="M175" s="72" t="s">
        <v>651</v>
      </c>
      <c r="O175" s="35" t="str">
        <f>'Proposed Rates'!E41</f>
        <v>L2</v>
      </c>
      <c r="P175" s="48"/>
      <c r="Q175" s="35"/>
      <c r="R175" s="53" t="str">
        <f>'Proposed Rates'!M41</f>
        <v>L2</v>
      </c>
    </row>
    <row r="176" spans="1:18" ht="13" x14ac:dyDescent="0.3">
      <c r="A176" s="1"/>
      <c r="F176" s="17"/>
      <c r="G176" s="17"/>
      <c r="H176" s="12"/>
      <c r="I176" s="14"/>
      <c r="J176" s="14"/>
      <c r="K176" s="12"/>
      <c r="L176" s="14"/>
      <c r="M176" s="14"/>
      <c r="O176" s="35"/>
      <c r="P176" s="48"/>
      <c r="Q176" s="35"/>
      <c r="R176" s="54"/>
    </row>
    <row r="177" spans="1:18" ht="13" x14ac:dyDescent="0.3">
      <c r="A177" s="6">
        <f>'Proposed Rates'!A42</f>
        <v>0</v>
      </c>
      <c r="C177" s="18">
        <f>'Proposed Rates'!C42</f>
        <v>0</v>
      </c>
      <c r="F177" s="14"/>
      <c r="G177" s="14"/>
      <c r="H177" s="12"/>
      <c r="I177" s="14"/>
      <c r="J177" s="14"/>
      <c r="K177" s="12"/>
      <c r="L177" s="14"/>
      <c r="M177" s="14"/>
      <c r="O177" s="4"/>
      <c r="P177" s="47"/>
      <c r="Q177" s="4"/>
      <c r="R177" s="18"/>
    </row>
    <row r="178" spans="1:18" ht="13" x14ac:dyDescent="0.3">
      <c r="A178" s="1"/>
      <c r="D178" t="s">
        <v>47</v>
      </c>
      <c r="F178" s="72" t="s">
        <v>651</v>
      </c>
      <c r="G178" s="13">
        <v>8.1999999999999993</v>
      </c>
      <c r="H178" s="13"/>
      <c r="I178" s="72" t="s">
        <v>651</v>
      </c>
      <c r="J178" s="72" t="s">
        <v>651</v>
      </c>
      <c r="K178" s="13"/>
      <c r="L178" s="72" t="s">
        <v>651</v>
      </c>
      <c r="M178" s="72" t="s">
        <v>651</v>
      </c>
      <c r="O178" s="3">
        <f>'Proposed Rates'!J42</f>
        <v>0</v>
      </c>
      <c r="P178" s="45"/>
      <c r="Q178" s="3"/>
      <c r="R178" s="50">
        <f>'Proposed Rates'!X42</f>
        <v>0</v>
      </c>
    </row>
    <row r="179" spans="1:18" ht="13" x14ac:dyDescent="0.3">
      <c r="A179" s="1"/>
      <c r="D179" t="s">
        <v>79</v>
      </c>
      <c r="F179" s="72" t="s">
        <v>651</v>
      </c>
      <c r="G179" s="13"/>
      <c r="H179" s="14"/>
      <c r="I179" s="72" t="s">
        <v>651</v>
      </c>
      <c r="J179" s="72" t="s">
        <v>651</v>
      </c>
      <c r="K179" s="14"/>
      <c r="L179" s="72" t="s">
        <v>651</v>
      </c>
      <c r="M179" s="72" t="s">
        <v>651</v>
      </c>
      <c r="O179" s="34">
        <f>'Proposed Rates'!F42</f>
        <v>0</v>
      </c>
      <c r="P179" s="46"/>
      <c r="Q179" s="34"/>
      <c r="R179" s="51">
        <f>'Proposed Rates'!N42</f>
        <v>0</v>
      </c>
    </row>
    <row r="180" spans="1:18" ht="13" x14ac:dyDescent="0.3">
      <c r="A180" s="1"/>
      <c r="D180" t="s">
        <v>48</v>
      </c>
      <c r="F180" s="72" t="s">
        <v>651</v>
      </c>
      <c r="G180" s="13">
        <v>11</v>
      </c>
      <c r="H180" s="13"/>
      <c r="I180" s="72" t="s">
        <v>651</v>
      </c>
      <c r="J180" s="72" t="s">
        <v>651</v>
      </c>
      <c r="K180" s="13"/>
      <c r="L180" s="72" t="s">
        <v>651</v>
      </c>
      <c r="M180" s="72" t="s">
        <v>651</v>
      </c>
      <c r="O180" s="3">
        <f>'Proposed Rates'!G42</f>
        <v>0</v>
      </c>
      <c r="P180" s="45"/>
      <c r="Q180" s="3"/>
      <c r="R180" s="50">
        <f>'Proposed Rates'!S42</f>
        <v>0</v>
      </c>
    </row>
    <row r="181" spans="1:18" ht="13" x14ac:dyDescent="0.3">
      <c r="A181" s="1"/>
      <c r="D181" t="s">
        <v>49</v>
      </c>
      <c r="F181" s="72" t="s">
        <v>651</v>
      </c>
      <c r="G181" s="13">
        <v>10</v>
      </c>
      <c r="H181" s="14"/>
      <c r="I181" s="72" t="s">
        <v>651</v>
      </c>
      <c r="J181" s="72" t="s">
        <v>651</v>
      </c>
      <c r="K181" s="14"/>
      <c r="L181" s="72" t="s">
        <v>651</v>
      </c>
      <c r="M181" s="72" t="s">
        <v>651</v>
      </c>
      <c r="O181" s="34">
        <f>'Proposed Rates'!H42</f>
        <v>0</v>
      </c>
      <c r="P181" s="46"/>
      <c r="Q181" s="34"/>
      <c r="R181" s="51">
        <f>'Proposed Rates'!O42</f>
        <v>0</v>
      </c>
    </row>
    <row r="182" spans="1:18" ht="13" x14ac:dyDescent="0.3">
      <c r="A182" s="1"/>
      <c r="D182" t="s">
        <v>50</v>
      </c>
      <c r="F182" s="72" t="s">
        <v>651</v>
      </c>
      <c r="G182" s="85">
        <v>0</v>
      </c>
      <c r="H182" s="15"/>
      <c r="I182" s="72" t="s">
        <v>651</v>
      </c>
      <c r="J182" s="72" t="s">
        <v>651</v>
      </c>
      <c r="K182" s="15"/>
      <c r="L182" s="72" t="s">
        <v>651</v>
      </c>
      <c r="M182" s="72" t="s">
        <v>651</v>
      </c>
      <c r="O182" s="4">
        <f>'Proposed Rates'!I42</f>
        <v>0</v>
      </c>
      <c r="P182" s="47"/>
      <c r="Q182" s="4"/>
      <c r="R182" s="52">
        <f>'Proposed Rates'!V42</f>
        <v>0</v>
      </c>
    </row>
    <row r="183" spans="1:18" ht="13" x14ac:dyDescent="0.3">
      <c r="A183" s="1"/>
      <c r="D183" t="s">
        <v>51</v>
      </c>
      <c r="F183" s="72" t="s">
        <v>651</v>
      </c>
      <c r="G183" s="13"/>
      <c r="H183" s="16"/>
      <c r="I183" s="72" t="s">
        <v>651</v>
      </c>
      <c r="J183" s="72" t="s">
        <v>651</v>
      </c>
      <c r="K183" s="16"/>
      <c r="L183" s="72" t="s">
        <v>651</v>
      </c>
      <c r="M183" s="72" t="s">
        <v>651</v>
      </c>
      <c r="O183" s="35">
        <f>'Proposed Rates'!E42</f>
        <v>0</v>
      </c>
      <c r="P183" s="48"/>
      <c r="Q183" s="35"/>
      <c r="R183" s="53">
        <f>'Proposed Rates'!M42</f>
        <v>0</v>
      </c>
    </row>
    <row r="184" spans="1:18" ht="13" x14ac:dyDescent="0.3">
      <c r="A184" s="1"/>
      <c r="F184" s="17"/>
      <c r="G184" s="17"/>
      <c r="H184" s="12"/>
      <c r="I184" s="14"/>
      <c r="J184" s="14"/>
      <c r="K184" s="12"/>
      <c r="L184" s="14"/>
      <c r="M184" s="14"/>
      <c r="O184" s="35"/>
      <c r="P184" s="48"/>
      <c r="Q184" s="35"/>
      <c r="R184" s="54"/>
    </row>
    <row r="185" spans="1:18" ht="13" x14ac:dyDescent="0.3">
      <c r="A185" s="1"/>
      <c r="F185" s="17"/>
      <c r="G185" s="17"/>
      <c r="H185" s="12"/>
      <c r="I185" s="14"/>
      <c r="J185" s="14"/>
      <c r="K185" s="12"/>
      <c r="L185" s="14"/>
      <c r="M185" s="14"/>
      <c r="O185" s="35"/>
      <c r="P185" s="48"/>
      <c r="Q185" s="35"/>
      <c r="R185" s="54"/>
    </row>
    <row r="186" spans="1:18" ht="13" x14ac:dyDescent="0.3">
      <c r="A186" s="1"/>
      <c r="C186" s="21">
        <f>'Proposed Rates'!C44</f>
        <v>0</v>
      </c>
      <c r="D186" s="21"/>
      <c r="F186" s="17"/>
      <c r="G186" s="17"/>
      <c r="H186" s="12"/>
      <c r="I186" s="14"/>
      <c r="J186" s="14"/>
      <c r="K186" s="12"/>
      <c r="L186" s="14"/>
      <c r="M186" s="14"/>
      <c r="O186" s="35"/>
      <c r="P186" s="48"/>
      <c r="Q186" s="35"/>
      <c r="R186" s="54"/>
    </row>
    <row r="187" spans="1:18" ht="13" x14ac:dyDescent="0.3">
      <c r="A187" s="1"/>
      <c r="F187" s="17"/>
      <c r="G187" s="17"/>
      <c r="H187" s="12"/>
      <c r="I187" s="14"/>
      <c r="J187" s="14"/>
      <c r="K187" s="12"/>
      <c r="L187" s="14"/>
      <c r="M187" s="14"/>
      <c r="O187" s="35"/>
      <c r="P187" s="48"/>
      <c r="Q187" s="35"/>
      <c r="R187" s="54"/>
    </row>
    <row r="188" spans="1:18" ht="13" x14ac:dyDescent="0.3">
      <c r="A188" s="6">
        <f>'Proposed Rates'!A46</f>
        <v>30200</v>
      </c>
      <c r="C188" s="18" t="str">
        <f>'Proposed Rates'!C46</f>
        <v>Franchise &amp; Consents</v>
      </c>
      <c r="F188" s="12"/>
      <c r="G188" s="12"/>
      <c r="H188" s="12"/>
      <c r="I188" s="12"/>
      <c r="J188" s="12"/>
      <c r="K188" s="12"/>
      <c r="L188" s="12"/>
      <c r="M188" s="12"/>
      <c r="P188" s="42"/>
      <c r="R188" s="18"/>
    </row>
    <row r="189" spans="1:18" ht="13" x14ac:dyDescent="0.3">
      <c r="A189" s="6"/>
      <c r="D189" t="s">
        <v>47</v>
      </c>
      <c r="F189" s="72" t="s">
        <v>651</v>
      </c>
      <c r="G189" s="72" t="s">
        <v>651</v>
      </c>
      <c r="H189" s="13"/>
      <c r="I189" s="72" t="s">
        <v>651</v>
      </c>
      <c r="J189" s="72" t="s">
        <v>651</v>
      </c>
      <c r="K189" s="13"/>
      <c r="L189" s="72" t="s">
        <v>651</v>
      </c>
      <c r="M189" s="72" t="s">
        <v>651</v>
      </c>
      <c r="O189" s="88">
        <f>'Proposed Rates'!J46</f>
        <v>0.04</v>
      </c>
      <c r="P189" s="45"/>
      <c r="Q189" s="3"/>
      <c r="R189" s="89">
        <f>'Proposed Rates'!X46</f>
        <v>0.04</v>
      </c>
    </row>
    <row r="190" spans="1:18" ht="13" x14ac:dyDescent="0.3">
      <c r="A190" s="6"/>
      <c r="D190" t="s">
        <v>79</v>
      </c>
      <c r="F190" s="72" t="s">
        <v>651</v>
      </c>
      <c r="G190" s="72" t="s">
        <v>651</v>
      </c>
      <c r="H190" s="14"/>
      <c r="I190" s="72" t="s">
        <v>651</v>
      </c>
      <c r="J190" s="72" t="s">
        <v>651</v>
      </c>
      <c r="K190" s="14"/>
      <c r="L190" s="72" t="s">
        <v>651</v>
      </c>
      <c r="M190" s="72" t="s">
        <v>651</v>
      </c>
      <c r="O190" s="34">
        <f>'Proposed Rates'!F46</f>
        <v>25</v>
      </c>
      <c r="P190" s="46"/>
      <c r="Q190" s="34"/>
      <c r="R190" s="51">
        <v>0</v>
      </c>
    </row>
    <row r="191" spans="1:18" ht="12.75" customHeight="1" x14ac:dyDescent="0.25">
      <c r="A191" s="6"/>
      <c r="D191" t="s">
        <v>48</v>
      </c>
      <c r="F191" s="72" t="s">
        <v>651</v>
      </c>
      <c r="G191" s="72" t="s">
        <v>651</v>
      </c>
      <c r="H191" s="13"/>
      <c r="I191" s="72" t="s">
        <v>651</v>
      </c>
      <c r="J191" s="72" t="s">
        <v>651</v>
      </c>
      <c r="K191" s="13"/>
      <c r="L191" s="72" t="s">
        <v>651</v>
      </c>
      <c r="M191" s="72" t="s">
        <v>651</v>
      </c>
      <c r="O191" s="369">
        <f>'Proposed Rates'!G46</f>
        <v>25</v>
      </c>
      <c r="P191" s="45"/>
      <c r="Q191" s="3"/>
      <c r="R191" s="368">
        <f>'Proposed Rates'!N46</f>
        <v>25</v>
      </c>
    </row>
    <row r="192" spans="1:18" x14ac:dyDescent="0.25">
      <c r="A192" s="6"/>
      <c r="D192" t="s">
        <v>49</v>
      </c>
      <c r="F192" s="72" t="s">
        <v>651</v>
      </c>
      <c r="G192" s="72" t="s">
        <v>651</v>
      </c>
      <c r="H192" s="14"/>
      <c r="I192" s="72" t="s">
        <v>651</v>
      </c>
      <c r="J192" s="72" t="s">
        <v>651</v>
      </c>
      <c r="K192" s="14"/>
      <c r="L192" s="72" t="s">
        <v>651</v>
      </c>
      <c r="M192" s="72" t="s">
        <v>651</v>
      </c>
      <c r="O192" s="369"/>
      <c r="P192" s="46"/>
      <c r="Q192" s="34"/>
      <c r="R192" s="368"/>
    </row>
    <row r="193" spans="1:18" ht="13" x14ac:dyDescent="0.3">
      <c r="A193" s="6"/>
      <c r="D193" t="s">
        <v>50</v>
      </c>
      <c r="F193" s="72" t="s">
        <v>651</v>
      </c>
      <c r="G193" s="72" t="s">
        <v>651</v>
      </c>
      <c r="H193" s="15"/>
      <c r="I193" s="72" t="s">
        <v>651</v>
      </c>
      <c r="J193" s="72" t="s">
        <v>651</v>
      </c>
      <c r="K193" s="15"/>
      <c r="L193" s="72" t="s">
        <v>651</v>
      </c>
      <c r="M193" s="72" t="s">
        <v>651</v>
      </c>
      <c r="O193" s="4">
        <f>'Proposed Rates'!I46</f>
        <v>0</v>
      </c>
      <c r="P193" s="47"/>
      <c r="Q193" s="4"/>
      <c r="R193" s="52">
        <f>'Proposed Rates'!V46</f>
        <v>0</v>
      </c>
    </row>
    <row r="194" spans="1:18" ht="13" x14ac:dyDescent="0.3">
      <c r="A194" s="6"/>
      <c r="D194" t="s">
        <v>51</v>
      </c>
      <c r="F194" s="72" t="s">
        <v>651</v>
      </c>
      <c r="G194" s="72" t="s">
        <v>651</v>
      </c>
      <c r="H194" s="16"/>
      <c r="I194" s="72" t="s">
        <v>651</v>
      </c>
      <c r="J194" s="72" t="s">
        <v>651</v>
      </c>
      <c r="K194" s="16"/>
      <c r="L194" s="72" t="s">
        <v>651</v>
      </c>
      <c r="M194" s="72" t="s">
        <v>651</v>
      </c>
      <c r="O194" s="35" t="str">
        <f>'Proposed Rates'!E45</f>
        <v>SQ</v>
      </c>
      <c r="P194" s="48"/>
      <c r="Q194" s="35"/>
      <c r="R194" s="87" t="str">
        <f>'Proposed Rates'!M46</f>
        <v>SQ</v>
      </c>
    </row>
    <row r="195" spans="1:18" ht="13" x14ac:dyDescent="0.3">
      <c r="A195" s="6"/>
      <c r="F195" s="16"/>
      <c r="G195" s="16"/>
      <c r="H195" s="16"/>
      <c r="I195" s="16"/>
      <c r="J195" s="16"/>
      <c r="K195" s="16"/>
      <c r="L195" s="16"/>
      <c r="M195" s="16"/>
      <c r="O195" s="35"/>
      <c r="P195" s="48"/>
      <c r="Q195" s="35"/>
      <c r="R195" s="54"/>
    </row>
    <row r="196" spans="1:18" ht="13" x14ac:dyDescent="0.3">
      <c r="A196" s="6">
        <f>'Proposed Rates'!A47</f>
        <v>30300</v>
      </c>
      <c r="C196" s="18" t="str">
        <f>'Proposed Rates'!C47</f>
        <v>Misc Intangible Plant</v>
      </c>
      <c r="F196" s="12"/>
      <c r="G196" s="12"/>
      <c r="H196" s="12"/>
      <c r="I196" s="12"/>
      <c r="J196" s="12"/>
      <c r="K196" s="12"/>
      <c r="L196" s="12"/>
      <c r="M196" s="12"/>
      <c r="P196" s="42"/>
      <c r="R196" s="18"/>
    </row>
    <row r="197" spans="1:18" ht="13" x14ac:dyDescent="0.3">
      <c r="A197" s="6"/>
      <c r="D197" t="s">
        <v>47</v>
      </c>
      <c r="F197" s="72" t="s">
        <v>651</v>
      </c>
      <c r="G197" s="72" t="s">
        <v>651</v>
      </c>
      <c r="H197" s="13"/>
      <c r="I197" s="72" t="s">
        <v>651</v>
      </c>
      <c r="J197" s="72" t="s">
        <v>651</v>
      </c>
      <c r="K197" s="13"/>
      <c r="L197" s="72" t="s">
        <v>651</v>
      </c>
      <c r="M197" s="72" t="s">
        <v>651</v>
      </c>
      <c r="O197" s="3">
        <f>'Proposed Rates'!J47</f>
        <v>0.04</v>
      </c>
      <c r="P197" s="45"/>
      <c r="Q197" s="3"/>
      <c r="R197" s="50">
        <f>'Proposed Rates'!X47</f>
        <v>0</v>
      </c>
    </row>
    <row r="198" spans="1:18" ht="13" x14ac:dyDescent="0.3">
      <c r="A198" s="6"/>
      <c r="D198" t="s">
        <v>79</v>
      </c>
      <c r="F198" s="72" t="s">
        <v>651</v>
      </c>
      <c r="G198" s="72" t="s">
        <v>651</v>
      </c>
      <c r="H198" s="14"/>
      <c r="I198" s="72" t="s">
        <v>651</v>
      </c>
      <c r="J198" s="72" t="s">
        <v>651</v>
      </c>
      <c r="K198" s="14"/>
      <c r="L198" s="72" t="s">
        <v>651</v>
      </c>
      <c r="M198" s="72" t="s">
        <v>651</v>
      </c>
      <c r="O198" s="34">
        <f>'Proposed Rates'!F47</f>
        <v>25</v>
      </c>
      <c r="P198" s="46"/>
      <c r="Q198" s="34"/>
      <c r="R198" s="74">
        <v>0</v>
      </c>
    </row>
    <row r="199" spans="1:18" ht="12.75" customHeight="1" x14ac:dyDescent="0.25">
      <c r="A199" s="6"/>
      <c r="D199" t="s">
        <v>48</v>
      </c>
      <c r="F199" s="72" t="s">
        <v>651</v>
      </c>
      <c r="G199" s="72" t="s">
        <v>651</v>
      </c>
      <c r="H199" s="13"/>
      <c r="I199" s="72" t="s">
        <v>651</v>
      </c>
      <c r="J199" s="72" t="s">
        <v>651</v>
      </c>
      <c r="K199" s="13"/>
      <c r="L199" s="72" t="s">
        <v>651</v>
      </c>
      <c r="M199" s="72" t="s">
        <v>651</v>
      </c>
      <c r="O199" s="370">
        <f>'Proposed Rates'!G47</f>
        <v>0.5</v>
      </c>
      <c r="P199" s="45"/>
      <c r="Q199" s="3"/>
      <c r="R199" s="368">
        <f>'Proposed Rates'!N47</f>
        <v>25</v>
      </c>
    </row>
    <row r="200" spans="1:18" x14ac:dyDescent="0.25">
      <c r="A200" s="6"/>
      <c r="D200" t="s">
        <v>49</v>
      </c>
      <c r="F200" s="72" t="s">
        <v>651</v>
      </c>
      <c r="G200" s="72" t="s">
        <v>651</v>
      </c>
      <c r="H200" s="14"/>
      <c r="I200" s="72" t="s">
        <v>651</v>
      </c>
      <c r="J200" s="72" t="s">
        <v>651</v>
      </c>
      <c r="K200" s="14"/>
      <c r="L200" s="72" t="s">
        <v>651</v>
      </c>
      <c r="M200" s="72" t="s">
        <v>651</v>
      </c>
      <c r="O200" s="370"/>
      <c r="P200" s="46"/>
      <c r="Q200" s="34"/>
      <c r="R200" s="368"/>
    </row>
    <row r="201" spans="1:18" ht="13" x14ac:dyDescent="0.3">
      <c r="A201" s="6"/>
      <c r="D201" t="s">
        <v>50</v>
      </c>
      <c r="F201" s="72" t="s">
        <v>651</v>
      </c>
      <c r="G201" s="72" t="s">
        <v>651</v>
      </c>
      <c r="H201" s="15"/>
      <c r="I201" s="72" t="s">
        <v>651</v>
      </c>
      <c r="J201" s="72" t="s">
        <v>651</v>
      </c>
      <c r="K201" s="15"/>
      <c r="L201" s="72" t="s">
        <v>651</v>
      </c>
      <c r="M201" s="72" t="s">
        <v>651</v>
      </c>
      <c r="O201" s="4">
        <f>'Proposed Rates'!I47</f>
        <v>101.9</v>
      </c>
      <c r="P201" s="47"/>
      <c r="Q201" s="4"/>
      <c r="R201" s="52">
        <f>'Proposed Rates'!V47</f>
        <v>100</v>
      </c>
    </row>
    <row r="202" spans="1:18" ht="13" x14ac:dyDescent="0.3">
      <c r="A202" s="6"/>
      <c r="D202" t="s">
        <v>51</v>
      </c>
      <c r="F202" s="72" t="s">
        <v>651</v>
      </c>
      <c r="G202" s="72" t="s">
        <v>651</v>
      </c>
      <c r="H202" s="16"/>
      <c r="I202" s="72" t="s">
        <v>651</v>
      </c>
      <c r="J202" s="72" t="s">
        <v>651</v>
      </c>
      <c r="K202" s="16"/>
      <c r="L202" s="72" t="s">
        <v>651</v>
      </c>
      <c r="M202" s="72" t="s">
        <v>651</v>
      </c>
      <c r="O202" s="35" t="str">
        <f>'Proposed Rates'!E47</f>
        <v>SQ</v>
      </c>
      <c r="P202" s="48"/>
      <c r="Q202" s="35"/>
      <c r="R202" s="87" t="str">
        <f>'Proposed Rates'!M47</f>
        <v>SQ</v>
      </c>
    </row>
    <row r="203" spans="1:18" ht="13" x14ac:dyDescent="0.3">
      <c r="A203" s="6"/>
      <c r="F203" s="16"/>
      <c r="G203" s="16"/>
      <c r="H203" s="16"/>
      <c r="I203" s="16"/>
      <c r="J203" s="16"/>
      <c r="K203" s="16"/>
      <c r="L203" s="16"/>
      <c r="M203" s="16"/>
      <c r="O203" s="35"/>
      <c r="P203" s="48"/>
      <c r="Q203" s="35"/>
      <c r="R203" s="54"/>
    </row>
    <row r="204" spans="1:18" ht="13" x14ac:dyDescent="0.3">
      <c r="A204" s="6">
        <f>'Proposed Rates'!A48</f>
        <v>30301</v>
      </c>
      <c r="C204" s="18" t="str">
        <f>'Proposed Rates'!C48</f>
        <v>Custom Intangible Plant</v>
      </c>
      <c r="F204" s="12"/>
      <c r="G204" s="12"/>
      <c r="H204" s="12"/>
      <c r="I204" s="12"/>
      <c r="J204" s="12"/>
      <c r="K204" s="12"/>
      <c r="L204" s="12"/>
      <c r="M204" s="12"/>
      <c r="P204" s="42"/>
      <c r="R204" s="18"/>
    </row>
    <row r="205" spans="1:18" ht="13" x14ac:dyDescent="0.3">
      <c r="A205" s="6"/>
      <c r="D205" t="s">
        <v>47</v>
      </c>
      <c r="F205" s="72" t="s">
        <v>651</v>
      </c>
      <c r="G205" s="72" t="s">
        <v>651</v>
      </c>
      <c r="H205" s="13"/>
      <c r="I205" s="72" t="s">
        <v>651</v>
      </c>
      <c r="J205" s="72" t="s">
        <v>651</v>
      </c>
      <c r="K205" s="13"/>
      <c r="L205" s="72" t="s">
        <v>651</v>
      </c>
      <c r="M205" s="72" t="s">
        <v>651</v>
      </c>
      <c r="O205" s="3">
        <f>'Proposed Rates'!J48</f>
        <v>6.6000000000000003E-2</v>
      </c>
      <c r="P205" s="45"/>
      <c r="Q205" s="3"/>
      <c r="R205" s="50">
        <f>'Proposed Rates'!X48</f>
        <v>6.6000000000000003E-2</v>
      </c>
    </row>
    <row r="206" spans="1:18" ht="13" x14ac:dyDescent="0.3">
      <c r="A206" s="6"/>
      <c r="D206" t="s">
        <v>79</v>
      </c>
      <c r="F206" s="72" t="s">
        <v>651</v>
      </c>
      <c r="G206" s="72" t="s">
        <v>651</v>
      </c>
      <c r="H206" s="14"/>
      <c r="I206" s="72" t="s">
        <v>651</v>
      </c>
      <c r="J206" s="72" t="s">
        <v>651</v>
      </c>
      <c r="K206" s="14"/>
      <c r="L206" s="72" t="s">
        <v>651</v>
      </c>
      <c r="M206" s="72" t="s">
        <v>651</v>
      </c>
      <c r="O206" s="34">
        <f>'Proposed Rates'!F48</f>
        <v>15</v>
      </c>
      <c r="P206" s="46"/>
      <c r="Q206" s="34"/>
      <c r="R206" s="74">
        <v>0</v>
      </c>
    </row>
    <row r="207" spans="1:18" ht="12.75" customHeight="1" x14ac:dyDescent="0.25">
      <c r="A207" s="6"/>
      <c r="D207" t="s">
        <v>48</v>
      </c>
      <c r="F207" s="72" t="s">
        <v>651</v>
      </c>
      <c r="G207" s="72" t="s">
        <v>651</v>
      </c>
      <c r="H207" s="13"/>
      <c r="I207" s="72" t="s">
        <v>651</v>
      </c>
      <c r="J207" s="72" t="s">
        <v>651</v>
      </c>
      <c r="K207" s="13"/>
      <c r="L207" s="72" t="s">
        <v>651</v>
      </c>
      <c r="M207" s="72" t="s">
        <v>651</v>
      </c>
      <c r="O207" s="370">
        <f>'Proposed Rates'!G48</f>
        <v>9.6999999999999993</v>
      </c>
      <c r="P207" s="45"/>
      <c r="Q207" s="3"/>
      <c r="R207" s="368">
        <f>'Proposed Rates'!N48</f>
        <v>15</v>
      </c>
    </row>
    <row r="208" spans="1:18" x14ac:dyDescent="0.25">
      <c r="A208" s="6"/>
      <c r="D208" t="s">
        <v>49</v>
      </c>
      <c r="F208" s="72" t="s">
        <v>651</v>
      </c>
      <c r="G208" s="72" t="s">
        <v>651</v>
      </c>
      <c r="H208" s="14"/>
      <c r="I208" s="72" t="s">
        <v>651</v>
      </c>
      <c r="J208" s="72" t="s">
        <v>651</v>
      </c>
      <c r="K208" s="14"/>
      <c r="L208" s="72" t="s">
        <v>651</v>
      </c>
      <c r="M208" s="72" t="s">
        <v>651</v>
      </c>
      <c r="O208" s="370"/>
      <c r="P208" s="46"/>
      <c r="Q208" s="34"/>
      <c r="R208" s="368"/>
    </row>
    <row r="209" spans="1:18" ht="13" x14ac:dyDescent="0.3">
      <c r="A209" s="6"/>
      <c r="D209" t="s">
        <v>50</v>
      </c>
      <c r="F209" s="72" t="s">
        <v>651</v>
      </c>
      <c r="G209" s="72" t="s">
        <v>651</v>
      </c>
      <c r="H209" s="15"/>
      <c r="I209" s="72" t="s">
        <v>651</v>
      </c>
      <c r="J209" s="72" t="s">
        <v>651</v>
      </c>
      <c r="K209" s="15"/>
      <c r="L209" s="72" t="s">
        <v>651</v>
      </c>
      <c r="M209" s="72" t="s">
        <v>651</v>
      </c>
      <c r="O209" s="4">
        <f>'Proposed Rates'!I48</f>
        <v>36.5</v>
      </c>
      <c r="P209" s="47"/>
      <c r="Q209" s="4"/>
      <c r="R209" s="52">
        <f>'Proposed Rates'!V48</f>
        <v>27.28</v>
      </c>
    </row>
    <row r="210" spans="1:18" ht="13" x14ac:dyDescent="0.3">
      <c r="A210" s="6"/>
      <c r="D210" t="s">
        <v>51</v>
      </c>
      <c r="F210" s="72" t="s">
        <v>651</v>
      </c>
      <c r="G210" s="72" t="s">
        <v>651</v>
      </c>
      <c r="H210" s="16"/>
      <c r="I210" s="72" t="s">
        <v>651</v>
      </c>
      <c r="J210" s="72" t="s">
        <v>651</v>
      </c>
      <c r="K210" s="16"/>
      <c r="L210" s="72" t="s">
        <v>651</v>
      </c>
      <c r="M210" s="72" t="s">
        <v>651</v>
      </c>
      <c r="O210" s="35" t="str">
        <f>'Proposed Rates'!E48</f>
        <v>SQ</v>
      </c>
      <c r="P210" s="48"/>
      <c r="Q210" s="35"/>
      <c r="R210" s="87" t="str">
        <f>'Proposed Rates'!M48</f>
        <v>SQ</v>
      </c>
    </row>
    <row r="211" spans="1:18" ht="13" x14ac:dyDescent="0.3">
      <c r="A211" s="6"/>
      <c r="F211" s="16"/>
      <c r="G211" s="16"/>
      <c r="H211" s="16"/>
      <c r="I211" s="16"/>
      <c r="J211" s="16"/>
      <c r="K211" s="16"/>
      <c r="L211" s="16"/>
      <c r="M211" s="16"/>
      <c r="O211" s="35"/>
      <c r="P211" s="48"/>
      <c r="Q211" s="35"/>
      <c r="R211" s="54"/>
    </row>
    <row r="212" spans="1:18" ht="13" x14ac:dyDescent="0.3">
      <c r="A212" s="6">
        <f>'Proposed Rates'!A54</f>
        <v>39000</v>
      </c>
      <c r="C212" s="18" t="str">
        <f>'Proposed Rates'!C54</f>
        <v>Structures &amp; Improvements</v>
      </c>
      <c r="F212" s="12"/>
      <c r="G212" s="12"/>
      <c r="H212" s="12"/>
      <c r="I212" s="12"/>
      <c r="J212" s="12"/>
      <c r="K212" s="12"/>
      <c r="L212" s="12"/>
      <c r="M212" s="12"/>
      <c r="P212" s="42"/>
      <c r="R212" s="18"/>
    </row>
    <row r="213" spans="1:18" ht="13" x14ac:dyDescent="0.3">
      <c r="A213" s="6"/>
      <c r="D213" t="s">
        <v>47</v>
      </c>
      <c r="F213" s="72" t="s">
        <v>651</v>
      </c>
      <c r="G213" s="72" t="s">
        <v>651</v>
      </c>
      <c r="H213" s="13"/>
      <c r="I213" s="72" t="s">
        <v>651</v>
      </c>
      <c r="J213" s="72" t="s">
        <v>651</v>
      </c>
      <c r="K213" s="13"/>
      <c r="L213" s="72" t="s">
        <v>651</v>
      </c>
      <c r="M213" s="72" t="s">
        <v>651</v>
      </c>
      <c r="O213" s="3">
        <f>'Proposed Rates'!J54</f>
        <v>2.4E-2</v>
      </c>
      <c r="P213" s="45"/>
      <c r="Q213" s="3"/>
      <c r="R213" s="50">
        <f>'Proposed Rates'!X54</f>
        <v>4.0999999999999995E-2</v>
      </c>
    </row>
    <row r="214" spans="1:18" ht="13" x14ac:dyDescent="0.3">
      <c r="A214" s="6"/>
      <c r="D214" t="s">
        <v>79</v>
      </c>
      <c r="F214" s="72" t="s">
        <v>651</v>
      </c>
      <c r="G214" s="72" t="s">
        <v>651</v>
      </c>
      <c r="H214" s="14"/>
      <c r="I214" s="72" t="s">
        <v>651</v>
      </c>
      <c r="J214" s="72" t="s">
        <v>651</v>
      </c>
      <c r="K214" s="14"/>
      <c r="L214" s="72" t="s">
        <v>651</v>
      </c>
      <c r="M214" s="72" t="s">
        <v>651</v>
      </c>
      <c r="O214" s="34">
        <f>'Proposed Rates'!F54</f>
        <v>25</v>
      </c>
      <c r="P214" s="46"/>
      <c r="Q214" s="34"/>
      <c r="R214" s="74">
        <v>0</v>
      </c>
    </row>
    <row r="215" spans="1:18" ht="12.75" customHeight="1" x14ac:dyDescent="0.25">
      <c r="A215" s="6"/>
      <c r="D215" t="s">
        <v>48</v>
      </c>
      <c r="F215" s="72" t="s">
        <v>651</v>
      </c>
      <c r="G215" s="72" t="s">
        <v>651</v>
      </c>
      <c r="H215" s="13"/>
      <c r="I215" s="72" t="s">
        <v>651</v>
      </c>
      <c r="J215" s="72" t="s">
        <v>651</v>
      </c>
      <c r="K215" s="13"/>
      <c r="L215" s="72" t="s">
        <v>651</v>
      </c>
      <c r="M215" s="72" t="s">
        <v>651</v>
      </c>
      <c r="O215" s="370">
        <f>'Proposed Rates'!G54</f>
        <v>20.9</v>
      </c>
      <c r="P215" s="45"/>
      <c r="Q215" s="3"/>
      <c r="R215" s="368">
        <f>'Proposed Rates'!N54</f>
        <v>25</v>
      </c>
    </row>
    <row r="216" spans="1:18" x14ac:dyDescent="0.25">
      <c r="A216" s="6"/>
      <c r="D216" t="s">
        <v>49</v>
      </c>
      <c r="F216" s="72" t="s">
        <v>651</v>
      </c>
      <c r="G216" s="72" t="s">
        <v>651</v>
      </c>
      <c r="H216" s="14"/>
      <c r="I216" s="72" t="s">
        <v>651</v>
      </c>
      <c r="J216" s="72" t="s">
        <v>651</v>
      </c>
      <c r="K216" s="14"/>
      <c r="L216" s="72" t="s">
        <v>651</v>
      </c>
      <c r="M216" s="72" t="s">
        <v>651</v>
      </c>
      <c r="O216" s="370"/>
      <c r="P216" s="46"/>
      <c r="Q216" s="34"/>
      <c r="R216" s="368"/>
    </row>
    <row r="217" spans="1:18" ht="13" x14ac:dyDescent="0.3">
      <c r="A217" s="6"/>
      <c r="D217" t="s">
        <v>50</v>
      </c>
      <c r="F217" s="72" t="s">
        <v>651</v>
      </c>
      <c r="G217" s="72" t="s">
        <v>651</v>
      </c>
      <c r="H217" s="15"/>
      <c r="I217" s="72" t="s">
        <v>651</v>
      </c>
      <c r="J217" s="72" t="s">
        <v>651</v>
      </c>
      <c r="K217" s="15"/>
      <c r="L217" s="72" t="s">
        <v>651</v>
      </c>
      <c r="M217" s="72" t="s">
        <v>651</v>
      </c>
      <c r="O217" s="4">
        <f>'Proposed Rates'!I54</f>
        <v>50.4</v>
      </c>
      <c r="P217" s="47"/>
      <c r="Q217" s="4"/>
      <c r="R217" s="52">
        <f>'Proposed Rates'!V54</f>
        <v>2.77</v>
      </c>
    </row>
    <row r="218" spans="1:18" ht="13" x14ac:dyDescent="0.3">
      <c r="A218" s="6"/>
      <c r="D218" t="s">
        <v>51</v>
      </c>
      <c r="F218" s="72" t="s">
        <v>651</v>
      </c>
      <c r="G218" s="72" t="s">
        <v>651</v>
      </c>
      <c r="H218" s="16"/>
      <c r="I218" s="72" t="s">
        <v>651</v>
      </c>
      <c r="J218" s="72" t="s">
        <v>651</v>
      </c>
      <c r="K218" s="16"/>
      <c r="L218" s="72" t="s">
        <v>651</v>
      </c>
      <c r="M218" s="72" t="s">
        <v>651</v>
      </c>
      <c r="O218" s="35" t="str">
        <f>'Proposed Rates'!E54</f>
        <v>L0</v>
      </c>
      <c r="P218" s="48"/>
      <c r="Q218" s="35"/>
      <c r="R218" s="87" t="str">
        <f>'Proposed Rates'!M54</f>
        <v>L0</v>
      </c>
    </row>
    <row r="219" spans="1:18" ht="13" x14ac:dyDescent="0.3">
      <c r="A219" s="6"/>
      <c r="F219" s="16"/>
      <c r="G219" s="16"/>
      <c r="H219" s="16"/>
      <c r="I219" s="16"/>
      <c r="J219" s="16"/>
      <c r="K219" s="16"/>
      <c r="L219" s="16"/>
      <c r="M219" s="16"/>
      <c r="O219" s="35"/>
      <c r="P219" s="48"/>
      <c r="Q219" s="35"/>
      <c r="R219" s="54"/>
    </row>
    <row r="220" spans="1:18" ht="13" x14ac:dyDescent="0.3">
      <c r="A220" s="6">
        <f>'Proposed Rates'!A55</f>
        <v>39100</v>
      </c>
      <c r="C220" s="18" t="str">
        <f>'Proposed Rates'!C55</f>
        <v>Office Furniture</v>
      </c>
      <c r="F220" s="14"/>
      <c r="G220" s="14"/>
      <c r="H220" s="12"/>
      <c r="I220" s="14"/>
      <c r="J220" s="14"/>
      <c r="K220" s="12"/>
      <c r="L220" s="14"/>
      <c r="M220" s="14"/>
      <c r="O220" s="3"/>
      <c r="P220" s="45"/>
      <c r="Q220" s="3"/>
      <c r="R220" s="18"/>
    </row>
    <row r="221" spans="1:18" ht="13" x14ac:dyDescent="0.3">
      <c r="A221" s="1"/>
      <c r="D221" t="s">
        <v>47</v>
      </c>
      <c r="F221" s="13"/>
      <c r="G221" s="13">
        <v>2.6</v>
      </c>
      <c r="H221" s="13"/>
      <c r="I221" s="13">
        <v>2.5</v>
      </c>
      <c r="J221" s="13">
        <v>2.5</v>
      </c>
      <c r="K221" s="13"/>
      <c r="L221" s="13">
        <v>3.49</v>
      </c>
      <c r="M221" s="13">
        <v>4.1100000000000003</v>
      </c>
      <c r="O221" s="3">
        <f>'Proposed Rates'!J55</f>
        <v>5.8999999999999997E-2</v>
      </c>
      <c r="P221" s="45"/>
      <c r="Q221" s="3"/>
      <c r="R221" s="50">
        <f>'Proposed Rates'!X55</f>
        <v>5.0999999999999997E-2</v>
      </c>
    </row>
    <row r="222" spans="1:18" ht="13" x14ac:dyDescent="0.3">
      <c r="A222" s="1"/>
      <c r="D222" t="s">
        <v>79</v>
      </c>
      <c r="F222" s="14"/>
      <c r="G222" s="14"/>
      <c r="H222" s="14"/>
      <c r="I222" s="14"/>
      <c r="J222" s="14"/>
      <c r="K222" s="14"/>
      <c r="L222" s="14"/>
      <c r="M222" s="14"/>
      <c r="O222" s="34">
        <f>'Proposed Rates'!F55</f>
        <v>17</v>
      </c>
      <c r="P222" s="46"/>
      <c r="Q222" s="34"/>
      <c r="R222" s="51">
        <f>'Proposed Rates'!N55</f>
        <v>17</v>
      </c>
    </row>
    <row r="223" spans="1:18" ht="13" x14ac:dyDescent="0.3">
      <c r="A223" s="1"/>
      <c r="D223" t="s">
        <v>48</v>
      </c>
      <c r="F223" s="13"/>
      <c r="G223" s="13">
        <v>30</v>
      </c>
      <c r="H223" s="13"/>
      <c r="I223" s="13">
        <v>27</v>
      </c>
      <c r="J223" s="13">
        <v>22.7</v>
      </c>
      <c r="K223" s="13"/>
      <c r="L223" s="13">
        <v>31</v>
      </c>
      <c r="M223" s="13">
        <v>25</v>
      </c>
      <c r="O223" s="3">
        <f>'Proposed Rates'!G55</f>
        <v>14.5</v>
      </c>
      <c r="P223" s="45"/>
      <c r="Q223" s="3"/>
      <c r="R223" s="50">
        <f>'Proposed Rates'!S55</f>
        <v>9.4155693195491139</v>
      </c>
    </row>
    <row r="224" spans="1:18" ht="13" x14ac:dyDescent="0.3">
      <c r="A224" s="1"/>
      <c r="D224" t="s">
        <v>49</v>
      </c>
      <c r="F224" s="16"/>
      <c r="G224" s="16">
        <v>0</v>
      </c>
      <c r="H224" s="14"/>
      <c r="I224" s="16">
        <v>0</v>
      </c>
      <c r="J224" s="16">
        <v>0</v>
      </c>
      <c r="K224" s="14"/>
      <c r="L224" s="14">
        <v>-10</v>
      </c>
      <c r="M224" s="14">
        <v>-10</v>
      </c>
      <c r="O224">
        <f>'Proposed Rates'!H55</f>
        <v>0</v>
      </c>
      <c r="P224" s="46"/>
      <c r="Q224" s="34"/>
      <c r="R224" s="86">
        <f>'Proposed Rates'!O55</f>
        <v>0</v>
      </c>
    </row>
    <row r="225" spans="1:18" ht="13" x14ac:dyDescent="0.3">
      <c r="A225" s="1"/>
      <c r="D225" t="s">
        <v>50</v>
      </c>
      <c r="F225" s="15"/>
      <c r="G225" s="15">
        <v>20.67</v>
      </c>
      <c r="H225" s="15"/>
      <c r="I225" s="15"/>
      <c r="J225" s="15">
        <v>43.25</v>
      </c>
      <c r="K225" s="15"/>
      <c r="L225" s="15"/>
      <c r="M225" s="15"/>
      <c r="O225" s="4">
        <f>'Proposed Rates'!I55</f>
        <v>22.9</v>
      </c>
      <c r="P225" s="47"/>
      <c r="Q225" s="4"/>
      <c r="R225" s="52">
        <f>'Proposed Rates'!V55</f>
        <v>51.77</v>
      </c>
    </row>
    <row r="226" spans="1:18" ht="13" x14ac:dyDescent="0.3">
      <c r="A226" s="1"/>
      <c r="D226" t="s">
        <v>51</v>
      </c>
      <c r="F226" s="16"/>
      <c r="G226" s="16"/>
      <c r="H226" s="16"/>
      <c r="I226" s="16"/>
      <c r="J226" s="16"/>
      <c r="K226" s="16"/>
      <c r="L226" s="16" t="s">
        <v>61</v>
      </c>
      <c r="M226" s="16" t="s">
        <v>706</v>
      </c>
      <c r="O226" s="35" t="str">
        <f>'Proposed Rates'!E55</f>
        <v>SQ</v>
      </c>
      <c r="P226" s="48"/>
      <c r="Q226" s="35"/>
      <c r="R226" s="53" t="str">
        <f>'Proposed Rates'!M55</f>
        <v>SQ</v>
      </c>
    </row>
    <row r="227" spans="1:18" ht="13" x14ac:dyDescent="0.3">
      <c r="A227" s="6"/>
      <c r="F227" s="16"/>
      <c r="G227" s="16"/>
      <c r="H227" s="16"/>
      <c r="I227" s="16"/>
      <c r="J227" s="16"/>
      <c r="K227" s="16"/>
      <c r="L227" s="16"/>
      <c r="M227" s="16"/>
      <c r="O227" s="35"/>
      <c r="P227" s="48"/>
      <c r="Q227" s="35"/>
      <c r="R227" s="54"/>
    </row>
    <row r="228" spans="1:18" ht="13" x14ac:dyDescent="0.3">
      <c r="A228" s="6">
        <f>'Proposed Rates'!A56</f>
        <v>39101</v>
      </c>
      <c r="C228" s="18" t="str">
        <f>'Proposed Rates'!C56</f>
        <v>Computer Equipment</v>
      </c>
      <c r="F228" s="12"/>
      <c r="G228" s="12"/>
      <c r="H228" s="12"/>
      <c r="I228" s="12"/>
      <c r="J228" s="12"/>
      <c r="K228" s="12"/>
      <c r="L228" s="12"/>
      <c r="M228" s="12"/>
      <c r="P228" s="42"/>
      <c r="R228" s="18"/>
    </row>
    <row r="229" spans="1:18" ht="13" x14ac:dyDescent="0.3">
      <c r="A229" s="6"/>
      <c r="D229" t="s">
        <v>47</v>
      </c>
      <c r="F229" s="13"/>
      <c r="G229" s="13">
        <v>4.8</v>
      </c>
      <c r="H229" s="13"/>
      <c r="I229" s="13">
        <v>4.3</v>
      </c>
      <c r="J229" s="13">
        <v>5.3</v>
      </c>
      <c r="K229" s="13"/>
      <c r="L229" s="13">
        <v>5</v>
      </c>
      <c r="M229" s="13">
        <v>4.75</v>
      </c>
      <c r="O229" s="3">
        <f>'Proposed Rates'!J56</f>
        <v>0.111</v>
      </c>
      <c r="P229" s="45"/>
      <c r="Q229" s="3"/>
      <c r="R229" s="50">
        <f>'Proposed Rates'!X56</f>
        <v>7.8E-2</v>
      </c>
    </row>
    <row r="230" spans="1:18" ht="13" x14ac:dyDescent="0.3">
      <c r="A230" s="6"/>
      <c r="D230" t="s">
        <v>79</v>
      </c>
      <c r="F230" s="14"/>
      <c r="G230" s="14"/>
      <c r="H230" s="14"/>
      <c r="I230" s="14"/>
      <c r="J230" s="14"/>
      <c r="K230" s="14"/>
      <c r="L230" s="14"/>
      <c r="M230" s="14"/>
      <c r="O230" s="34">
        <f>'Proposed Rates'!F56</f>
        <v>9</v>
      </c>
      <c r="P230" s="46"/>
      <c r="Q230" s="34"/>
      <c r="R230" s="51">
        <f>'Proposed Rates'!N56</f>
        <v>9</v>
      </c>
    </row>
    <row r="231" spans="1:18" ht="13" x14ac:dyDescent="0.3">
      <c r="A231" s="6"/>
      <c r="D231" t="s">
        <v>48</v>
      </c>
      <c r="F231" s="13"/>
      <c r="G231" s="13">
        <v>14.7</v>
      </c>
      <c r="H231" s="13"/>
      <c r="I231" s="13">
        <v>98.8</v>
      </c>
      <c r="J231" s="13">
        <v>3.6</v>
      </c>
      <c r="K231" s="13"/>
      <c r="L231" s="13">
        <v>20</v>
      </c>
      <c r="M231" s="13">
        <v>20</v>
      </c>
      <c r="O231" s="3">
        <f>'Proposed Rates'!G56</f>
        <v>5.2</v>
      </c>
      <c r="P231" s="45"/>
      <c r="Q231" s="3"/>
      <c r="R231" s="50">
        <f>'Proposed Rates'!S56</f>
        <v>5.4119503820957489</v>
      </c>
    </row>
    <row r="232" spans="1:18" ht="13" x14ac:dyDescent="0.3">
      <c r="A232" s="6"/>
      <c r="D232" t="s">
        <v>49</v>
      </c>
      <c r="F232" s="16"/>
      <c r="G232" s="16">
        <v>0</v>
      </c>
      <c r="H232" s="14"/>
      <c r="I232" s="16">
        <v>0</v>
      </c>
      <c r="J232" s="16">
        <v>0</v>
      </c>
      <c r="K232" s="14"/>
      <c r="L232" s="16">
        <v>5</v>
      </c>
      <c r="M232" s="16">
        <v>0</v>
      </c>
      <c r="O232">
        <f>'Proposed Rates'!H56</f>
        <v>0</v>
      </c>
      <c r="P232" s="46"/>
      <c r="Q232" s="34"/>
      <c r="R232" s="86">
        <f>'Proposed Rates'!O56</f>
        <v>0</v>
      </c>
    </row>
    <row r="233" spans="1:18" ht="13" x14ac:dyDescent="0.3">
      <c r="A233" s="6"/>
      <c r="D233" t="s">
        <v>50</v>
      </c>
      <c r="F233" s="15"/>
      <c r="G233" s="15">
        <v>28.82</v>
      </c>
      <c r="H233" s="15"/>
      <c r="I233" s="15"/>
      <c r="J233" s="15">
        <v>80.92</v>
      </c>
      <c r="K233" s="15"/>
      <c r="L233" s="15"/>
      <c r="M233" s="15"/>
      <c r="O233" s="4">
        <f>'Proposed Rates'!I56</f>
        <v>86.8</v>
      </c>
      <c r="P233" s="47"/>
      <c r="Q233" s="4"/>
      <c r="R233" s="52">
        <f>'Proposed Rates'!V56</f>
        <v>57.85</v>
      </c>
    </row>
    <row r="234" spans="1:18" ht="13" x14ac:dyDescent="0.3">
      <c r="A234" s="6"/>
      <c r="D234" t="s">
        <v>51</v>
      </c>
      <c r="F234" s="16"/>
      <c r="G234" s="16"/>
      <c r="H234" s="16"/>
      <c r="I234" s="16"/>
      <c r="J234" s="16"/>
      <c r="K234" s="16"/>
      <c r="L234" s="16" t="s">
        <v>652</v>
      </c>
      <c r="M234" s="16" t="s">
        <v>652</v>
      </c>
      <c r="O234" s="35" t="str">
        <f>'Proposed Rates'!E56</f>
        <v>SQ</v>
      </c>
      <c r="P234" s="48"/>
      <c r="Q234" s="35"/>
      <c r="R234" s="53" t="str">
        <f>'Proposed Rates'!M56</f>
        <v>SQ</v>
      </c>
    </row>
    <row r="235" spans="1:18" ht="13" x14ac:dyDescent="0.3">
      <c r="A235" s="6"/>
      <c r="F235" s="16"/>
      <c r="G235" s="16"/>
      <c r="H235" s="16"/>
      <c r="I235" s="16"/>
      <c r="J235" s="16"/>
      <c r="K235" s="16"/>
      <c r="L235" s="16"/>
      <c r="M235" s="16"/>
      <c r="O235" s="35"/>
      <c r="P235" s="48"/>
      <c r="Q235" s="35"/>
      <c r="R235" s="54"/>
    </row>
    <row r="236" spans="1:18" ht="13" x14ac:dyDescent="0.3">
      <c r="A236" s="6">
        <f>'Proposed Rates'!A57</f>
        <v>39102</v>
      </c>
      <c r="C236" s="18" t="str">
        <f>'Proposed Rates'!C57</f>
        <v>Office Equipment</v>
      </c>
      <c r="F236" s="12"/>
      <c r="G236" s="12"/>
      <c r="H236" s="12"/>
      <c r="I236" s="12"/>
      <c r="J236" s="12"/>
      <c r="K236" s="12"/>
      <c r="L236" s="12"/>
      <c r="M236" s="12"/>
      <c r="P236" s="42"/>
      <c r="R236" s="18"/>
    </row>
    <row r="237" spans="1:18" ht="13" x14ac:dyDescent="0.3">
      <c r="A237" s="6"/>
      <c r="D237" t="s">
        <v>47</v>
      </c>
      <c r="F237" s="13"/>
      <c r="G237" s="13">
        <v>11.1</v>
      </c>
      <c r="H237" s="13"/>
      <c r="I237" s="13">
        <v>16.7</v>
      </c>
      <c r="J237" s="13">
        <v>7.6</v>
      </c>
      <c r="K237" s="13"/>
      <c r="L237" s="13">
        <v>5</v>
      </c>
      <c r="M237" s="13">
        <v>4.75</v>
      </c>
      <c r="O237" s="3">
        <f>'Proposed Rates'!J57</f>
        <v>6.7000000000000004E-2</v>
      </c>
      <c r="P237" s="45"/>
      <c r="Q237" s="3"/>
      <c r="R237" s="50">
        <f>'Proposed Rates'!X57</f>
        <v>6.3E-2</v>
      </c>
    </row>
    <row r="238" spans="1:18" ht="13" x14ac:dyDescent="0.3">
      <c r="A238" s="6"/>
      <c r="D238" t="s">
        <v>79</v>
      </c>
      <c r="F238" s="14"/>
      <c r="G238" s="14"/>
      <c r="H238" s="14"/>
      <c r="I238" s="14"/>
      <c r="J238" s="14"/>
      <c r="K238" s="14"/>
      <c r="L238" s="14"/>
      <c r="M238" s="14"/>
      <c r="O238" s="34">
        <f>'Proposed Rates'!F57</f>
        <v>15</v>
      </c>
      <c r="P238" s="46"/>
      <c r="Q238" s="34"/>
      <c r="R238" s="51">
        <f>'Proposed Rates'!N57</f>
        <v>15</v>
      </c>
    </row>
    <row r="239" spans="1:18" ht="13" x14ac:dyDescent="0.3">
      <c r="A239" s="6"/>
      <c r="D239" t="s">
        <v>48</v>
      </c>
      <c r="F239" s="13"/>
      <c r="G239" s="13">
        <v>4.7</v>
      </c>
      <c r="H239" s="13"/>
      <c r="I239" s="13">
        <v>2.6</v>
      </c>
      <c r="J239" s="13">
        <v>7.1</v>
      </c>
      <c r="K239" s="13"/>
      <c r="L239" s="13">
        <v>20</v>
      </c>
      <c r="M239" s="13">
        <v>20</v>
      </c>
      <c r="O239" s="3">
        <f>'Proposed Rates'!G57</f>
        <v>13.1</v>
      </c>
      <c r="P239" s="45"/>
      <c r="Q239" s="3"/>
      <c r="R239" s="50">
        <f>'Proposed Rates'!S57</f>
        <v>5.8917490865813953</v>
      </c>
    </row>
    <row r="240" spans="1:18" ht="13" x14ac:dyDescent="0.3">
      <c r="A240" s="6"/>
      <c r="D240" t="s">
        <v>49</v>
      </c>
      <c r="F240" s="16"/>
      <c r="G240" s="16">
        <v>0</v>
      </c>
      <c r="H240" s="14"/>
      <c r="I240" s="16">
        <v>0</v>
      </c>
      <c r="J240" s="16">
        <v>0</v>
      </c>
      <c r="K240" s="14"/>
      <c r="L240" s="16">
        <v>5</v>
      </c>
      <c r="M240" s="16">
        <v>0</v>
      </c>
      <c r="O240">
        <f>'Proposed Rates'!H57</f>
        <v>0</v>
      </c>
      <c r="P240" s="46"/>
      <c r="Q240" s="34"/>
      <c r="R240" s="86">
        <f>'Proposed Rates'!O57</f>
        <v>0</v>
      </c>
    </row>
    <row r="241" spans="1:18" ht="13" x14ac:dyDescent="0.3">
      <c r="A241" s="6"/>
      <c r="D241" t="s">
        <v>50</v>
      </c>
      <c r="F241" s="15"/>
      <c r="G241" s="15">
        <v>47.95</v>
      </c>
      <c r="H241" s="15"/>
      <c r="I241" s="15"/>
      <c r="J241" s="15">
        <v>46.13</v>
      </c>
      <c r="K241" s="15"/>
      <c r="L241" s="15"/>
      <c r="M241" s="15"/>
      <c r="O241" s="4">
        <f>'Proposed Rates'!I57</f>
        <v>52</v>
      </c>
      <c r="P241" s="47"/>
      <c r="Q241" s="4"/>
      <c r="R241" s="52">
        <f>'Proposed Rates'!V57</f>
        <v>63.1</v>
      </c>
    </row>
    <row r="242" spans="1:18" ht="13" x14ac:dyDescent="0.3">
      <c r="A242" s="6"/>
      <c r="D242" t="s">
        <v>51</v>
      </c>
      <c r="F242" s="16"/>
      <c r="G242" s="16"/>
      <c r="H242" s="16"/>
      <c r="I242" s="16"/>
      <c r="J242" s="16"/>
      <c r="K242" s="16"/>
      <c r="L242" s="16" t="s">
        <v>652</v>
      </c>
      <c r="M242" s="16" t="s">
        <v>652</v>
      </c>
      <c r="O242" s="35" t="str">
        <f>'Proposed Rates'!E57</f>
        <v>SQ</v>
      </c>
      <c r="P242" s="48"/>
      <c r="Q242" s="35"/>
      <c r="R242" s="53" t="str">
        <f>'Proposed Rates'!M57</f>
        <v>SQ</v>
      </c>
    </row>
    <row r="243" spans="1:18" ht="13" x14ac:dyDescent="0.3">
      <c r="A243" s="6"/>
      <c r="F243" s="16"/>
      <c r="G243" s="16"/>
      <c r="H243" s="16"/>
      <c r="I243" s="16"/>
      <c r="J243" s="16"/>
      <c r="K243" s="16"/>
      <c r="L243" s="16"/>
      <c r="M243" s="16"/>
      <c r="O243" s="35"/>
      <c r="P243" s="48"/>
      <c r="Q243" s="35"/>
      <c r="R243" s="54"/>
    </row>
    <row r="244" spans="1:18" ht="13" x14ac:dyDescent="0.3">
      <c r="A244" s="6">
        <f>'Proposed Rates'!A61</f>
        <v>39300</v>
      </c>
      <c r="C244" s="18" t="str">
        <f>'Proposed Rates'!C61</f>
        <v>Stores Equipment</v>
      </c>
      <c r="F244" s="12"/>
      <c r="G244" s="12"/>
      <c r="H244" s="12"/>
      <c r="I244" s="12"/>
      <c r="J244" s="12"/>
      <c r="K244" s="12"/>
      <c r="L244" s="12"/>
      <c r="M244" s="12"/>
      <c r="P244" s="42"/>
      <c r="R244" s="18"/>
    </row>
    <row r="245" spans="1:18" ht="13" x14ac:dyDescent="0.3">
      <c r="A245" s="6"/>
      <c r="D245" t="s">
        <v>47</v>
      </c>
      <c r="F245" s="13"/>
      <c r="G245" s="13">
        <v>7.3</v>
      </c>
      <c r="H245" s="13"/>
      <c r="I245" s="13">
        <v>1.9</v>
      </c>
      <c r="J245" s="13">
        <v>8.3000000000000007</v>
      </c>
      <c r="K245" s="13"/>
      <c r="L245" s="13">
        <v>5</v>
      </c>
      <c r="M245" s="13">
        <v>4.75</v>
      </c>
      <c r="O245" s="3">
        <f>'Proposed Rates'!J61</f>
        <v>4.2000000000000003E-2</v>
      </c>
      <c r="P245" s="45"/>
      <c r="Q245" s="3"/>
      <c r="R245" s="50">
        <f>'Proposed Rates'!X61</f>
        <v>4.2999999999999997E-2</v>
      </c>
    </row>
    <row r="246" spans="1:18" ht="13" x14ac:dyDescent="0.3">
      <c r="A246" s="6"/>
      <c r="D246" t="s">
        <v>79</v>
      </c>
      <c r="F246" s="14"/>
      <c r="G246" s="14"/>
      <c r="H246" s="14"/>
      <c r="I246" s="14"/>
      <c r="J246" s="14"/>
      <c r="K246" s="14"/>
      <c r="L246" s="14"/>
      <c r="M246" s="14"/>
      <c r="O246" s="34">
        <f>'Proposed Rates'!F61</f>
        <v>24</v>
      </c>
      <c r="P246" s="46"/>
      <c r="Q246" s="34"/>
      <c r="R246" s="51">
        <f>'Proposed Rates'!N61</f>
        <v>24</v>
      </c>
    </row>
    <row r="247" spans="1:18" ht="13" x14ac:dyDescent="0.3">
      <c r="A247" s="6"/>
      <c r="D247" t="s">
        <v>48</v>
      </c>
      <c r="F247" s="13"/>
      <c r="G247" s="13">
        <v>9.1999999999999993</v>
      </c>
      <c r="H247" s="13"/>
      <c r="I247" s="13">
        <v>8.1999999999999993</v>
      </c>
      <c r="J247" s="13">
        <v>8.1999999999999993</v>
      </c>
      <c r="K247" s="13"/>
      <c r="L247" s="13">
        <v>20</v>
      </c>
      <c r="M247" s="13">
        <v>20</v>
      </c>
      <c r="O247" s="3">
        <f>'Proposed Rates'!G61</f>
        <v>18.5</v>
      </c>
      <c r="P247" s="45"/>
      <c r="Q247" s="3"/>
      <c r="R247" s="50">
        <f>'Proposed Rates'!S61</f>
        <v>12.5</v>
      </c>
    </row>
    <row r="248" spans="1:18" ht="13" x14ac:dyDescent="0.3">
      <c r="A248" s="6"/>
      <c r="D248" t="s">
        <v>49</v>
      </c>
      <c r="F248" s="16"/>
      <c r="G248" s="16">
        <v>0</v>
      </c>
      <c r="H248" s="14"/>
      <c r="I248" s="16">
        <v>0</v>
      </c>
      <c r="J248" s="16">
        <v>0</v>
      </c>
      <c r="K248" s="14"/>
      <c r="L248" s="16">
        <v>5</v>
      </c>
      <c r="M248" s="16">
        <v>0</v>
      </c>
      <c r="O248">
        <f>'Proposed Rates'!H61</f>
        <v>0</v>
      </c>
      <c r="P248" s="46"/>
      <c r="Q248" s="34"/>
      <c r="R248" s="86">
        <f>'Proposed Rates'!O61</f>
        <v>0</v>
      </c>
    </row>
    <row r="249" spans="1:18" ht="13" x14ac:dyDescent="0.3">
      <c r="A249" s="6"/>
      <c r="D249" t="s">
        <v>50</v>
      </c>
      <c r="F249" s="15"/>
      <c r="G249" s="15">
        <v>32.69</v>
      </c>
      <c r="H249" s="15"/>
      <c r="I249" s="15"/>
      <c r="J249" s="15">
        <v>31.94</v>
      </c>
      <c r="K249" s="15"/>
      <c r="L249" s="15"/>
      <c r="M249" s="15"/>
      <c r="O249" s="4">
        <f>'Proposed Rates'!I61</f>
        <v>33.5</v>
      </c>
      <c r="P249" s="47"/>
      <c r="Q249" s="4"/>
      <c r="R249" s="52">
        <f>'Proposed Rates'!V61</f>
        <v>46.12</v>
      </c>
    </row>
    <row r="250" spans="1:18" ht="13" x14ac:dyDescent="0.3">
      <c r="A250" s="6"/>
      <c r="D250" t="s">
        <v>51</v>
      </c>
      <c r="F250" s="16"/>
      <c r="G250" s="16"/>
      <c r="H250" s="16"/>
      <c r="I250" s="16"/>
      <c r="J250" s="16"/>
      <c r="K250" s="16"/>
      <c r="L250" s="16" t="s">
        <v>652</v>
      </c>
      <c r="M250" s="16" t="s">
        <v>652</v>
      </c>
      <c r="O250" s="35" t="str">
        <f>'Proposed Rates'!E61</f>
        <v>SQ</v>
      </c>
      <c r="P250" s="48"/>
      <c r="Q250" s="35"/>
      <c r="R250" s="53" t="str">
        <f>'Proposed Rates'!M61</f>
        <v>SQ</v>
      </c>
    </row>
    <row r="251" spans="1:18" ht="13" x14ac:dyDescent="0.3">
      <c r="A251" s="6"/>
      <c r="F251" s="16"/>
      <c r="G251" s="16"/>
      <c r="H251" s="16"/>
      <c r="I251" s="16"/>
      <c r="J251" s="16"/>
      <c r="K251" s="16"/>
      <c r="L251" s="16"/>
      <c r="M251" s="16"/>
      <c r="O251" s="35"/>
      <c r="P251" s="48"/>
      <c r="Q251" s="35"/>
      <c r="R251" s="54"/>
    </row>
    <row r="252" spans="1:18" ht="13" x14ac:dyDescent="0.3">
      <c r="A252" s="6">
        <f>'Proposed Rates'!A62</f>
        <v>39400</v>
      </c>
      <c r="C252" s="18" t="str">
        <f>'Proposed Rates'!C62</f>
        <v>Tools, Shop &amp; Garage Equip</v>
      </c>
      <c r="F252" s="12"/>
      <c r="G252" s="12"/>
      <c r="H252" s="12"/>
      <c r="I252" s="12"/>
      <c r="J252" s="12"/>
      <c r="K252" s="12"/>
      <c r="L252" s="12"/>
      <c r="M252" s="12"/>
      <c r="P252" s="42"/>
      <c r="R252" s="18"/>
    </row>
    <row r="253" spans="1:18" ht="13" x14ac:dyDescent="0.3">
      <c r="A253" s="6"/>
      <c r="D253" t="s">
        <v>47</v>
      </c>
      <c r="F253" s="13"/>
      <c r="G253" s="13">
        <v>4</v>
      </c>
      <c r="H253" s="13"/>
      <c r="I253" s="13">
        <v>3.6</v>
      </c>
      <c r="J253" s="13">
        <v>4</v>
      </c>
      <c r="K253" s="13"/>
      <c r="L253" s="72">
        <v>3.33</v>
      </c>
      <c r="M253" s="72">
        <v>3.17</v>
      </c>
      <c r="O253" s="3">
        <f>'Proposed Rates'!J62</f>
        <v>5.6000000000000001E-2</v>
      </c>
      <c r="P253" s="45"/>
      <c r="Q253" s="3"/>
      <c r="R253" s="50">
        <f>'Proposed Rates'!X62</f>
        <v>4.8000000000000001E-2</v>
      </c>
    </row>
    <row r="254" spans="1:18" ht="13" x14ac:dyDescent="0.3">
      <c r="A254" s="6"/>
      <c r="D254" t="s">
        <v>79</v>
      </c>
      <c r="F254" s="14"/>
      <c r="G254" s="14"/>
      <c r="H254" s="14"/>
      <c r="I254" s="14"/>
      <c r="J254" s="14"/>
      <c r="K254" s="14"/>
      <c r="L254" s="72"/>
      <c r="M254" s="72"/>
      <c r="O254" s="34">
        <f>'Proposed Rates'!F62</f>
        <v>18</v>
      </c>
      <c r="P254" s="46"/>
      <c r="Q254" s="34"/>
      <c r="R254" s="51">
        <f>'Proposed Rates'!N62</f>
        <v>18</v>
      </c>
    </row>
    <row r="255" spans="1:18" ht="13" x14ac:dyDescent="0.3">
      <c r="A255" s="6"/>
      <c r="D255" t="s">
        <v>48</v>
      </c>
      <c r="F255" s="13"/>
      <c r="G255" s="13">
        <v>18</v>
      </c>
      <c r="H255" s="13"/>
      <c r="I255" s="13">
        <v>6.9</v>
      </c>
      <c r="J255" s="13">
        <v>12</v>
      </c>
      <c r="K255" s="13"/>
      <c r="L255" s="72">
        <v>30</v>
      </c>
      <c r="M255" s="72">
        <v>30</v>
      </c>
      <c r="O255" s="3">
        <f>'Proposed Rates'!G62</f>
        <v>11.4</v>
      </c>
      <c r="P255" s="45"/>
      <c r="Q255" s="3"/>
      <c r="R255" s="50">
        <f>'Proposed Rates'!S62</f>
        <v>10.158405861079391</v>
      </c>
    </row>
    <row r="256" spans="1:18" ht="13" x14ac:dyDescent="0.3">
      <c r="A256" s="6"/>
      <c r="D256" t="s">
        <v>49</v>
      </c>
      <c r="F256" s="16"/>
      <c r="G256" s="16">
        <v>0</v>
      </c>
      <c r="H256" s="14"/>
      <c r="I256" s="16">
        <v>0</v>
      </c>
      <c r="J256" s="16">
        <v>0</v>
      </c>
      <c r="K256" s="14"/>
      <c r="L256" s="16">
        <v>0</v>
      </c>
      <c r="M256" s="72">
        <v>5</v>
      </c>
      <c r="O256">
        <f>'Proposed Rates'!H62</f>
        <v>0</v>
      </c>
      <c r="P256" s="46"/>
      <c r="Q256" s="34"/>
      <c r="R256" s="86">
        <f>'Proposed Rates'!O62</f>
        <v>0</v>
      </c>
    </row>
    <row r="257" spans="1:18" ht="13" x14ac:dyDescent="0.3">
      <c r="A257" s="6"/>
      <c r="D257" t="s">
        <v>50</v>
      </c>
      <c r="F257" s="15"/>
      <c r="G257" s="15">
        <v>28.58</v>
      </c>
      <c r="H257" s="15"/>
      <c r="I257" s="15"/>
      <c r="J257" s="15">
        <v>51.99</v>
      </c>
      <c r="K257" s="15"/>
      <c r="L257" s="72"/>
      <c r="M257" s="72"/>
      <c r="O257" s="4">
        <f>'Proposed Rates'!I62</f>
        <v>45.9</v>
      </c>
      <c r="P257" s="47"/>
      <c r="Q257" s="4"/>
      <c r="R257" s="52">
        <f>'Proposed Rates'!V62</f>
        <v>51.48</v>
      </c>
    </row>
    <row r="258" spans="1:18" ht="13" x14ac:dyDescent="0.3">
      <c r="A258" s="6"/>
      <c r="D258" t="s">
        <v>51</v>
      </c>
      <c r="F258" s="16"/>
      <c r="G258" s="16"/>
      <c r="H258" s="16"/>
      <c r="I258" s="16"/>
      <c r="J258" s="16"/>
      <c r="K258" s="16"/>
      <c r="L258" s="16" t="s">
        <v>652</v>
      </c>
      <c r="M258" s="16" t="s">
        <v>652</v>
      </c>
      <c r="O258" s="35" t="str">
        <f>'Proposed Rates'!E62</f>
        <v>SQ</v>
      </c>
      <c r="P258" s="48"/>
      <c r="Q258" s="35"/>
      <c r="R258" s="53" t="str">
        <f>'Proposed Rates'!M62</f>
        <v>SQ</v>
      </c>
    </row>
    <row r="259" spans="1:18" ht="13" x14ac:dyDescent="0.3">
      <c r="A259" s="6"/>
      <c r="F259" s="16"/>
      <c r="G259" s="16"/>
      <c r="H259" s="16"/>
      <c r="I259" s="16"/>
      <c r="J259" s="16"/>
      <c r="K259" s="16"/>
      <c r="L259" s="16"/>
      <c r="M259" s="16"/>
      <c r="O259" s="35"/>
      <c r="P259" s="48"/>
      <c r="Q259" s="35"/>
      <c r="R259" s="54"/>
    </row>
    <row r="260" spans="1:18" ht="13" x14ac:dyDescent="0.3">
      <c r="A260" s="6">
        <f>'Proposed Rates'!A63</f>
        <v>39401</v>
      </c>
      <c r="C260" s="18" t="str">
        <f>'Proposed Rates'!C63</f>
        <v>CNG Station Equipment</v>
      </c>
      <c r="F260" s="12"/>
      <c r="G260" s="12"/>
      <c r="H260" s="12"/>
      <c r="I260" s="12"/>
      <c r="J260" s="12"/>
      <c r="K260" s="12"/>
      <c r="L260" s="12"/>
      <c r="M260" s="12"/>
      <c r="P260" s="42"/>
      <c r="R260" s="18"/>
    </row>
    <row r="261" spans="1:18" ht="13" x14ac:dyDescent="0.3">
      <c r="A261" s="6"/>
      <c r="D261" t="s">
        <v>47</v>
      </c>
      <c r="F261" s="13"/>
      <c r="G261" s="13">
        <v>7.2</v>
      </c>
      <c r="H261" s="13"/>
      <c r="I261" s="13">
        <v>6.7</v>
      </c>
      <c r="J261" s="13">
        <v>6.7</v>
      </c>
      <c r="K261" s="13"/>
      <c r="L261" s="13">
        <v>4</v>
      </c>
      <c r="M261" s="13">
        <v>3.8</v>
      </c>
      <c r="O261" s="3">
        <f>'Proposed Rates'!J63</f>
        <v>0.05</v>
      </c>
      <c r="P261" s="45"/>
      <c r="Q261" s="3"/>
      <c r="R261" s="50">
        <f>'Proposed Rates'!X63</f>
        <v>5.0999999999999997E-2</v>
      </c>
    </row>
    <row r="262" spans="1:18" ht="13" x14ac:dyDescent="0.3">
      <c r="A262" s="6"/>
      <c r="D262" t="s">
        <v>79</v>
      </c>
      <c r="F262" s="14"/>
      <c r="G262" s="14"/>
      <c r="H262" s="14"/>
      <c r="I262" s="14"/>
      <c r="J262" s="14"/>
      <c r="K262" s="14"/>
      <c r="L262" s="14"/>
      <c r="M262" s="14"/>
      <c r="O262" s="34">
        <f>'Proposed Rates'!F63</f>
        <v>20</v>
      </c>
      <c r="P262" s="46"/>
      <c r="Q262" s="34"/>
      <c r="R262" s="51">
        <f>'Proposed Rates'!N63</f>
        <v>20</v>
      </c>
    </row>
    <row r="263" spans="1:18" ht="13" x14ac:dyDescent="0.3">
      <c r="A263" s="6"/>
      <c r="D263" t="s">
        <v>48</v>
      </c>
      <c r="F263" s="13"/>
      <c r="G263" s="13">
        <v>6.6</v>
      </c>
      <c r="H263" s="13"/>
      <c r="I263" s="13">
        <v>8.5</v>
      </c>
      <c r="J263" s="13">
        <v>6</v>
      </c>
      <c r="K263" s="13"/>
      <c r="L263" s="13">
        <v>25</v>
      </c>
      <c r="M263" s="13">
        <v>25</v>
      </c>
      <c r="O263" s="3">
        <f>'Proposed Rates'!G63</f>
        <v>16.399999999999999</v>
      </c>
      <c r="P263" s="45"/>
      <c r="Q263" s="3"/>
      <c r="R263" s="50">
        <f>'Proposed Rates'!S63</f>
        <v>14.933922505577536</v>
      </c>
    </row>
    <row r="264" spans="1:18" ht="13" x14ac:dyDescent="0.3">
      <c r="A264" s="6"/>
      <c r="D264" t="s">
        <v>49</v>
      </c>
      <c r="F264" s="16"/>
      <c r="G264" s="16">
        <v>0</v>
      </c>
      <c r="H264" s="14"/>
      <c r="I264" s="16">
        <v>0</v>
      </c>
      <c r="J264" s="16">
        <v>0</v>
      </c>
      <c r="K264" s="14"/>
      <c r="L264" s="16">
        <v>0</v>
      </c>
      <c r="M264" s="16">
        <v>5</v>
      </c>
      <c r="O264">
        <f>'Proposed Rates'!H63</f>
        <v>0</v>
      </c>
      <c r="P264" s="46"/>
      <c r="Q264" s="34"/>
      <c r="R264" s="86">
        <f>'Proposed Rates'!O63</f>
        <v>0</v>
      </c>
    </row>
    <row r="265" spans="1:18" ht="13" x14ac:dyDescent="0.3">
      <c r="A265" s="6"/>
      <c r="D265" t="s">
        <v>50</v>
      </c>
      <c r="F265" s="15"/>
      <c r="G265" s="15">
        <v>52.45</v>
      </c>
      <c r="H265" s="15"/>
      <c r="I265" s="15"/>
      <c r="J265" s="15">
        <v>59.8</v>
      </c>
      <c r="K265" s="15"/>
      <c r="L265" s="16" t="s">
        <v>652</v>
      </c>
      <c r="M265" s="16" t="s">
        <v>652</v>
      </c>
      <c r="O265" s="4">
        <f>'Proposed Rates'!I63</f>
        <v>17</v>
      </c>
      <c r="P265" s="47"/>
      <c r="Q265" s="4"/>
      <c r="R265" s="52">
        <f>'Proposed Rates'!V63</f>
        <v>24.53</v>
      </c>
    </row>
    <row r="266" spans="1:18" ht="13" x14ac:dyDescent="0.3">
      <c r="A266" s="6"/>
      <c r="D266" t="s">
        <v>51</v>
      </c>
      <c r="F266" s="16"/>
      <c r="G266" s="16"/>
      <c r="H266" s="16"/>
      <c r="I266" s="16"/>
      <c r="J266" s="16"/>
      <c r="K266" s="16"/>
      <c r="L266" s="15"/>
      <c r="M266" s="15"/>
      <c r="O266" s="35" t="str">
        <f>'Proposed Rates'!E63</f>
        <v>SQ</v>
      </c>
      <c r="P266" s="48"/>
      <c r="Q266" s="35"/>
      <c r="R266" s="53" t="str">
        <f>'Proposed Rates'!M63</f>
        <v>SQ</v>
      </c>
    </row>
    <row r="267" spans="1:18" ht="13" x14ac:dyDescent="0.3">
      <c r="A267" s="6"/>
      <c r="F267" s="16"/>
      <c r="G267" s="16"/>
      <c r="H267" s="16"/>
      <c r="I267" s="16"/>
      <c r="J267" s="16"/>
      <c r="K267" s="16"/>
      <c r="L267" s="16"/>
      <c r="M267" s="16"/>
      <c r="O267" s="35"/>
      <c r="P267" s="48"/>
      <c r="Q267" s="35"/>
      <c r="R267" s="54"/>
    </row>
    <row r="268" spans="1:18" ht="13" x14ac:dyDescent="0.3">
      <c r="A268" s="6">
        <f>'Proposed Rates'!A65</f>
        <v>39600</v>
      </c>
      <c r="C268" s="18" t="str">
        <f>'Proposed Rates'!C65</f>
        <v>Power Operated Equipment</v>
      </c>
      <c r="F268" s="12"/>
      <c r="G268" s="12"/>
      <c r="H268" s="12"/>
      <c r="I268" s="12"/>
      <c r="J268" s="12"/>
      <c r="K268" s="12"/>
      <c r="L268" s="12"/>
      <c r="M268" s="12"/>
      <c r="P268" s="42"/>
      <c r="R268" s="18"/>
    </row>
    <row r="269" spans="1:18" ht="13" x14ac:dyDescent="0.3">
      <c r="A269" s="6"/>
      <c r="D269" t="s">
        <v>47</v>
      </c>
      <c r="F269" s="72"/>
      <c r="G269" s="72">
        <v>5</v>
      </c>
      <c r="H269" s="13"/>
      <c r="I269" s="13">
        <v>4</v>
      </c>
      <c r="J269" s="13">
        <v>4</v>
      </c>
      <c r="K269" s="13"/>
      <c r="L269" s="72">
        <v>10</v>
      </c>
      <c r="M269" s="72">
        <v>9.5</v>
      </c>
      <c r="O269" s="3">
        <f>'Proposed Rates'!J65</f>
        <v>2.7E-2</v>
      </c>
      <c r="P269" s="45"/>
      <c r="Q269" s="3"/>
      <c r="R269" s="50">
        <f>'Proposed Rates'!X65</f>
        <v>2.8999999999999998E-2</v>
      </c>
    </row>
    <row r="270" spans="1:18" ht="13" x14ac:dyDescent="0.3">
      <c r="A270" s="6"/>
      <c r="D270" t="s">
        <v>79</v>
      </c>
      <c r="F270" s="14"/>
      <c r="G270" s="14"/>
      <c r="H270" s="14"/>
      <c r="I270" s="14"/>
      <c r="J270" s="14"/>
      <c r="K270" s="14"/>
      <c r="L270" s="72"/>
      <c r="M270" s="72"/>
      <c r="O270" s="34">
        <f>'Proposed Rates'!F65</f>
        <v>18</v>
      </c>
      <c r="P270" s="46"/>
      <c r="Q270" s="34"/>
      <c r="R270" s="51">
        <f>'Proposed Rates'!N65</f>
        <v>18</v>
      </c>
    </row>
    <row r="271" spans="1:18" ht="13" x14ac:dyDescent="0.3">
      <c r="A271" s="6"/>
      <c r="D271" t="s">
        <v>48</v>
      </c>
      <c r="F271" s="16"/>
      <c r="G271" s="16">
        <v>20</v>
      </c>
      <c r="H271" s="13"/>
      <c r="I271" s="13">
        <v>4.5999999999999996</v>
      </c>
      <c r="J271" s="13">
        <v>4.9000000000000004</v>
      </c>
      <c r="K271" s="13"/>
      <c r="L271" s="72">
        <v>10</v>
      </c>
      <c r="M271" s="72">
        <v>10</v>
      </c>
      <c r="O271" s="3">
        <f>'Proposed Rates'!G65</f>
        <v>11.2</v>
      </c>
      <c r="P271" s="45"/>
      <c r="Q271" s="3"/>
      <c r="R271" s="50">
        <f>'Proposed Rates'!S65</f>
        <v>10.668836430679919</v>
      </c>
    </row>
    <row r="272" spans="1:18" ht="13" x14ac:dyDescent="0.3">
      <c r="A272" s="6"/>
      <c r="D272" t="s">
        <v>49</v>
      </c>
      <c r="F272" s="16"/>
      <c r="G272" s="16">
        <v>0</v>
      </c>
      <c r="H272" s="14"/>
      <c r="I272" s="16">
        <v>0</v>
      </c>
      <c r="J272" s="16">
        <v>0</v>
      </c>
      <c r="K272" s="14"/>
      <c r="L272" s="16">
        <v>0</v>
      </c>
      <c r="M272" s="72">
        <v>5</v>
      </c>
      <c r="O272">
        <f>'Proposed Rates'!H65</f>
        <v>10</v>
      </c>
      <c r="P272" s="46"/>
      <c r="Q272" s="34"/>
      <c r="R272" s="86">
        <f>'Proposed Rates'!O65</f>
        <v>10</v>
      </c>
    </row>
    <row r="273" spans="1:18" ht="13" x14ac:dyDescent="0.3">
      <c r="A273" s="6"/>
      <c r="D273" t="s">
        <v>50</v>
      </c>
      <c r="F273" s="72"/>
      <c r="G273" s="72" t="s">
        <v>651</v>
      </c>
      <c r="H273" s="15"/>
      <c r="I273" s="15"/>
      <c r="J273" s="15">
        <v>80.39</v>
      </c>
      <c r="K273" s="15"/>
      <c r="L273" s="72"/>
      <c r="M273" s="72"/>
      <c r="O273" s="4">
        <f>'Proposed Rates'!I65</f>
        <v>60.1</v>
      </c>
      <c r="P273" s="47"/>
      <c r="Q273" s="4"/>
      <c r="R273" s="52">
        <f>'Proposed Rates'!V65</f>
        <v>59.55</v>
      </c>
    </row>
    <row r="274" spans="1:18" ht="13" x14ac:dyDescent="0.3">
      <c r="A274" s="6"/>
      <c r="D274" t="s">
        <v>51</v>
      </c>
      <c r="F274" s="16"/>
      <c r="G274" s="16"/>
      <c r="H274" s="16"/>
      <c r="I274" s="16"/>
      <c r="J274" s="16"/>
      <c r="K274" s="16"/>
      <c r="L274" s="16" t="s">
        <v>652</v>
      </c>
      <c r="M274" s="16" t="s">
        <v>652</v>
      </c>
      <c r="O274" s="35" t="str">
        <f>'Proposed Rates'!E65</f>
        <v>L1.5</v>
      </c>
      <c r="P274" s="48"/>
      <c r="Q274" s="35"/>
      <c r="R274" s="53" t="str">
        <f>'Proposed Rates'!M65</f>
        <v>L1.5</v>
      </c>
    </row>
    <row r="275" spans="1:18" ht="13" x14ac:dyDescent="0.3">
      <c r="A275" s="6"/>
      <c r="F275" s="12"/>
      <c r="G275" s="12"/>
      <c r="H275" s="12"/>
      <c r="I275" s="12"/>
      <c r="J275" s="12"/>
      <c r="K275" s="12"/>
      <c r="L275" s="12"/>
      <c r="M275" s="12"/>
      <c r="P275" s="42"/>
      <c r="R275" s="54"/>
    </row>
    <row r="276" spans="1:18" ht="13" x14ac:dyDescent="0.3">
      <c r="A276" s="6">
        <f>'Proposed Rates'!A66</f>
        <v>39700</v>
      </c>
      <c r="C276" s="18" t="str">
        <f>'Proposed Rates'!C66</f>
        <v>Communication Equipment</v>
      </c>
      <c r="F276" s="12"/>
      <c r="G276" s="12"/>
      <c r="H276" s="12"/>
      <c r="I276" s="12"/>
      <c r="J276" s="12"/>
      <c r="K276" s="12"/>
      <c r="L276" s="12"/>
      <c r="M276" s="12"/>
      <c r="P276" s="42"/>
      <c r="R276" s="18"/>
    </row>
    <row r="277" spans="1:18" ht="13" x14ac:dyDescent="0.3">
      <c r="A277" s="6"/>
      <c r="D277" t="s">
        <v>47</v>
      </c>
      <c r="F277" s="13"/>
      <c r="G277" s="13">
        <v>6.8</v>
      </c>
      <c r="H277" s="13"/>
      <c r="I277" s="72" t="s">
        <v>651</v>
      </c>
      <c r="J277" s="72" t="s">
        <v>651</v>
      </c>
      <c r="K277" s="13"/>
      <c r="L277" s="72">
        <v>9</v>
      </c>
      <c r="M277" s="72">
        <v>9</v>
      </c>
      <c r="O277" s="3">
        <f>'Proposed Rates'!J66</f>
        <v>7.6999999999999999E-2</v>
      </c>
      <c r="P277" s="45"/>
      <c r="Q277" s="3"/>
      <c r="R277" s="50">
        <f>'Proposed Rates'!X66</f>
        <v>0</v>
      </c>
    </row>
    <row r="278" spans="1:18" ht="13" x14ac:dyDescent="0.3">
      <c r="A278" s="6"/>
      <c r="D278" t="s">
        <v>79</v>
      </c>
      <c r="F278" s="14"/>
      <c r="G278" s="14"/>
      <c r="H278" s="14"/>
      <c r="I278" s="72" t="s">
        <v>651</v>
      </c>
      <c r="J278" s="72" t="s">
        <v>651</v>
      </c>
      <c r="K278" s="14"/>
      <c r="L278" s="72"/>
      <c r="M278" s="72"/>
      <c r="O278" s="34">
        <f>'Proposed Rates'!F66</f>
        <v>13</v>
      </c>
      <c r="P278" s="46"/>
      <c r="Q278" s="34"/>
      <c r="R278" s="51">
        <f>'Proposed Rates'!N66</f>
        <v>13</v>
      </c>
    </row>
    <row r="279" spans="1:18" ht="13" x14ac:dyDescent="0.3">
      <c r="A279" s="6"/>
      <c r="D279" t="s">
        <v>48</v>
      </c>
      <c r="F279" s="13"/>
      <c r="G279" s="13">
        <v>8.4</v>
      </c>
      <c r="H279" s="13"/>
      <c r="I279" s="72" t="s">
        <v>651</v>
      </c>
      <c r="J279" s="72" t="s">
        <v>651</v>
      </c>
      <c r="K279" s="13"/>
      <c r="L279" s="72">
        <v>10</v>
      </c>
      <c r="M279" s="72">
        <v>10</v>
      </c>
      <c r="O279" s="3">
        <f>'Proposed Rates'!G66</f>
        <v>4.7</v>
      </c>
      <c r="P279" s="45"/>
      <c r="Q279" s="3"/>
      <c r="R279" s="50">
        <f>'Proposed Rates'!S66</f>
        <v>2.2975441032926631</v>
      </c>
    </row>
    <row r="280" spans="1:18" ht="13" x14ac:dyDescent="0.3">
      <c r="A280" s="6"/>
      <c r="D280" t="s">
        <v>49</v>
      </c>
      <c r="F280" s="14"/>
      <c r="G280" s="14">
        <v>5</v>
      </c>
      <c r="H280" s="14"/>
      <c r="I280" s="72" t="s">
        <v>651</v>
      </c>
      <c r="J280" s="72" t="s">
        <v>651</v>
      </c>
      <c r="K280" s="14"/>
      <c r="L280" s="72">
        <v>10</v>
      </c>
      <c r="M280" s="72">
        <v>5</v>
      </c>
      <c r="O280" s="34">
        <f>'Proposed Rates'!H66</f>
        <v>0</v>
      </c>
      <c r="P280" s="46"/>
      <c r="Q280" s="34"/>
      <c r="R280" s="51">
        <f>'Proposed Rates'!O66</f>
        <v>0</v>
      </c>
    </row>
    <row r="281" spans="1:18" ht="13" x14ac:dyDescent="0.3">
      <c r="A281" s="6"/>
      <c r="D281" t="s">
        <v>50</v>
      </c>
      <c r="F281" s="15"/>
      <c r="G281" s="15">
        <v>37.93</v>
      </c>
      <c r="H281" s="15"/>
      <c r="I281" s="72" t="s">
        <v>651</v>
      </c>
      <c r="J281" s="72" t="s">
        <v>651</v>
      </c>
      <c r="K281" s="15"/>
      <c r="L281" s="72"/>
      <c r="M281" s="72"/>
      <c r="O281" s="4">
        <f>'Proposed Rates'!I66</f>
        <v>81.400000000000006</v>
      </c>
      <c r="P281" s="47"/>
      <c r="Q281" s="4"/>
      <c r="R281" s="52">
        <f>'Proposed Rates'!V66</f>
        <v>97.38</v>
      </c>
    </row>
    <row r="282" spans="1:18" ht="13" x14ac:dyDescent="0.3">
      <c r="A282" s="6"/>
      <c r="D282" t="s">
        <v>51</v>
      </c>
      <c r="F282" s="16"/>
      <c r="G282" s="16"/>
      <c r="H282" s="16"/>
      <c r="I282" s="72" t="s">
        <v>651</v>
      </c>
      <c r="J282" s="72" t="s">
        <v>651</v>
      </c>
      <c r="K282" s="16"/>
      <c r="L282" s="16" t="s">
        <v>652</v>
      </c>
      <c r="M282" s="16" t="s">
        <v>652</v>
      </c>
      <c r="O282" s="35" t="str">
        <f>'Proposed Rates'!E66</f>
        <v>SQ</v>
      </c>
      <c r="P282" s="48"/>
      <c r="Q282" s="35"/>
      <c r="R282" s="53" t="str">
        <f>'Proposed Rates'!M66</f>
        <v>SQ</v>
      </c>
    </row>
    <row r="283" spans="1:18" ht="13" x14ac:dyDescent="0.3">
      <c r="A283" s="6"/>
      <c r="F283" s="12"/>
      <c r="G283" s="12"/>
      <c r="H283" s="12"/>
      <c r="I283" s="12"/>
      <c r="J283" s="12"/>
      <c r="K283" s="12"/>
      <c r="L283" s="12"/>
      <c r="M283" s="12"/>
      <c r="P283" s="42"/>
      <c r="R283" s="54"/>
    </row>
    <row r="284" spans="1:18" ht="13" x14ac:dyDescent="0.3">
      <c r="A284" s="6">
        <f>'Proposed Rates'!A67</f>
        <v>39800</v>
      </c>
      <c r="C284" s="18" t="str">
        <f>'Proposed Rates'!C67</f>
        <v>Miscellaneous Equipment</v>
      </c>
      <c r="F284" s="12"/>
      <c r="G284" s="12"/>
      <c r="H284" s="12"/>
      <c r="I284" s="12"/>
      <c r="J284" s="12"/>
      <c r="K284" s="12"/>
      <c r="L284" s="12"/>
      <c r="M284" s="12"/>
      <c r="P284" s="42"/>
      <c r="R284" s="18"/>
    </row>
    <row r="285" spans="1:18" ht="13" x14ac:dyDescent="0.3">
      <c r="A285" s="6"/>
      <c r="D285" t="s">
        <v>47</v>
      </c>
      <c r="F285" s="13"/>
      <c r="G285" s="13">
        <v>9.1999999999999993</v>
      </c>
      <c r="H285" s="13"/>
      <c r="I285" s="13">
        <v>6.9</v>
      </c>
      <c r="J285" s="13">
        <v>8.3000000000000007</v>
      </c>
      <c r="K285" s="13"/>
      <c r="L285" s="72">
        <v>6.67</v>
      </c>
      <c r="M285" s="72">
        <v>6.67</v>
      </c>
      <c r="O285" s="3">
        <f>'Proposed Rates'!J67</f>
        <v>0.05</v>
      </c>
      <c r="P285" s="45"/>
      <c r="Q285" s="3"/>
      <c r="R285" s="50">
        <f>'Proposed Rates'!X67</f>
        <v>4.2999999999999997E-2</v>
      </c>
    </row>
    <row r="286" spans="1:18" ht="13" x14ac:dyDescent="0.3">
      <c r="A286" s="6"/>
      <c r="D286" t="s">
        <v>79</v>
      </c>
      <c r="F286" s="14"/>
      <c r="G286" s="14"/>
      <c r="H286" s="14"/>
      <c r="I286" s="14"/>
      <c r="J286" s="14"/>
      <c r="K286" s="14"/>
      <c r="L286" s="72"/>
      <c r="M286" s="72"/>
      <c r="O286" s="34">
        <f>'Proposed Rates'!F67</f>
        <v>20</v>
      </c>
      <c r="P286" s="46"/>
      <c r="Q286" s="34"/>
      <c r="R286" s="51">
        <f>'Proposed Rates'!N67</f>
        <v>20</v>
      </c>
    </row>
    <row r="287" spans="1:18" ht="13" x14ac:dyDescent="0.3">
      <c r="A287" s="6"/>
      <c r="D287" t="s">
        <v>48</v>
      </c>
      <c r="F287" s="13"/>
      <c r="G287" s="13">
        <v>8.8000000000000007</v>
      </c>
      <c r="H287" s="13"/>
      <c r="I287" s="13">
        <v>6.2</v>
      </c>
      <c r="J287" s="13">
        <v>1</v>
      </c>
      <c r="K287" s="13"/>
      <c r="L287" s="72">
        <v>15</v>
      </c>
      <c r="M287" s="72">
        <v>15</v>
      </c>
      <c r="O287" s="3">
        <f>'Proposed Rates'!G67</f>
        <v>16.8</v>
      </c>
      <c r="P287" s="45"/>
      <c r="Q287" s="3"/>
      <c r="R287" s="50">
        <f>'Proposed Rates'!S67</f>
        <v>16.570055378871142</v>
      </c>
    </row>
    <row r="288" spans="1:18" ht="13" x14ac:dyDescent="0.3">
      <c r="A288" s="6"/>
      <c r="D288" t="s">
        <v>49</v>
      </c>
      <c r="F288" s="16"/>
      <c r="G288" s="16">
        <v>0</v>
      </c>
      <c r="H288" s="14"/>
      <c r="I288" s="16">
        <v>0</v>
      </c>
      <c r="J288" s="16">
        <v>0</v>
      </c>
      <c r="K288" s="14"/>
      <c r="L288" s="16">
        <v>0</v>
      </c>
      <c r="M288" s="16">
        <v>0</v>
      </c>
      <c r="O288">
        <f>'Proposed Rates'!H67</f>
        <v>0</v>
      </c>
      <c r="P288" s="46"/>
      <c r="Q288" s="34"/>
      <c r="R288" s="86">
        <f>'Proposed Rates'!O67</f>
        <v>0</v>
      </c>
    </row>
    <row r="289" spans="1:18" ht="13" x14ac:dyDescent="0.3">
      <c r="A289" s="6"/>
      <c r="D289" t="s">
        <v>50</v>
      </c>
      <c r="F289" s="15"/>
      <c r="G289" s="15">
        <v>19.07</v>
      </c>
      <c r="H289" s="15"/>
      <c r="I289" s="15"/>
      <c r="J289" s="15">
        <v>91.7</v>
      </c>
      <c r="K289" s="15"/>
      <c r="L289" s="72"/>
      <c r="M289" s="72"/>
      <c r="O289" s="4">
        <f>'Proposed Rates'!I67</f>
        <v>-10.8</v>
      </c>
      <c r="P289" s="47"/>
      <c r="Q289" s="4"/>
      <c r="R289" s="52">
        <f>'Proposed Rates'!V67</f>
        <v>28.29</v>
      </c>
    </row>
    <row r="290" spans="1:18" ht="13" x14ac:dyDescent="0.3">
      <c r="A290" s="6"/>
      <c r="D290" t="s">
        <v>51</v>
      </c>
      <c r="F290" s="16"/>
      <c r="G290" s="16"/>
      <c r="H290" s="16"/>
      <c r="I290" s="16"/>
      <c r="J290" s="16"/>
      <c r="K290" s="16"/>
      <c r="L290" s="16" t="s">
        <v>652</v>
      </c>
      <c r="M290" s="16" t="s">
        <v>652</v>
      </c>
      <c r="O290" s="35" t="str">
        <f>'Proposed Rates'!E67</f>
        <v>SQ</v>
      </c>
      <c r="P290" s="48"/>
      <c r="Q290" s="35"/>
      <c r="R290" s="53" t="str">
        <f>'Proposed Rates'!M67</f>
        <v>SQ</v>
      </c>
    </row>
    <row r="291" spans="1:18" ht="13" x14ac:dyDescent="0.3">
      <c r="A291" s="6"/>
      <c r="F291" s="12"/>
      <c r="G291" s="12"/>
      <c r="H291" s="12"/>
      <c r="I291" s="12"/>
      <c r="J291" s="12"/>
      <c r="K291" s="12"/>
      <c r="L291" s="12"/>
      <c r="M291" s="12"/>
      <c r="P291" s="42"/>
      <c r="R291" s="54"/>
    </row>
    <row r="292" spans="1:18" ht="13" x14ac:dyDescent="0.3">
      <c r="A292" s="215">
        <f>'Proposed Rates'!A68</f>
        <v>0</v>
      </c>
      <c r="C292" s="216">
        <f>'Proposed Rates'!C68</f>
        <v>0</v>
      </c>
      <c r="F292" s="12"/>
      <c r="G292" s="12"/>
      <c r="H292" s="12"/>
      <c r="I292" s="12"/>
      <c r="J292" s="12"/>
      <c r="K292" s="12"/>
      <c r="L292" s="12"/>
      <c r="M292" s="12"/>
      <c r="P292" s="42"/>
      <c r="R292" s="18"/>
    </row>
    <row r="293" spans="1:18" ht="13" x14ac:dyDescent="0.3">
      <c r="A293" s="6"/>
      <c r="D293" t="s">
        <v>47</v>
      </c>
      <c r="F293" s="13"/>
      <c r="G293" s="13">
        <v>6</v>
      </c>
      <c r="H293" s="13"/>
      <c r="I293" s="13">
        <v>6.7</v>
      </c>
      <c r="J293" s="13">
        <v>6.7</v>
      </c>
      <c r="K293" s="13"/>
      <c r="L293" s="72">
        <v>5</v>
      </c>
      <c r="M293" s="72">
        <v>5</v>
      </c>
      <c r="O293" s="3">
        <f>'Proposed Rates'!J68</f>
        <v>0</v>
      </c>
      <c r="P293" s="45"/>
      <c r="Q293" s="3"/>
      <c r="R293" s="50">
        <f>'Proposed Rates'!X68</f>
        <v>0</v>
      </c>
    </row>
    <row r="294" spans="1:18" ht="13" x14ac:dyDescent="0.3">
      <c r="A294" s="6"/>
      <c r="D294" t="s">
        <v>79</v>
      </c>
      <c r="F294" s="14"/>
      <c r="G294" s="14"/>
      <c r="H294" s="14"/>
      <c r="I294" s="14"/>
      <c r="J294" s="14"/>
      <c r="K294" s="14"/>
      <c r="L294" s="72"/>
      <c r="M294" s="72"/>
      <c r="O294" s="34">
        <f>'Proposed Rates'!F68</f>
        <v>0</v>
      </c>
      <c r="P294" s="46"/>
      <c r="Q294" s="34"/>
      <c r="R294" s="51">
        <f>'Proposed Rates'!N68</f>
        <v>0</v>
      </c>
    </row>
    <row r="295" spans="1:18" ht="13" x14ac:dyDescent="0.3">
      <c r="A295" s="6"/>
      <c r="D295" t="s">
        <v>48</v>
      </c>
      <c r="F295" s="13"/>
      <c r="G295" s="13">
        <v>14.4</v>
      </c>
      <c r="H295" s="13"/>
      <c r="I295" s="16">
        <v>11.3</v>
      </c>
      <c r="J295" s="13">
        <v>10</v>
      </c>
      <c r="K295" s="13"/>
      <c r="L295" s="72">
        <v>20</v>
      </c>
      <c r="M295" s="72">
        <v>20</v>
      </c>
      <c r="O295" s="3">
        <f>'Proposed Rates'!G68</f>
        <v>0</v>
      </c>
      <c r="P295" s="45"/>
      <c r="Q295" s="3"/>
      <c r="R295" s="50">
        <f>'Proposed Rates'!S68</f>
        <v>0</v>
      </c>
    </row>
    <row r="296" spans="1:18" ht="13" x14ac:dyDescent="0.3">
      <c r="A296" s="6"/>
      <c r="D296" t="s">
        <v>49</v>
      </c>
      <c r="F296" s="14"/>
      <c r="G296" s="16">
        <v>0</v>
      </c>
      <c r="H296" s="14"/>
      <c r="I296" s="16">
        <v>0</v>
      </c>
      <c r="J296" s="16">
        <v>0</v>
      </c>
      <c r="K296" s="14"/>
      <c r="L296" s="16">
        <v>0</v>
      </c>
      <c r="M296" s="16">
        <v>0</v>
      </c>
      <c r="O296" s="212">
        <f>'Proposed Rates'!H68</f>
        <v>0</v>
      </c>
      <c r="P296" s="46"/>
      <c r="Q296" s="34"/>
      <c r="R296" s="213">
        <f>'Proposed Rates'!O68</f>
        <v>0</v>
      </c>
    </row>
    <row r="297" spans="1:18" ht="13" x14ac:dyDescent="0.3">
      <c r="A297" s="6"/>
      <c r="D297" t="s">
        <v>50</v>
      </c>
      <c r="F297" s="15"/>
      <c r="G297" s="15">
        <v>13.59</v>
      </c>
      <c r="H297" s="15"/>
      <c r="I297" s="15"/>
      <c r="J297" s="15">
        <v>33</v>
      </c>
      <c r="K297" s="15"/>
      <c r="L297" s="72"/>
      <c r="M297" s="72"/>
      <c r="O297" s="4">
        <f>'Proposed Rates'!I68</f>
        <v>0</v>
      </c>
      <c r="P297" s="47"/>
      <c r="Q297" s="4"/>
      <c r="R297" s="52">
        <f>'Proposed Rates'!V68</f>
        <v>0</v>
      </c>
    </row>
    <row r="298" spans="1:18" ht="13" x14ac:dyDescent="0.3">
      <c r="A298" s="6"/>
      <c r="D298" t="s">
        <v>51</v>
      </c>
      <c r="F298" s="16"/>
      <c r="G298" s="16"/>
      <c r="H298" s="16"/>
      <c r="I298" s="16"/>
      <c r="J298" s="16"/>
      <c r="K298" s="16"/>
      <c r="L298" s="16" t="s">
        <v>652</v>
      </c>
      <c r="M298" s="16" t="s">
        <v>652</v>
      </c>
      <c r="O298" s="35">
        <f>'Proposed Rates'!E68</f>
        <v>0</v>
      </c>
      <c r="P298" s="48"/>
      <c r="Q298" s="35"/>
      <c r="R298" s="214">
        <f>'Proposed Rates'!M68</f>
        <v>0</v>
      </c>
    </row>
    <row r="302" spans="1:18" x14ac:dyDescent="0.25">
      <c r="H302" t="s">
        <v>658</v>
      </c>
      <c r="I302">
        <v>386226</v>
      </c>
      <c r="J302" s="90">
        <v>3.4000000000000002E-2</v>
      </c>
    </row>
  </sheetData>
  <mergeCells count="8">
    <mergeCell ref="R191:R192"/>
    <mergeCell ref="O191:O192"/>
    <mergeCell ref="O215:O216"/>
    <mergeCell ref="R215:R216"/>
    <mergeCell ref="R207:R208"/>
    <mergeCell ref="O207:O208"/>
    <mergeCell ref="R199:R200"/>
    <mergeCell ref="O199:O200"/>
  </mergeCells>
  <phoneticPr fontId="0" type="noConversion"/>
  <printOptions horizontalCentered="1"/>
  <pageMargins left="0.75" right="0.75" top="0.75" bottom="0.75" header="0" footer="0"/>
  <pageSetup scale="69" fitToHeight="5" orientation="portrait" blackAndWhite="1" r:id="rId1"/>
  <headerFooter alignWithMargins="0"/>
  <rowBreaks count="4" manualBreakCount="4">
    <brk id="78" max="14" man="1"/>
    <brk id="133" max="14" man="1"/>
    <brk id="194" max="14" man="1"/>
    <brk id="258" max="14" man="1"/>
  </rowBreaks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7"/>
  </sheetPr>
  <dimension ref="A1:AA498"/>
  <sheetViews>
    <sheetView workbookViewId="0">
      <pane xSplit="4" ySplit="3" topLeftCell="O91" activePane="bottomRight" state="frozen"/>
      <selection activeCell="R305" sqref="R305"/>
      <selection pane="topRight" activeCell="R305" sqref="R305"/>
      <selection pane="bottomLeft" activeCell="R305" sqref="R305"/>
      <selection pane="bottomRight" activeCell="R305" sqref="R305"/>
    </sheetView>
  </sheetViews>
  <sheetFormatPr defaultRowHeight="12.5" x14ac:dyDescent="0.25"/>
  <cols>
    <col min="1" max="1" width="10.453125" style="77" customWidth="1"/>
    <col min="2" max="2" width="8.1796875" style="77" bestFit="1" customWidth="1"/>
    <col min="3" max="3" width="9.1796875" style="77" bestFit="1" customWidth="1"/>
    <col min="4" max="4" width="34" style="77" customWidth="1"/>
    <col min="5" max="5" width="31.54296875" style="77" customWidth="1"/>
    <col min="6" max="6" width="15" bestFit="1" customWidth="1"/>
    <col min="7" max="7" width="14.54296875" bestFit="1" customWidth="1"/>
    <col min="8" max="8" width="12.7265625" bestFit="1" customWidth="1"/>
    <col min="9" max="9" width="14.7265625" bestFit="1" customWidth="1"/>
    <col min="10" max="10" width="15" bestFit="1" customWidth="1"/>
    <col min="11" max="11" width="16.26953125" bestFit="1" customWidth="1"/>
    <col min="12" max="12" width="12.1796875" bestFit="1" customWidth="1"/>
    <col min="13" max="13" width="14.453125" bestFit="1" customWidth="1"/>
    <col min="14" max="14" width="12.54296875" bestFit="1" customWidth="1"/>
    <col min="15" max="15" width="11.81640625" bestFit="1" customWidth="1"/>
    <col min="16" max="17" width="14.26953125" bestFit="1" customWidth="1"/>
    <col min="18" max="18" width="12.7265625" customWidth="1"/>
    <col min="19" max="19" width="14.453125" bestFit="1" customWidth="1"/>
    <col min="20" max="20" width="14.54296875" bestFit="1" customWidth="1"/>
    <col min="21" max="21" width="12.1796875" bestFit="1" customWidth="1"/>
    <col min="22" max="22" width="11.7265625" style="77" bestFit="1" customWidth="1"/>
    <col min="23" max="24" width="8.81640625"/>
    <col min="25" max="25" width="13.81640625" bestFit="1" customWidth="1"/>
    <col min="26" max="26" width="7.453125" customWidth="1"/>
    <col min="27" max="27" width="5.26953125" customWidth="1"/>
    <col min="28" max="252" width="8.81640625"/>
    <col min="253" max="253" width="10.453125" customWidth="1"/>
    <col min="254" max="254" width="8.1796875" bestFit="1" customWidth="1"/>
    <col min="255" max="255" width="9.1796875" bestFit="1" customWidth="1"/>
    <col min="256" max="256" width="32.54296875" bestFit="1" customWidth="1"/>
    <col min="257" max="257" width="31.54296875" customWidth="1"/>
    <col min="258" max="258" width="13.7265625" bestFit="1" customWidth="1"/>
    <col min="259" max="259" width="12.1796875" bestFit="1" customWidth="1"/>
    <col min="260" max="260" width="12.7265625" bestFit="1" customWidth="1"/>
    <col min="261" max="261" width="12.7265625" customWidth="1"/>
    <col min="262" max="262" width="13.7265625" bestFit="1" customWidth="1"/>
    <col min="263" max="263" width="14" bestFit="1" customWidth="1"/>
    <col min="264" max="264" width="12.1796875" bestFit="1" customWidth="1"/>
    <col min="265" max="265" width="14.453125" bestFit="1" customWidth="1"/>
    <col min="266" max="266" width="12.1796875" bestFit="1" customWidth="1"/>
    <col min="267" max="267" width="12.7265625" bestFit="1" customWidth="1"/>
    <col min="268" max="268" width="12.7265625" customWidth="1"/>
    <col min="269" max="269" width="13.7265625" bestFit="1" customWidth="1"/>
    <col min="270" max="270" width="12.7265625" customWidth="1"/>
    <col min="271" max="271" width="14.453125" bestFit="1" customWidth="1"/>
    <col min="272" max="272" width="13.7265625" bestFit="1" customWidth="1"/>
    <col min="273" max="273" width="12.1796875" bestFit="1" customWidth="1"/>
    <col min="274" max="274" width="11.7265625" bestFit="1" customWidth="1"/>
    <col min="275" max="276" width="10.81640625" bestFit="1" customWidth="1"/>
    <col min="277" max="277" width="8.453125" bestFit="1" customWidth="1"/>
    <col min="278" max="278" width="10.81640625" bestFit="1" customWidth="1"/>
    <col min="279" max="279" width="11" bestFit="1" customWidth="1"/>
    <col min="280" max="508" width="8.81640625"/>
    <col min="509" max="509" width="10.453125" customWidth="1"/>
    <col min="510" max="510" width="8.1796875" bestFit="1" customWidth="1"/>
    <col min="511" max="511" width="9.1796875" bestFit="1" customWidth="1"/>
    <col min="512" max="512" width="32.54296875" bestFit="1" customWidth="1"/>
    <col min="513" max="513" width="31.54296875" customWidth="1"/>
    <col min="514" max="514" width="13.7265625" bestFit="1" customWidth="1"/>
    <col min="515" max="515" width="12.1796875" bestFit="1" customWidth="1"/>
    <col min="516" max="516" width="12.7265625" bestFit="1" customWidth="1"/>
    <col min="517" max="517" width="12.7265625" customWidth="1"/>
    <col min="518" max="518" width="13.7265625" bestFit="1" customWidth="1"/>
    <col min="519" max="519" width="14" bestFit="1" customWidth="1"/>
    <col min="520" max="520" width="12.1796875" bestFit="1" customWidth="1"/>
    <col min="521" max="521" width="14.453125" bestFit="1" customWidth="1"/>
    <col min="522" max="522" width="12.1796875" bestFit="1" customWidth="1"/>
    <col min="523" max="523" width="12.7265625" bestFit="1" customWidth="1"/>
    <col min="524" max="524" width="12.7265625" customWidth="1"/>
    <col min="525" max="525" width="13.7265625" bestFit="1" customWidth="1"/>
    <col min="526" max="526" width="12.7265625" customWidth="1"/>
    <col min="527" max="527" width="14.453125" bestFit="1" customWidth="1"/>
    <col min="528" max="528" width="13.7265625" bestFit="1" customWidth="1"/>
    <col min="529" max="529" width="12.1796875" bestFit="1" customWidth="1"/>
    <col min="530" max="530" width="11.7265625" bestFit="1" customWidth="1"/>
    <col min="531" max="532" width="10.81640625" bestFit="1" customWidth="1"/>
    <col min="533" max="533" width="8.453125" bestFit="1" customWidth="1"/>
    <col min="534" max="534" width="10.81640625" bestFit="1" customWidth="1"/>
    <col min="535" max="535" width="11" bestFit="1" customWidth="1"/>
    <col min="536" max="764" width="8.81640625"/>
    <col min="765" max="765" width="10.453125" customWidth="1"/>
    <col min="766" max="766" width="8.1796875" bestFit="1" customWidth="1"/>
    <col min="767" max="767" width="9.1796875" bestFit="1" customWidth="1"/>
    <col min="768" max="768" width="32.54296875" bestFit="1" customWidth="1"/>
    <col min="769" max="769" width="31.54296875" customWidth="1"/>
    <col min="770" max="770" width="13.7265625" bestFit="1" customWidth="1"/>
    <col min="771" max="771" width="12.1796875" bestFit="1" customWidth="1"/>
    <col min="772" max="772" width="12.7265625" bestFit="1" customWidth="1"/>
    <col min="773" max="773" width="12.7265625" customWidth="1"/>
    <col min="774" max="774" width="13.7265625" bestFit="1" customWidth="1"/>
    <col min="775" max="775" width="14" bestFit="1" customWidth="1"/>
    <col min="776" max="776" width="12.1796875" bestFit="1" customWidth="1"/>
    <col min="777" max="777" width="14.453125" bestFit="1" customWidth="1"/>
    <col min="778" max="778" width="12.1796875" bestFit="1" customWidth="1"/>
    <col min="779" max="779" width="12.7265625" bestFit="1" customWidth="1"/>
    <col min="780" max="780" width="12.7265625" customWidth="1"/>
    <col min="781" max="781" width="13.7265625" bestFit="1" customWidth="1"/>
    <col min="782" max="782" width="12.7265625" customWidth="1"/>
    <col min="783" max="783" width="14.453125" bestFit="1" customWidth="1"/>
    <col min="784" max="784" width="13.7265625" bestFit="1" customWidth="1"/>
    <col min="785" max="785" width="12.1796875" bestFit="1" customWidth="1"/>
    <col min="786" max="786" width="11.7265625" bestFit="1" customWidth="1"/>
    <col min="787" max="788" width="10.81640625" bestFit="1" customWidth="1"/>
    <col min="789" max="789" width="8.453125" bestFit="1" customWidth="1"/>
    <col min="790" max="790" width="10.81640625" bestFit="1" customWidth="1"/>
    <col min="791" max="791" width="11" bestFit="1" customWidth="1"/>
    <col min="792" max="1020" width="8.81640625"/>
    <col min="1021" max="1021" width="10.453125" customWidth="1"/>
    <col min="1022" max="1022" width="8.1796875" bestFit="1" customWidth="1"/>
    <col min="1023" max="1023" width="9.1796875" bestFit="1" customWidth="1"/>
    <col min="1024" max="1024" width="32.54296875" bestFit="1" customWidth="1"/>
    <col min="1025" max="1025" width="31.54296875" customWidth="1"/>
    <col min="1026" max="1026" width="13.7265625" bestFit="1" customWidth="1"/>
    <col min="1027" max="1027" width="12.1796875" bestFit="1" customWidth="1"/>
    <col min="1028" max="1028" width="12.7265625" bestFit="1" customWidth="1"/>
    <col min="1029" max="1029" width="12.7265625" customWidth="1"/>
    <col min="1030" max="1030" width="13.7265625" bestFit="1" customWidth="1"/>
    <col min="1031" max="1031" width="14" bestFit="1" customWidth="1"/>
    <col min="1032" max="1032" width="12.1796875" bestFit="1" customWidth="1"/>
    <col min="1033" max="1033" width="14.453125" bestFit="1" customWidth="1"/>
    <col min="1034" max="1034" width="12.1796875" bestFit="1" customWidth="1"/>
    <col min="1035" max="1035" width="12.7265625" bestFit="1" customWidth="1"/>
    <col min="1036" max="1036" width="12.7265625" customWidth="1"/>
    <col min="1037" max="1037" width="13.7265625" bestFit="1" customWidth="1"/>
    <col min="1038" max="1038" width="12.7265625" customWidth="1"/>
    <col min="1039" max="1039" width="14.453125" bestFit="1" customWidth="1"/>
    <col min="1040" max="1040" width="13.7265625" bestFit="1" customWidth="1"/>
    <col min="1041" max="1041" width="12.1796875" bestFit="1" customWidth="1"/>
    <col min="1042" max="1042" width="11.7265625" bestFit="1" customWidth="1"/>
    <col min="1043" max="1044" width="10.81640625" bestFit="1" customWidth="1"/>
    <col min="1045" max="1045" width="8.453125" bestFit="1" customWidth="1"/>
    <col min="1046" max="1046" width="10.81640625" bestFit="1" customWidth="1"/>
    <col min="1047" max="1047" width="11" bestFit="1" customWidth="1"/>
    <col min="1048" max="1276" width="8.81640625"/>
    <col min="1277" max="1277" width="10.453125" customWidth="1"/>
    <col min="1278" max="1278" width="8.1796875" bestFit="1" customWidth="1"/>
    <col min="1279" max="1279" width="9.1796875" bestFit="1" customWidth="1"/>
    <col min="1280" max="1280" width="32.54296875" bestFit="1" customWidth="1"/>
    <col min="1281" max="1281" width="31.54296875" customWidth="1"/>
    <col min="1282" max="1282" width="13.7265625" bestFit="1" customWidth="1"/>
    <col min="1283" max="1283" width="12.1796875" bestFit="1" customWidth="1"/>
    <col min="1284" max="1284" width="12.7265625" bestFit="1" customWidth="1"/>
    <col min="1285" max="1285" width="12.7265625" customWidth="1"/>
    <col min="1286" max="1286" width="13.7265625" bestFit="1" customWidth="1"/>
    <col min="1287" max="1287" width="14" bestFit="1" customWidth="1"/>
    <col min="1288" max="1288" width="12.1796875" bestFit="1" customWidth="1"/>
    <col min="1289" max="1289" width="14.453125" bestFit="1" customWidth="1"/>
    <col min="1290" max="1290" width="12.1796875" bestFit="1" customWidth="1"/>
    <col min="1291" max="1291" width="12.7265625" bestFit="1" customWidth="1"/>
    <col min="1292" max="1292" width="12.7265625" customWidth="1"/>
    <col min="1293" max="1293" width="13.7265625" bestFit="1" customWidth="1"/>
    <col min="1294" max="1294" width="12.7265625" customWidth="1"/>
    <col min="1295" max="1295" width="14.453125" bestFit="1" customWidth="1"/>
    <col min="1296" max="1296" width="13.7265625" bestFit="1" customWidth="1"/>
    <col min="1297" max="1297" width="12.1796875" bestFit="1" customWidth="1"/>
    <col min="1298" max="1298" width="11.7265625" bestFit="1" customWidth="1"/>
    <col min="1299" max="1300" width="10.81640625" bestFit="1" customWidth="1"/>
    <col min="1301" max="1301" width="8.453125" bestFit="1" customWidth="1"/>
    <col min="1302" max="1302" width="10.81640625" bestFit="1" customWidth="1"/>
    <col min="1303" max="1303" width="11" bestFit="1" customWidth="1"/>
    <col min="1304" max="1532" width="8.81640625"/>
    <col min="1533" max="1533" width="10.453125" customWidth="1"/>
    <col min="1534" max="1534" width="8.1796875" bestFit="1" customWidth="1"/>
    <col min="1535" max="1535" width="9.1796875" bestFit="1" customWidth="1"/>
    <col min="1536" max="1536" width="32.54296875" bestFit="1" customWidth="1"/>
    <col min="1537" max="1537" width="31.54296875" customWidth="1"/>
    <col min="1538" max="1538" width="13.7265625" bestFit="1" customWidth="1"/>
    <col min="1539" max="1539" width="12.1796875" bestFit="1" customWidth="1"/>
    <col min="1540" max="1540" width="12.7265625" bestFit="1" customWidth="1"/>
    <col min="1541" max="1541" width="12.7265625" customWidth="1"/>
    <col min="1542" max="1542" width="13.7265625" bestFit="1" customWidth="1"/>
    <col min="1543" max="1543" width="14" bestFit="1" customWidth="1"/>
    <col min="1544" max="1544" width="12.1796875" bestFit="1" customWidth="1"/>
    <col min="1545" max="1545" width="14.453125" bestFit="1" customWidth="1"/>
    <col min="1546" max="1546" width="12.1796875" bestFit="1" customWidth="1"/>
    <col min="1547" max="1547" width="12.7265625" bestFit="1" customWidth="1"/>
    <col min="1548" max="1548" width="12.7265625" customWidth="1"/>
    <col min="1549" max="1549" width="13.7265625" bestFit="1" customWidth="1"/>
    <col min="1550" max="1550" width="12.7265625" customWidth="1"/>
    <col min="1551" max="1551" width="14.453125" bestFit="1" customWidth="1"/>
    <col min="1552" max="1552" width="13.7265625" bestFit="1" customWidth="1"/>
    <col min="1553" max="1553" width="12.1796875" bestFit="1" customWidth="1"/>
    <col min="1554" max="1554" width="11.7265625" bestFit="1" customWidth="1"/>
    <col min="1555" max="1556" width="10.81640625" bestFit="1" customWidth="1"/>
    <col min="1557" max="1557" width="8.453125" bestFit="1" customWidth="1"/>
    <col min="1558" max="1558" width="10.81640625" bestFit="1" customWidth="1"/>
    <col min="1559" max="1559" width="11" bestFit="1" customWidth="1"/>
    <col min="1560" max="1788" width="8.81640625"/>
    <col min="1789" max="1789" width="10.453125" customWidth="1"/>
    <col min="1790" max="1790" width="8.1796875" bestFit="1" customWidth="1"/>
    <col min="1791" max="1791" width="9.1796875" bestFit="1" customWidth="1"/>
    <col min="1792" max="1792" width="32.54296875" bestFit="1" customWidth="1"/>
    <col min="1793" max="1793" width="31.54296875" customWidth="1"/>
    <col min="1794" max="1794" width="13.7265625" bestFit="1" customWidth="1"/>
    <col min="1795" max="1795" width="12.1796875" bestFit="1" customWidth="1"/>
    <col min="1796" max="1796" width="12.7265625" bestFit="1" customWidth="1"/>
    <col min="1797" max="1797" width="12.7265625" customWidth="1"/>
    <col min="1798" max="1798" width="13.7265625" bestFit="1" customWidth="1"/>
    <col min="1799" max="1799" width="14" bestFit="1" customWidth="1"/>
    <col min="1800" max="1800" width="12.1796875" bestFit="1" customWidth="1"/>
    <col min="1801" max="1801" width="14.453125" bestFit="1" customWidth="1"/>
    <col min="1802" max="1802" width="12.1796875" bestFit="1" customWidth="1"/>
    <col min="1803" max="1803" width="12.7265625" bestFit="1" customWidth="1"/>
    <col min="1804" max="1804" width="12.7265625" customWidth="1"/>
    <col min="1805" max="1805" width="13.7265625" bestFit="1" customWidth="1"/>
    <col min="1806" max="1806" width="12.7265625" customWidth="1"/>
    <col min="1807" max="1807" width="14.453125" bestFit="1" customWidth="1"/>
    <col min="1808" max="1808" width="13.7265625" bestFit="1" customWidth="1"/>
    <col min="1809" max="1809" width="12.1796875" bestFit="1" customWidth="1"/>
    <col min="1810" max="1810" width="11.7265625" bestFit="1" customWidth="1"/>
    <col min="1811" max="1812" width="10.81640625" bestFit="1" customWidth="1"/>
    <col min="1813" max="1813" width="8.453125" bestFit="1" customWidth="1"/>
    <col min="1814" max="1814" width="10.81640625" bestFit="1" customWidth="1"/>
    <col min="1815" max="1815" width="11" bestFit="1" customWidth="1"/>
    <col min="1816" max="2044" width="8.81640625"/>
    <col min="2045" max="2045" width="10.453125" customWidth="1"/>
    <col min="2046" max="2046" width="8.1796875" bestFit="1" customWidth="1"/>
    <col min="2047" max="2047" width="9.1796875" bestFit="1" customWidth="1"/>
    <col min="2048" max="2048" width="32.54296875" bestFit="1" customWidth="1"/>
    <col min="2049" max="2049" width="31.54296875" customWidth="1"/>
    <col min="2050" max="2050" width="13.7265625" bestFit="1" customWidth="1"/>
    <col min="2051" max="2051" width="12.1796875" bestFit="1" customWidth="1"/>
    <col min="2052" max="2052" width="12.7265625" bestFit="1" customWidth="1"/>
    <col min="2053" max="2053" width="12.7265625" customWidth="1"/>
    <col min="2054" max="2054" width="13.7265625" bestFit="1" customWidth="1"/>
    <col min="2055" max="2055" width="14" bestFit="1" customWidth="1"/>
    <col min="2056" max="2056" width="12.1796875" bestFit="1" customWidth="1"/>
    <col min="2057" max="2057" width="14.453125" bestFit="1" customWidth="1"/>
    <col min="2058" max="2058" width="12.1796875" bestFit="1" customWidth="1"/>
    <col min="2059" max="2059" width="12.7265625" bestFit="1" customWidth="1"/>
    <col min="2060" max="2060" width="12.7265625" customWidth="1"/>
    <col min="2061" max="2061" width="13.7265625" bestFit="1" customWidth="1"/>
    <col min="2062" max="2062" width="12.7265625" customWidth="1"/>
    <col min="2063" max="2063" width="14.453125" bestFit="1" customWidth="1"/>
    <col min="2064" max="2064" width="13.7265625" bestFit="1" customWidth="1"/>
    <col min="2065" max="2065" width="12.1796875" bestFit="1" customWidth="1"/>
    <col min="2066" max="2066" width="11.7265625" bestFit="1" customWidth="1"/>
    <col min="2067" max="2068" width="10.81640625" bestFit="1" customWidth="1"/>
    <col min="2069" max="2069" width="8.453125" bestFit="1" customWidth="1"/>
    <col min="2070" max="2070" width="10.81640625" bestFit="1" customWidth="1"/>
    <col min="2071" max="2071" width="11" bestFit="1" customWidth="1"/>
    <col min="2072" max="2300" width="8.81640625"/>
    <col min="2301" max="2301" width="10.453125" customWidth="1"/>
    <col min="2302" max="2302" width="8.1796875" bestFit="1" customWidth="1"/>
    <col min="2303" max="2303" width="9.1796875" bestFit="1" customWidth="1"/>
    <col min="2304" max="2304" width="32.54296875" bestFit="1" customWidth="1"/>
    <col min="2305" max="2305" width="31.54296875" customWidth="1"/>
    <col min="2306" max="2306" width="13.7265625" bestFit="1" customWidth="1"/>
    <col min="2307" max="2307" width="12.1796875" bestFit="1" customWidth="1"/>
    <col min="2308" max="2308" width="12.7265625" bestFit="1" customWidth="1"/>
    <col min="2309" max="2309" width="12.7265625" customWidth="1"/>
    <col min="2310" max="2310" width="13.7265625" bestFit="1" customWidth="1"/>
    <col min="2311" max="2311" width="14" bestFit="1" customWidth="1"/>
    <col min="2312" max="2312" width="12.1796875" bestFit="1" customWidth="1"/>
    <col min="2313" max="2313" width="14.453125" bestFit="1" customWidth="1"/>
    <col min="2314" max="2314" width="12.1796875" bestFit="1" customWidth="1"/>
    <col min="2315" max="2315" width="12.7265625" bestFit="1" customWidth="1"/>
    <col min="2316" max="2316" width="12.7265625" customWidth="1"/>
    <col min="2317" max="2317" width="13.7265625" bestFit="1" customWidth="1"/>
    <col min="2318" max="2318" width="12.7265625" customWidth="1"/>
    <col min="2319" max="2319" width="14.453125" bestFit="1" customWidth="1"/>
    <col min="2320" max="2320" width="13.7265625" bestFit="1" customWidth="1"/>
    <col min="2321" max="2321" width="12.1796875" bestFit="1" customWidth="1"/>
    <col min="2322" max="2322" width="11.7265625" bestFit="1" customWidth="1"/>
    <col min="2323" max="2324" width="10.81640625" bestFit="1" customWidth="1"/>
    <col min="2325" max="2325" width="8.453125" bestFit="1" customWidth="1"/>
    <col min="2326" max="2326" width="10.81640625" bestFit="1" customWidth="1"/>
    <col min="2327" max="2327" width="11" bestFit="1" customWidth="1"/>
    <col min="2328" max="2556" width="8.81640625"/>
    <col min="2557" max="2557" width="10.453125" customWidth="1"/>
    <col min="2558" max="2558" width="8.1796875" bestFit="1" customWidth="1"/>
    <col min="2559" max="2559" width="9.1796875" bestFit="1" customWidth="1"/>
    <col min="2560" max="2560" width="32.54296875" bestFit="1" customWidth="1"/>
    <col min="2561" max="2561" width="31.54296875" customWidth="1"/>
    <col min="2562" max="2562" width="13.7265625" bestFit="1" customWidth="1"/>
    <col min="2563" max="2563" width="12.1796875" bestFit="1" customWidth="1"/>
    <col min="2564" max="2564" width="12.7265625" bestFit="1" customWidth="1"/>
    <col min="2565" max="2565" width="12.7265625" customWidth="1"/>
    <col min="2566" max="2566" width="13.7265625" bestFit="1" customWidth="1"/>
    <col min="2567" max="2567" width="14" bestFit="1" customWidth="1"/>
    <col min="2568" max="2568" width="12.1796875" bestFit="1" customWidth="1"/>
    <col min="2569" max="2569" width="14.453125" bestFit="1" customWidth="1"/>
    <col min="2570" max="2570" width="12.1796875" bestFit="1" customWidth="1"/>
    <col min="2571" max="2571" width="12.7265625" bestFit="1" customWidth="1"/>
    <col min="2572" max="2572" width="12.7265625" customWidth="1"/>
    <col min="2573" max="2573" width="13.7265625" bestFit="1" customWidth="1"/>
    <col min="2574" max="2574" width="12.7265625" customWidth="1"/>
    <col min="2575" max="2575" width="14.453125" bestFit="1" customWidth="1"/>
    <col min="2576" max="2576" width="13.7265625" bestFit="1" customWidth="1"/>
    <col min="2577" max="2577" width="12.1796875" bestFit="1" customWidth="1"/>
    <col min="2578" max="2578" width="11.7265625" bestFit="1" customWidth="1"/>
    <col min="2579" max="2580" width="10.81640625" bestFit="1" customWidth="1"/>
    <col min="2581" max="2581" width="8.453125" bestFit="1" customWidth="1"/>
    <col min="2582" max="2582" width="10.81640625" bestFit="1" customWidth="1"/>
    <col min="2583" max="2583" width="11" bestFit="1" customWidth="1"/>
    <col min="2584" max="2812" width="8.81640625"/>
    <col min="2813" max="2813" width="10.453125" customWidth="1"/>
    <col min="2814" max="2814" width="8.1796875" bestFit="1" customWidth="1"/>
    <col min="2815" max="2815" width="9.1796875" bestFit="1" customWidth="1"/>
    <col min="2816" max="2816" width="32.54296875" bestFit="1" customWidth="1"/>
    <col min="2817" max="2817" width="31.54296875" customWidth="1"/>
    <col min="2818" max="2818" width="13.7265625" bestFit="1" customWidth="1"/>
    <col min="2819" max="2819" width="12.1796875" bestFit="1" customWidth="1"/>
    <col min="2820" max="2820" width="12.7265625" bestFit="1" customWidth="1"/>
    <col min="2821" max="2821" width="12.7265625" customWidth="1"/>
    <col min="2822" max="2822" width="13.7265625" bestFit="1" customWidth="1"/>
    <col min="2823" max="2823" width="14" bestFit="1" customWidth="1"/>
    <col min="2824" max="2824" width="12.1796875" bestFit="1" customWidth="1"/>
    <col min="2825" max="2825" width="14.453125" bestFit="1" customWidth="1"/>
    <col min="2826" max="2826" width="12.1796875" bestFit="1" customWidth="1"/>
    <col min="2827" max="2827" width="12.7265625" bestFit="1" customWidth="1"/>
    <col min="2828" max="2828" width="12.7265625" customWidth="1"/>
    <col min="2829" max="2829" width="13.7265625" bestFit="1" customWidth="1"/>
    <col min="2830" max="2830" width="12.7265625" customWidth="1"/>
    <col min="2831" max="2831" width="14.453125" bestFit="1" customWidth="1"/>
    <col min="2832" max="2832" width="13.7265625" bestFit="1" customWidth="1"/>
    <col min="2833" max="2833" width="12.1796875" bestFit="1" customWidth="1"/>
    <col min="2834" max="2834" width="11.7265625" bestFit="1" customWidth="1"/>
    <col min="2835" max="2836" width="10.81640625" bestFit="1" customWidth="1"/>
    <col min="2837" max="2837" width="8.453125" bestFit="1" customWidth="1"/>
    <col min="2838" max="2838" width="10.81640625" bestFit="1" customWidth="1"/>
    <col min="2839" max="2839" width="11" bestFit="1" customWidth="1"/>
    <col min="2840" max="3068" width="8.81640625"/>
    <col min="3069" max="3069" width="10.453125" customWidth="1"/>
    <col min="3070" max="3070" width="8.1796875" bestFit="1" customWidth="1"/>
    <col min="3071" max="3071" width="9.1796875" bestFit="1" customWidth="1"/>
    <col min="3072" max="3072" width="32.54296875" bestFit="1" customWidth="1"/>
    <col min="3073" max="3073" width="31.54296875" customWidth="1"/>
    <col min="3074" max="3074" width="13.7265625" bestFit="1" customWidth="1"/>
    <col min="3075" max="3075" width="12.1796875" bestFit="1" customWidth="1"/>
    <col min="3076" max="3076" width="12.7265625" bestFit="1" customWidth="1"/>
    <col min="3077" max="3077" width="12.7265625" customWidth="1"/>
    <col min="3078" max="3078" width="13.7265625" bestFit="1" customWidth="1"/>
    <col min="3079" max="3079" width="14" bestFit="1" customWidth="1"/>
    <col min="3080" max="3080" width="12.1796875" bestFit="1" customWidth="1"/>
    <col min="3081" max="3081" width="14.453125" bestFit="1" customWidth="1"/>
    <col min="3082" max="3082" width="12.1796875" bestFit="1" customWidth="1"/>
    <col min="3083" max="3083" width="12.7265625" bestFit="1" customWidth="1"/>
    <col min="3084" max="3084" width="12.7265625" customWidth="1"/>
    <col min="3085" max="3085" width="13.7265625" bestFit="1" customWidth="1"/>
    <col min="3086" max="3086" width="12.7265625" customWidth="1"/>
    <col min="3087" max="3087" width="14.453125" bestFit="1" customWidth="1"/>
    <col min="3088" max="3088" width="13.7265625" bestFit="1" customWidth="1"/>
    <col min="3089" max="3089" width="12.1796875" bestFit="1" customWidth="1"/>
    <col min="3090" max="3090" width="11.7265625" bestFit="1" customWidth="1"/>
    <col min="3091" max="3092" width="10.81640625" bestFit="1" customWidth="1"/>
    <col min="3093" max="3093" width="8.453125" bestFit="1" customWidth="1"/>
    <col min="3094" max="3094" width="10.81640625" bestFit="1" customWidth="1"/>
    <col min="3095" max="3095" width="11" bestFit="1" customWidth="1"/>
    <col min="3096" max="3324" width="8.81640625"/>
    <col min="3325" max="3325" width="10.453125" customWidth="1"/>
    <col min="3326" max="3326" width="8.1796875" bestFit="1" customWidth="1"/>
    <col min="3327" max="3327" width="9.1796875" bestFit="1" customWidth="1"/>
    <col min="3328" max="3328" width="32.54296875" bestFit="1" customWidth="1"/>
    <col min="3329" max="3329" width="31.54296875" customWidth="1"/>
    <col min="3330" max="3330" width="13.7265625" bestFit="1" customWidth="1"/>
    <col min="3331" max="3331" width="12.1796875" bestFit="1" customWidth="1"/>
    <col min="3332" max="3332" width="12.7265625" bestFit="1" customWidth="1"/>
    <col min="3333" max="3333" width="12.7265625" customWidth="1"/>
    <col min="3334" max="3334" width="13.7265625" bestFit="1" customWidth="1"/>
    <col min="3335" max="3335" width="14" bestFit="1" customWidth="1"/>
    <col min="3336" max="3336" width="12.1796875" bestFit="1" customWidth="1"/>
    <col min="3337" max="3337" width="14.453125" bestFit="1" customWidth="1"/>
    <col min="3338" max="3338" width="12.1796875" bestFit="1" customWidth="1"/>
    <col min="3339" max="3339" width="12.7265625" bestFit="1" customWidth="1"/>
    <col min="3340" max="3340" width="12.7265625" customWidth="1"/>
    <col min="3341" max="3341" width="13.7265625" bestFit="1" customWidth="1"/>
    <col min="3342" max="3342" width="12.7265625" customWidth="1"/>
    <col min="3343" max="3343" width="14.453125" bestFit="1" customWidth="1"/>
    <col min="3344" max="3344" width="13.7265625" bestFit="1" customWidth="1"/>
    <col min="3345" max="3345" width="12.1796875" bestFit="1" customWidth="1"/>
    <col min="3346" max="3346" width="11.7265625" bestFit="1" customWidth="1"/>
    <col min="3347" max="3348" width="10.81640625" bestFit="1" customWidth="1"/>
    <col min="3349" max="3349" width="8.453125" bestFit="1" customWidth="1"/>
    <col min="3350" max="3350" width="10.81640625" bestFit="1" customWidth="1"/>
    <col min="3351" max="3351" width="11" bestFit="1" customWidth="1"/>
    <col min="3352" max="3580" width="8.81640625"/>
    <col min="3581" max="3581" width="10.453125" customWidth="1"/>
    <col min="3582" max="3582" width="8.1796875" bestFit="1" customWidth="1"/>
    <col min="3583" max="3583" width="9.1796875" bestFit="1" customWidth="1"/>
    <col min="3584" max="3584" width="32.54296875" bestFit="1" customWidth="1"/>
    <col min="3585" max="3585" width="31.54296875" customWidth="1"/>
    <col min="3586" max="3586" width="13.7265625" bestFit="1" customWidth="1"/>
    <col min="3587" max="3587" width="12.1796875" bestFit="1" customWidth="1"/>
    <col min="3588" max="3588" width="12.7265625" bestFit="1" customWidth="1"/>
    <col min="3589" max="3589" width="12.7265625" customWidth="1"/>
    <col min="3590" max="3590" width="13.7265625" bestFit="1" customWidth="1"/>
    <col min="3591" max="3591" width="14" bestFit="1" customWidth="1"/>
    <col min="3592" max="3592" width="12.1796875" bestFit="1" customWidth="1"/>
    <col min="3593" max="3593" width="14.453125" bestFit="1" customWidth="1"/>
    <col min="3594" max="3594" width="12.1796875" bestFit="1" customWidth="1"/>
    <col min="3595" max="3595" width="12.7265625" bestFit="1" customWidth="1"/>
    <col min="3596" max="3596" width="12.7265625" customWidth="1"/>
    <col min="3597" max="3597" width="13.7265625" bestFit="1" customWidth="1"/>
    <col min="3598" max="3598" width="12.7265625" customWidth="1"/>
    <col min="3599" max="3599" width="14.453125" bestFit="1" customWidth="1"/>
    <col min="3600" max="3600" width="13.7265625" bestFit="1" customWidth="1"/>
    <col min="3601" max="3601" width="12.1796875" bestFit="1" customWidth="1"/>
    <col min="3602" max="3602" width="11.7265625" bestFit="1" customWidth="1"/>
    <col min="3603" max="3604" width="10.81640625" bestFit="1" customWidth="1"/>
    <col min="3605" max="3605" width="8.453125" bestFit="1" customWidth="1"/>
    <col min="3606" max="3606" width="10.81640625" bestFit="1" customWidth="1"/>
    <col min="3607" max="3607" width="11" bestFit="1" customWidth="1"/>
    <col min="3608" max="3836" width="8.81640625"/>
    <col min="3837" max="3837" width="10.453125" customWidth="1"/>
    <col min="3838" max="3838" width="8.1796875" bestFit="1" customWidth="1"/>
    <col min="3839" max="3839" width="9.1796875" bestFit="1" customWidth="1"/>
    <col min="3840" max="3840" width="32.54296875" bestFit="1" customWidth="1"/>
    <col min="3841" max="3841" width="31.54296875" customWidth="1"/>
    <col min="3842" max="3842" width="13.7265625" bestFit="1" customWidth="1"/>
    <col min="3843" max="3843" width="12.1796875" bestFit="1" customWidth="1"/>
    <col min="3844" max="3844" width="12.7265625" bestFit="1" customWidth="1"/>
    <col min="3845" max="3845" width="12.7265625" customWidth="1"/>
    <col min="3846" max="3846" width="13.7265625" bestFit="1" customWidth="1"/>
    <col min="3847" max="3847" width="14" bestFit="1" customWidth="1"/>
    <col min="3848" max="3848" width="12.1796875" bestFit="1" customWidth="1"/>
    <col min="3849" max="3849" width="14.453125" bestFit="1" customWidth="1"/>
    <col min="3850" max="3850" width="12.1796875" bestFit="1" customWidth="1"/>
    <col min="3851" max="3851" width="12.7265625" bestFit="1" customWidth="1"/>
    <col min="3852" max="3852" width="12.7265625" customWidth="1"/>
    <col min="3853" max="3853" width="13.7265625" bestFit="1" customWidth="1"/>
    <col min="3854" max="3854" width="12.7265625" customWidth="1"/>
    <col min="3855" max="3855" width="14.453125" bestFit="1" customWidth="1"/>
    <col min="3856" max="3856" width="13.7265625" bestFit="1" customWidth="1"/>
    <col min="3857" max="3857" width="12.1796875" bestFit="1" customWidth="1"/>
    <col min="3858" max="3858" width="11.7265625" bestFit="1" customWidth="1"/>
    <col min="3859" max="3860" width="10.81640625" bestFit="1" customWidth="1"/>
    <col min="3861" max="3861" width="8.453125" bestFit="1" customWidth="1"/>
    <col min="3862" max="3862" width="10.81640625" bestFit="1" customWidth="1"/>
    <col min="3863" max="3863" width="11" bestFit="1" customWidth="1"/>
    <col min="3864" max="4092" width="8.81640625"/>
    <col min="4093" max="4093" width="10.453125" customWidth="1"/>
    <col min="4094" max="4094" width="8.1796875" bestFit="1" customWidth="1"/>
    <col min="4095" max="4095" width="9.1796875" bestFit="1" customWidth="1"/>
    <col min="4096" max="4096" width="32.54296875" bestFit="1" customWidth="1"/>
    <col min="4097" max="4097" width="31.54296875" customWidth="1"/>
    <col min="4098" max="4098" width="13.7265625" bestFit="1" customWidth="1"/>
    <col min="4099" max="4099" width="12.1796875" bestFit="1" customWidth="1"/>
    <col min="4100" max="4100" width="12.7265625" bestFit="1" customWidth="1"/>
    <col min="4101" max="4101" width="12.7265625" customWidth="1"/>
    <col min="4102" max="4102" width="13.7265625" bestFit="1" customWidth="1"/>
    <col min="4103" max="4103" width="14" bestFit="1" customWidth="1"/>
    <col min="4104" max="4104" width="12.1796875" bestFit="1" customWidth="1"/>
    <col min="4105" max="4105" width="14.453125" bestFit="1" customWidth="1"/>
    <col min="4106" max="4106" width="12.1796875" bestFit="1" customWidth="1"/>
    <col min="4107" max="4107" width="12.7265625" bestFit="1" customWidth="1"/>
    <col min="4108" max="4108" width="12.7265625" customWidth="1"/>
    <col min="4109" max="4109" width="13.7265625" bestFit="1" customWidth="1"/>
    <col min="4110" max="4110" width="12.7265625" customWidth="1"/>
    <col min="4111" max="4111" width="14.453125" bestFit="1" customWidth="1"/>
    <col min="4112" max="4112" width="13.7265625" bestFit="1" customWidth="1"/>
    <col min="4113" max="4113" width="12.1796875" bestFit="1" customWidth="1"/>
    <col min="4114" max="4114" width="11.7265625" bestFit="1" customWidth="1"/>
    <col min="4115" max="4116" width="10.81640625" bestFit="1" customWidth="1"/>
    <col min="4117" max="4117" width="8.453125" bestFit="1" customWidth="1"/>
    <col min="4118" max="4118" width="10.81640625" bestFit="1" customWidth="1"/>
    <col min="4119" max="4119" width="11" bestFit="1" customWidth="1"/>
    <col min="4120" max="4348" width="8.81640625"/>
    <col min="4349" max="4349" width="10.453125" customWidth="1"/>
    <col min="4350" max="4350" width="8.1796875" bestFit="1" customWidth="1"/>
    <col min="4351" max="4351" width="9.1796875" bestFit="1" customWidth="1"/>
    <col min="4352" max="4352" width="32.54296875" bestFit="1" customWidth="1"/>
    <col min="4353" max="4353" width="31.54296875" customWidth="1"/>
    <col min="4354" max="4354" width="13.7265625" bestFit="1" customWidth="1"/>
    <col min="4355" max="4355" width="12.1796875" bestFit="1" customWidth="1"/>
    <col min="4356" max="4356" width="12.7265625" bestFit="1" customWidth="1"/>
    <col min="4357" max="4357" width="12.7265625" customWidth="1"/>
    <col min="4358" max="4358" width="13.7265625" bestFit="1" customWidth="1"/>
    <col min="4359" max="4359" width="14" bestFit="1" customWidth="1"/>
    <col min="4360" max="4360" width="12.1796875" bestFit="1" customWidth="1"/>
    <col min="4361" max="4361" width="14.453125" bestFit="1" customWidth="1"/>
    <col min="4362" max="4362" width="12.1796875" bestFit="1" customWidth="1"/>
    <col min="4363" max="4363" width="12.7265625" bestFit="1" customWidth="1"/>
    <col min="4364" max="4364" width="12.7265625" customWidth="1"/>
    <col min="4365" max="4365" width="13.7265625" bestFit="1" customWidth="1"/>
    <col min="4366" max="4366" width="12.7265625" customWidth="1"/>
    <col min="4367" max="4367" width="14.453125" bestFit="1" customWidth="1"/>
    <col min="4368" max="4368" width="13.7265625" bestFit="1" customWidth="1"/>
    <col min="4369" max="4369" width="12.1796875" bestFit="1" customWidth="1"/>
    <col min="4370" max="4370" width="11.7265625" bestFit="1" customWidth="1"/>
    <col min="4371" max="4372" width="10.81640625" bestFit="1" customWidth="1"/>
    <col min="4373" max="4373" width="8.453125" bestFit="1" customWidth="1"/>
    <col min="4374" max="4374" width="10.81640625" bestFit="1" customWidth="1"/>
    <col min="4375" max="4375" width="11" bestFit="1" customWidth="1"/>
    <col min="4376" max="4604" width="8.81640625"/>
    <col min="4605" max="4605" width="10.453125" customWidth="1"/>
    <col min="4606" max="4606" width="8.1796875" bestFit="1" customWidth="1"/>
    <col min="4607" max="4607" width="9.1796875" bestFit="1" customWidth="1"/>
    <col min="4608" max="4608" width="32.54296875" bestFit="1" customWidth="1"/>
    <col min="4609" max="4609" width="31.54296875" customWidth="1"/>
    <col min="4610" max="4610" width="13.7265625" bestFit="1" customWidth="1"/>
    <col min="4611" max="4611" width="12.1796875" bestFit="1" customWidth="1"/>
    <col min="4612" max="4612" width="12.7265625" bestFit="1" customWidth="1"/>
    <col min="4613" max="4613" width="12.7265625" customWidth="1"/>
    <col min="4614" max="4614" width="13.7265625" bestFit="1" customWidth="1"/>
    <col min="4615" max="4615" width="14" bestFit="1" customWidth="1"/>
    <col min="4616" max="4616" width="12.1796875" bestFit="1" customWidth="1"/>
    <col min="4617" max="4617" width="14.453125" bestFit="1" customWidth="1"/>
    <col min="4618" max="4618" width="12.1796875" bestFit="1" customWidth="1"/>
    <col min="4619" max="4619" width="12.7265625" bestFit="1" customWidth="1"/>
    <col min="4620" max="4620" width="12.7265625" customWidth="1"/>
    <col min="4621" max="4621" width="13.7265625" bestFit="1" customWidth="1"/>
    <col min="4622" max="4622" width="12.7265625" customWidth="1"/>
    <col min="4623" max="4623" width="14.453125" bestFit="1" customWidth="1"/>
    <col min="4624" max="4624" width="13.7265625" bestFit="1" customWidth="1"/>
    <col min="4625" max="4625" width="12.1796875" bestFit="1" customWidth="1"/>
    <col min="4626" max="4626" width="11.7265625" bestFit="1" customWidth="1"/>
    <col min="4627" max="4628" width="10.81640625" bestFit="1" customWidth="1"/>
    <col min="4629" max="4629" width="8.453125" bestFit="1" customWidth="1"/>
    <col min="4630" max="4630" width="10.81640625" bestFit="1" customWidth="1"/>
    <col min="4631" max="4631" width="11" bestFit="1" customWidth="1"/>
    <col min="4632" max="4860" width="8.81640625"/>
    <col min="4861" max="4861" width="10.453125" customWidth="1"/>
    <col min="4862" max="4862" width="8.1796875" bestFit="1" customWidth="1"/>
    <col min="4863" max="4863" width="9.1796875" bestFit="1" customWidth="1"/>
    <col min="4864" max="4864" width="32.54296875" bestFit="1" customWidth="1"/>
    <col min="4865" max="4865" width="31.54296875" customWidth="1"/>
    <col min="4866" max="4866" width="13.7265625" bestFit="1" customWidth="1"/>
    <col min="4867" max="4867" width="12.1796875" bestFit="1" customWidth="1"/>
    <col min="4868" max="4868" width="12.7265625" bestFit="1" customWidth="1"/>
    <col min="4869" max="4869" width="12.7265625" customWidth="1"/>
    <col min="4870" max="4870" width="13.7265625" bestFit="1" customWidth="1"/>
    <col min="4871" max="4871" width="14" bestFit="1" customWidth="1"/>
    <col min="4872" max="4872" width="12.1796875" bestFit="1" customWidth="1"/>
    <col min="4873" max="4873" width="14.453125" bestFit="1" customWidth="1"/>
    <col min="4874" max="4874" width="12.1796875" bestFit="1" customWidth="1"/>
    <col min="4875" max="4875" width="12.7265625" bestFit="1" customWidth="1"/>
    <col min="4876" max="4876" width="12.7265625" customWidth="1"/>
    <col min="4877" max="4877" width="13.7265625" bestFit="1" customWidth="1"/>
    <col min="4878" max="4878" width="12.7265625" customWidth="1"/>
    <col min="4879" max="4879" width="14.453125" bestFit="1" customWidth="1"/>
    <col min="4880" max="4880" width="13.7265625" bestFit="1" customWidth="1"/>
    <col min="4881" max="4881" width="12.1796875" bestFit="1" customWidth="1"/>
    <col min="4882" max="4882" width="11.7265625" bestFit="1" customWidth="1"/>
    <col min="4883" max="4884" width="10.81640625" bestFit="1" customWidth="1"/>
    <col min="4885" max="4885" width="8.453125" bestFit="1" customWidth="1"/>
    <col min="4886" max="4886" width="10.81640625" bestFit="1" customWidth="1"/>
    <col min="4887" max="4887" width="11" bestFit="1" customWidth="1"/>
    <col min="4888" max="5116" width="8.81640625"/>
    <col min="5117" max="5117" width="10.453125" customWidth="1"/>
    <col min="5118" max="5118" width="8.1796875" bestFit="1" customWidth="1"/>
    <col min="5119" max="5119" width="9.1796875" bestFit="1" customWidth="1"/>
    <col min="5120" max="5120" width="32.54296875" bestFit="1" customWidth="1"/>
    <col min="5121" max="5121" width="31.54296875" customWidth="1"/>
    <col min="5122" max="5122" width="13.7265625" bestFit="1" customWidth="1"/>
    <col min="5123" max="5123" width="12.1796875" bestFit="1" customWidth="1"/>
    <col min="5124" max="5124" width="12.7265625" bestFit="1" customWidth="1"/>
    <col min="5125" max="5125" width="12.7265625" customWidth="1"/>
    <col min="5126" max="5126" width="13.7265625" bestFit="1" customWidth="1"/>
    <col min="5127" max="5127" width="14" bestFit="1" customWidth="1"/>
    <col min="5128" max="5128" width="12.1796875" bestFit="1" customWidth="1"/>
    <col min="5129" max="5129" width="14.453125" bestFit="1" customWidth="1"/>
    <col min="5130" max="5130" width="12.1796875" bestFit="1" customWidth="1"/>
    <col min="5131" max="5131" width="12.7265625" bestFit="1" customWidth="1"/>
    <col min="5132" max="5132" width="12.7265625" customWidth="1"/>
    <col min="5133" max="5133" width="13.7265625" bestFit="1" customWidth="1"/>
    <col min="5134" max="5134" width="12.7265625" customWidth="1"/>
    <col min="5135" max="5135" width="14.453125" bestFit="1" customWidth="1"/>
    <col min="5136" max="5136" width="13.7265625" bestFit="1" customWidth="1"/>
    <col min="5137" max="5137" width="12.1796875" bestFit="1" customWidth="1"/>
    <col min="5138" max="5138" width="11.7265625" bestFit="1" customWidth="1"/>
    <col min="5139" max="5140" width="10.81640625" bestFit="1" customWidth="1"/>
    <col min="5141" max="5141" width="8.453125" bestFit="1" customWidth="1"/>
    <col min="5142" max="5142" width="10.81640625" bestFit="1" customWidth="1"/>
    <col min="5143" max="5143" width="11" bestFit="1" customWidth="1"/>
    <col min="5144" max="5372" width="8.81640625"/>
    <col min="5373" max="5373" width="10.453125" customWidth="1"/>
    <col min="5374" max="5374" width="8.1796875" bestFit="1" customWidth="1"/>
    <col min="5375" max="5375" width="9.1796875" bestFit="1" customWidth="1"/>
    <col min="5376" max="5376" width="32.54296875" bestFit="1" customWidth="1"/>
    <col min="5377" max="5377" width="31.54296875" customWidth="1"/>
    <col min="5378" max="5378" width="13.7265625" bestFit="1" customWidth="1"/>
    <col min="5379" max="5379" width="12.1796875" bestFit="1" customWidth="1"/>
    <col min="5380" max="5380" width="12.7265625" bestFit="1" customWidth="1"/>
    <col min="5381" max="5381" width="12.7265625" customWidth="1"/>
    <col min="5382" max="5382" width="13.7265625" bestFit="1" customWidth="1"/>
    <col min="5383" max="5383" width="14" bestFit="1" customWidth="1"/>
    <col min="5384" max="5384" width="12.1796875" bestFit="1" customWidth="1"/>
    <col min="5385" max="5385" width="14.453125" bestFit="1" customWidth="1"/>
    <col min="5386" max="5386" width="12.1796875" bestFit="1" customWidth="1"/>
    <col min="5387" max="5387" width="12.7265625" bestFit="1" customWidth="1"/>
    <col min="5388" max="5388" width="12.7265625" customWidth="1"/>
    <col min="5389" max="5389" width="13.7265625" bestFit="1" customWidth="1"/>
    <col min="5390" max="5390" width="12.7265625" customWidth="1"/>
    <col min="5391" max="5391" width="14.453125" bestFit="1" customWidth="1"/>
    <col min="5392" max="5392" width="13.7265625" bestFit="1" customWidth="1"/>
    <col min="5393" max="5393" width="12.1796875" bestFit="1" customWidth="1"/>
    <col min="5394" max="5394" width="11.7265625" bestFit="1" customWidth="1"/>
    <col min="5395" max="5396" width="10.81640625" bestFit="1" customWidth="1"/>
    <col min="5397" max="5397" width="8.453125" bestFit="1" customWidth="1"/>
    <col min="5398" max="5398" width="10.81640625" bestFit="1" customWidth="1"/>
    <col min="5399" max="5399" width="11" bestFit="1" customWidth="1"/>
    <col min="5400" max="5628" width="8.81640625"/>
    <col min="5629" max="5629" width="10.453125" customWidth="1"/>
    <col min="5630" max="5630" width="8.1796875" bestFit="1" customWidth="1"/>
    <col min="5631" max="5631" width="9.1796875" bestFit="1" customWidth="1"/>
    <col min="5632" max="5632" width="32.54296875" bestFit="1" customWidth="1"/>
    <col min="5633" max="5633" width="31.54296875" customWidth="1"/>
    <col min="5634" max="5634" width="13.7265625" bestFit="1" customWidth="1"/>
    <col min="5635" max="5635" width="12.1796875" bestFit="1" customWidth="1"/>
    <col min="5636" max="5636" width="12.7265625" bestFit="1" customWidth="1"/>
    <col min="5637" max="5637" width="12.7265625" customWidth="1"/>
    <col min="5638" max="5638" width="13.7265625" bestFit="1" customWidth="1"/>
    <col min="5639" max="5639" width="14" bestFit="1" customWidth="1"/>
    <col min="5640" max="5640" width="12.1796875" bestFit="1" customWidth="1"/>
    <col min="5641" max="5641" width="14.453125" bestFit="1" customWidth="1"/>
    <col min="5642" max="5642" width="12.1796875" bestFit="1" customWidth="1"/>
    <col min="5643" max="5643" width="12.7265625" bestFit="1" customWidth="1"/>
    <col min="5644" max="5644" width="12.7265625" customWidth="1"/>
    <col min="5645" max="5645" width="13.7265625" bestFit="1" customWidth="1"/>
    <col min="5646" max="5646" width="12.7265625" customWidth="1"/>
    <col min="5647" max="5647" width="14.453125" bestFit="1" customWidth="1"/>
    <col min="5648" max="5648" width="13.7265625" bestFit="1" customWidth="1"/>
    <col min="5649" max="5649" width="12.1796875" bestFit="1" customWidth="1"/>
    <col min="5650" max="5650" width="11.7265625" bestFit="1" customWidth="1"/>
    <col min="5651" max="5652" width="10.81640625" bestFit="1" customWidth="1"/>
    <col min="5653" max="5653" width="8.453125" bestFit="1" customWidth="1"/>
    <col min="5654" max="5654" width="10.81640625" bestFit="1" customWidth="1"/>
    <col min="5655" max="5655" width="11" bestFit="1" customWidth="1"/>
    <col min="5656" max="5884" width="8.81640625"/>
    <col min="5885" max="5885" width="10.453125" customWidth="1"/>
    <col min="5886" max="5886" width="8.1796875" bestFit="1" customWidth="1"/>
    <col min="5887" max="5887" width="9.1796875" bestFit="1" customWidth="1"/>
    <col min="5888" max="5888" width="32.54296875" bestFit="1" customWidth="1"/>
    <col min="5889" max="5889" width="31.54296875" customWidth="1"/>
    <col min="5890" max="5890" width="13.7265625" bestFit="1" customWidth="1"/>
    <col min="5891" max="5891" width="12.1796875" bestFit="1" customWidth="1"/>
    <col min="5892" max="5892" width="12.7265625" bestFit="1" customWidth="1"/>
    <col min="5893" max="5893" width="12.7265625" customWidth="1"/>
    <col min="5894" max="5894" width="13.7265625" bestFit="1" customWidth="1"/>
    <col min="5895" max="5895" width="14" bestFit="1" customWidth="1"/>
    <col min="5896" max="5896" width="12.1796875" bestFit="1" customWidth="1"/>
    <col min="5897" max="5897" width="14.453125" bestFit="1" customWidth="1"/>
    <col min="5898" max="5898" width="12.1796875" bestFit="1" customWidth="1"/>
    <col min="5899" max="5899" width="12.7265625" bestFit="1" customWidth="1"/>
    <col min="5900" max="5900" width="12.7265625" customWidth="1"/>
    <col min="5901" max="5901" width="13.7265625" bestFit="1" customWidth="1"/>
    <col min="5902" max="5902" width="12.7265625" customWidth="1"/>
    <col min="5903" max="5903" width="14.453125" bestFit="1" customWidth="1"/>
    <col min="5904" max="5904" width="13.7265625" bestFit="1" customWidth="1"/>
    <col min="5905" max="5905" width="12.1796875" bestFit="1" customWidth="1"/>
    <col min="5906" max="5906" width="11.7265625" bestFit="1" customWidth="1"/>
    <col min="5907" max="5908" width="10.81640625" bestFit="1" customWidth="1"/>
    <col min="5909" max="5909" width="8.453125" bestFit="1" customWidth="1"/>
    <col min="5910" max="5910" width="10.81640625" bestFit="1" customWidth="1"/>
    <col min="5911" max="5911" width="11" bestFit="1" customWidth="1"/>
    <col min="5912" max="6140" width="8.81640625"/>
    <col min="6141" max="6141" width="10.453125" customWidth="1"/>
    <col min="6142" max="6142" width="8.1796875" bestFit="1" customWidth="1"/>
    <col min="6143" max="6143" width="9.1796875" bestFit="1" customWidth="1"/>
    <col min="6144" max="6144" width="32.54296875" bestFit="1" customWidth="1"/>
    <col min="6145" max="6145" width="31.54296875" customWidth="1"/>
    <col min="6146" max="6146" width="13.7265625" bestFit="1" customWidth="1"/>
    <col min="6147" max="6147" width="12.1796875" bestFit="1" customWidth="1"/>
    <col min="6148" max="6148" width="12.7265625" bestFit="1" customWidth="1"/>
    <col min="6149" max="6149" width="12.7265625" customWidth="1"/>
    <col min="6150" max="6150" width="13.7265625" bestFit="1" customWidth="1"/>
    <col min="6151" max="6151" width="14" bestFit="1" customWidth="1"/>
    <col min="6152" max="6152" width="12.1796875" bestFit="1" customWidth="1"/>
    <col min="6153" max="6153" width="14.453125" bestFit="1" customWidth="1"/>
    <col min="6154" max="6154" width="12.1796875" bestFit="1" customWidth="1"/>
    <col min="6155" max="6155" width="12.7265625" bestFit="1" customWidth="1"/>
    <col min="6156" max="6156" width="12.7265625" customWidth="1"/>
    <col min="6157" max="6157" width="13.7265625" bestFit="1" customWidth="1"/>
    <col min="6158" max="6158" width="12.7265625" customWidth="1"/>
    <col min="6159" max="6159" width="14.453125" bestFit="1" customWidth="1"/>
    <col min="6160" max="6160" width="13.7265625" bestFit="1" customWidth="1"/>
    <col min="6161" max="6161" width="12.1796875" bestFit="1" customWidth="1"/>
    <col min="6162" max="6162" width="11.7265625" bestFit="1" customWidth="1"/>
    <col min="6163" max="6164" width="10.81640625" bestFit="1" customWidth="1"/>
    <col min="6165" max="6165" width="8.453125" bestFit="1" customWidth="1"/>
    <col min="6166" max="6166" width="10.81640625" bestFit="1" customWidth="1"/>
    <col min="6167" max="6167" width="11" bestFit="1" customWidth="1"/>
    <col min="6168" max="6396" width="8.81640625"/>
    <col min="6397" max="6397" width="10.453125" customWidth="1"/>
    <col min="6398" max="6398" width="8.1796875" bestFit="1" customWidth="1"/>
    <col min="6399" max="6399" width="9.1796875" bestFit="1" customWidth="1"/>
    <col min="6400" max="6400" width="32.54296875" bestFit="1" customWidth="1"/>
    <col min="6401" max="6401" width="31.54296875" customWidth="1"/>
    <col min="6402" max="6402" width="13.7265625" bestFit="1" customWidth="1"/>
    <col min="6403" max="6403" width="12.1796875" bestFit="1" customWidth="1"/>
    <col min="6404" max="6404" width="12.7265625" bestFit="1" customWidth="1"/>
    <col min="6405" max="6405" width="12.7265625" customWidth="1"/>
    <col min="6406" max="6406" width="13.7265625" bestFit="1" customWidth="1"/>
    <col min="6407" max="6407" width="14" bestFit="1" customWidth="1"/>
    <col min="6408" max="6408" width="12.1796875" bestFit="1" customWidth="1"/>
    <col min="6409" max="6409" width="14.453125" bestFit="1" customWidth="1"/>
    <col min="6410" max="6410" width="12.1796875" bestFit="1" customWidth="1"/>
    <col min="6411" max="6411" width="12.7265625" bestFit="1" customWidth="1"/>
    <col min="6412" max="6412" width="12.7265625" customWidth="1"/>
    <col min="6413" max="6413" width="13.7265625" bestFit="1" customWidth="1"/>
    <col min="6414" max="6414" width="12.7265625" customWidth="1"/>
    <col min="6415" max="6415" width="14.453125" bestFit="1" customWidth="1"/>
    <col min="6416" max="6416" width="13.7265625" bestFit="1" customWidth="1"/>
    <col min="6417" max="6417" width="12.1796875" bestFit="1" customWidth="1"/>
    <col min="6418" max="6418" width="11.7265625" bestFit="1" customWidth="1"/>
    <col min="6419" max="6420" width="10.81640625" bestFit="1" customWidth="1"/>
    <col min="6421" max="6421" width="8.453125" bestFit="1" customWidth="1"/>
    <col min="6422" max="6422" width="10.81640625" bestFit="1" customWidth="1"/>
    <col min="6423" max="6423" width="11" bestFit="1" customWidth="1"/>
    <col min="6424" max="6652" width="8.81640625"/>
    <col min="6653" max="6653" width="10.453125" customWidth="1"/>
    <col min="6654" max="6654" width="8.1796875" bestFit="1" customWidth="1"/>
    <col min="6655" max="6655" width="9.1796875" bestFit="1" customWidth="1"/>
    <col min="6656" max="6656" width="32.54296875" bestFit="1" customWidth="1"/>
    <col min="6657" max="6657" width="31.54296875" customWidth="1"/>
    <col min="6658" max="6658" width="13.7265625" bestFit="1" customWidth="1"/>
    <col min="6659" max="6659" width="12.1796875" bestFit="1" customWidth="1"/>
    <col min="6660" max="6660" width="12.7265625" bestFit="1" customWidth="1"/>
    <col min="6661" max="6661" width="12.7265625" customWidth="1"/>
    <col min="6662" max="6662" width="13.7265625" bestFit="1" customWidth="1"/>
    <col min="6663" max="6663" width="14" bestFit="1" customWidth="1"/>
    <col min="6664" max="6664" width="12.1796875" bestFit="1" customWidth="1"/>
    <col min="6665" max="6665" width="14.453125" bestFit="1" customWidth="1"/>
    <col min="6666" max="6666" width="12.1796875" bestFit="1" customWidth="1"/>
    <col min="6667" max="6667" width="12.7265625" bestFit="1" customWidth="1"/>
    <col min="6668" max="6668" width="12.7265625" customWidth="1"/>
    <col min="6669" max="6669" width="13.7265625" bestFit="1" customWidth="1"/>
    <col min="6670" max="6670" width="12.7265625" customWidth="1"/>
    <col min="6671" max="6671" width="14.453125" bestFit="1" customWidth="1"/>
    <col min="6672" max="6672" width="13.7265625" bestFit="1" customWidth="1"/>
    <col min="6673" max="6673" width="12.1796875" bestFit="1" customWidth="1"/>
    <col min="6674" max="6674" width="11.7265625" bestFit="1" customWidth="1"/>
    <col min="6675" max="6676" width="10.81640625" bestFit="1" customWidth="1"/>
    <col min="6677" max="6677" width="8.453125" bestFit="1" customWidth="1"/>
    <col min="6678" max="6678" width="10.81640625" bestFit="1" customWidth="1"/>
    <col min="6679" max="6679" width="11" bestFit="1" customWidth="1"/>
    <col min="6680" max="6908" width="8.81640625"/>
    <col min="6909" max="6909" width="10.453125" customWidth="1"/>
    <col min="6910" max="6910" width="8.1796875" bestFit="1" customWidth="1"/>
    <col min="6911" max="6911" width="9.1796875" bestFit="1" customWidth="1"/>
    <col min="6912" max="6912" width="32.54296875" bestFit="1" customWidth="1"/>
    <col min="6913" max="6913" width="31.54296875" customWidth="1"/>
    <col min="6914" max="6914" width="13.7265625" bestFit="1" customWidth="1"/>
    <col min="6915" max="6915" width="12.1796875" bestFit="1" customWidth="1"/>
    <col min="6916" max="6916" width="12.7265625" bestFit="1" customWidth="1"/>
    <col min="6917" max="6917" width="12.7265625" customWidth="1"/>
    <col min="6918" max="6918" width="13.7265625" bestFit="1" customWidth="1"/>
    <col min="6919" max="6919" width="14" bestFit="1" customWidth="1"/>
    <col min="6920" max="6920" width="12.1796875" bestFit="1" customWidth="1"/>
    <col min="6921" max="6921" width="14.453125" bestFit="1" customWidth="1"/>
    <col min="6922" max="6922" width="12.1796875" bestFit="1" customWidth="1"/>
    <col min="6923" max="6923" width="12.7265625" bestFit="1" customWidth="1"/>
    <col min="6924" max="6924" width="12.7265625" customWidth="1"/>
    <col min="6925" max="6925" width="13.7265625" bestFit="1" customWidth="1"/>
    <col min="6926" max="6926" width="12.7265625" customWidth="1"/>
    <col min="6927" max="6927" width="14.453125" bestFit="1" customWidth="1"/>
    <col min="6928" max="6928" width="13.7265625" bestFit="1" customWidth="1"/>
    <col min="6929" max="6929" width="12.1796875" bestFit="1" customWidth="1"/>
    <col min="6930" max="6930" width="11.7265625" bestFit="1" customWidth="1"/>
    <col min="6931" max="6932" width="10.81640625" bestFit="1" customWidth="1"/>
    <col min="6933" max="6933" width="8.453125" bestFit="1" customWidth="1"/>
    <col min="6934" max="6934" width="10.81640625" bestFit="1" customWidth="1"/>
    <col min="6935" max="6935" width="11" bestFit="1" customWidth="1"/>
    <col min="6936" max="7164" width="8.81640625"/>
    <col min="7165" max="7165" width="10.453125" customWidth="1"/>
    <col min="7166" max="7166" width="8.1796875" bestFit="1" customWidth="1"/>
    <col min="7167" max="7167" width="9.1796875" bestFit="1" customWidth="1"/>
    <col min="7168" max="7168" width="32.54296875" bestFit="1" customWidth="1"/>
    <col min="7169" max="7169" width="31.54296875" customWidth="1"/>
    <col min="7170" max="7170" width="13.7265625" bestFit="1" customWidth="1"/>
    <col min="7171" max="7171" width="12.1796875" bestFit="1" customWidth="1"/>
    <col min="7172" max="7172" width="12.7265625" bestFit="1" customWidth="1"/>
    <col min="7173" max="7173" width="12.7265625" customWidth="1"/>
    <col min="7174" max="7174" width="13.7265625" bestFit="1" customWidth="1"/>
    <col min="7175" max="7175" width="14" bestFit="1" customWidth="1"/>
    <col min="7176" max="7176" width="12.1796875" bestFit="1" customWidth="1"/>
    <col min="7177" max="7177" width="14.453125" bestFit="1" customWidth="1"/>
    <col min="7178" max="7178" width="12.1796875" bestFit="1" customWidth="1"/>
    <col min="7179" max="7179" width="12.7265625" bestFit="1" customWidth="1"/>
    <col min="7180" max="7180" width="12.7265625" customWidth="1"/>
    <col min="7181" max="7181" width="13.7265625" bestFit="1" customWidth="1"/>
    <col min="7182" max="7182" width="12.7265625" customWidth="1"/>
    <col min="7183" max="7183" width="14.453125" bestFit="1" customWidth="1"/>
    <col min="7184" max="7184" width="13.7265625" bestFit="1" customWidth="1"/>
    <col min="7185" max="7185" width="12.1796875" bestFit="1" customWidth="1"/>
    <col min="7186" max="7186" width="11.7265625" bestFit="1" customWidth="1"/>
    <col min="7187" max="7188" width="10.81640625" bestFit="1" customWidth="1"/>
    <col min="7189" max="7189" width="8.453125" bestFit="1" customWidth="1"/>
    <col min="7190" max="7190" width="10.81640625" bestFit="1" customWidth="1"/>
    <col min="7191" max="7191" width="11" bestFit="1" customWidth="1"/>
    <col min="7192" max="7420" width="8.81640625"/>
    <col min="7421" max="7421" width="10.453125" customWidth="1"/>
    <col min="7422" max="7422" width="8.1796875" bestFit="1" customWidth="1"/>
    <col min="7423" max="7423" width="9.1796875" bestFit="1" customWidth="1"/>
    <col min="7424" max="7424" width="32.54296875" bestFit="1" customWidth="1"/>
    <col min="7425" max="7425" width="31.54296875" customWidth="1"/>
    <col min="7426" max="7426" width="13.7265625" bestFit="1" customWidth="1"/>
    <col min="7427" max="7427" width="12.1796875" bestFit="1" customWidth="1"/>
    <col min="7428" max="7428" width="12.7265625" bestFit="1" customWidth="1"/>
    <col min="7429" max="7429" width="12.7265625" customWidth="1"/>
    <col min="7430" max="7430" width="13.7265625" bestFit="1" customWidth="1"/>
    <col min="7431" max="7431" width="14" bestFit="1" customWidth="1"/>
    <col min="7432" max="7432" width="12.1796875" bestFit="1" customWidth="1"/>
    <col min="7433" max="7433" width="14.453125" bestFit="1" customWidth="1"/>
    <col min="7434" max="7434" width="12.1796875" bestFit="1" customWidth="1"/>
    <col min="7435" max="7435" width="12.7265625" bestFit="1" customWidth="1"/>
    <col min="7436" max="7436" width="12.7265625" customWidth="1"/>
    <col min="7437" max="7437" width="13.7265625" bestFit="1" customWidth="1"/>
    <col min="7438" max="7438" width="12.7265625" customWidth="1"/>
    <col min="7439" max="7439" width="14.453125" bestFit="1" customWidth="1"/>
    <col min="7440" max="7440" width="13.7265625" bestFit="1" customWidth="1"/>
    <col min="7441" max="7441" width="12.1796875" bestFit="1" customWidth="1"/>
    <col min="7442" max="7442" width="11.7265625" bestFit="1" customWidth="1"/>
    <col min="7443" max="7444" width="10.81640625" bestFit="1" customWidth="1"/>
    <col min="7445" max="7445" width="8.453125" bestFit="1" customWidth="1"/>
    <col min="7446" max="7446" width="10.81640625" bestFit="1" customWidth="1"/>
    <col min="7447" max="7447" width="11" bestFit="1" customWidth="1"/>
    <col min="7448" max="7676" width="8.81640625"/>
    <col min="7677" max="7677" width="10.453125" customWidth="1"/>
    <col min="7678" max="7678" width="8.1796875" bestFit="1" customWidth="1"/>
    <col min="7679" max="7679" width="9.1796875" bestFit="1" customWidth="1"/>
    <col min="7680" max="7680" width="32.54296875" bestFit="1" customWidth="1"/>
    <col min="7681" max="7681" width="31.54296875" customWidth="1"/>
    <col min="7682" max="7682" width="13.7265625" bestFit="1" customWidth="1"/>
    <col min="7683" max="7683" width="12.1796875" bestFit="1" customWidth="1"/>
    <col min="7684" max="7684" width="12.7265625" bestFit="1" customWidth="1"/>
    <col min="7685" max="7685" width="12.7265625" customWidth="1"/>
    <col min="7686" max="7686" width="13.7265625" bestFit="1" customWidth="1"/>
    <col min="7687" max="7687" width="14" bestFit="1" customWidth="1"/>
    <col min="7688" max="7688" width="12.1796875" bestFit="1" customWidth="1"/>
    <col min="7689" max="7689" width="14.453125" bestFit="1" customWidth="1"/>
    <col min="7690" max="7690" width="12.1796875" bestFit="1" customWidth="1"/>
    <col min="7691" max="7691" width="12.7265625" bestFit="1" customWidth="1"/>
    <col min="7692" max="7692" width="12.7265625" customWidth="1"/>
    <col min="7693" max="7693" width="13.7265625" bestFit="1" customWidth="1"/>
    <col min="7694" max="7694" width="12.7265625" customWidth="1"/>
    <col min="7695" max="7695" width="14.453125" bestFit="1" customWidth="1"/>
    <col min="7696" max="7696" width="13.7265625" bestFit="1" customWidth="1"/>
    <col min="7697" max="7697" width="12.1796875" bestFit="1" customWidth="1"/>
    <col min="7698" max="7698" width="11.7265625" bestFit="1" customWidth="1"/>
    <col min="7699" max="7700" width="10.81640625" bestFit="1" customWidth="1"/>
    <col min="7701" max="7701" width="8.453125" bestFit="1" customWidth="1"/>
    <col min="7702" max="7702" width="10.81640625" bestFit="1" customWidth="1"/>
    <col min="7703" max="7703" width="11" bestFit="1" customWidth="1"/>
    <col min="7704" max="7932" width="8.81640625"/>
    <col min="7933" max="7933" width="10.453125" customWidth="1"/>
    <col min="7934" max="7934" width="8.1796875" bestFit="1" customWidth="1"/>
    <col min="7935" max="7935" width="9.1796875" bestFit="1" customWidth="1"/>
    <col min="7936" max="7936" width="32.54296875" bestFit="1" customWidth="1"/>
    <col min="7937" max="7937" width="31.54296875" customWidth="1"/>
    <col min="7938" max="7938" width="13.7265625" bestFit="1" customWidth="1"/>
    <col min="7939" max="7939" width="12.1796875" bestFit="1" customWidth="1"/>
    <col min="7940" max="7940" width="12.7265625" bestFit="1" customWidth="1"/>
    <col min="7941" max="7941" width="12.7265625" customWidth="1"/>
    <col min="7942" max="7942" width="13.7265625" bestFit="1" customWidth="1"/>
    <col min="7943" max="7943" width="14" bestFit="1" customWidth="1"/>
    <col min="7944" max="7944" width="12.1796875" bestFit="1" customWidth="1"/>
    <col min="7945" max="7945" width="14.453125" bestFit="1" customWidth="1"/>
    <col min="7946" max="7946" width="12.1796875" bestFit="1" customWidth="1"/>
    <col min="7947" max="7947" width="12.7265625" bestFit="1" customWidth="1"/>
    <col min="7948" max="7948" width="12.7265625" customWidth="1"/>
    <col min="7949" max="7949" width="13.7265625" bestFit="1" customWidth="1"/>
    <col min="7950" max="7950" width="12.7265625" customWidth="1"/>
    <col min="7951" max="7951" width="14.453125" bestFit="1" customWidth="1"/>
    <col min="7952" max="7952" width="13.7265625" bestFit="1" customWidth="1"/>
    <col min="7953" max="7953" width="12.1796875" bestFit="1" customWidth="1"/>
    <col min="7954" max="7954" width="11.7265625" bestFit="1" customWidth="1"/>
    <col min="7955" max="7956" width="10.81640625" bestFit="1" customWidth="1"/>
    <col min="7957" max="7957" width="8.453125" bestFit="1" customWidth="1"/>
    <col min="7958" max="7958" width="10.81640625" bestFit="1" customWidth="1"/>
    <col min="7959" max="7959" width="11" bestFit="1" customWidth="1"/>
    <col min="7960" max="8188" width="8.81640625"/>
    <col min="8189" max="8189" width="10.453125" customWidth="1"/>
    <col min="8190" max="8190" width="8.1796875" bestFit="1" customWidth="1"/>
    <col min="8191" max="8191" width="9.1796875" bestFit="1" customWidth="1"/>
    <col min="8192" max="8192" width="32.54296875" bestFit="1" customWidth="1"/>
    <col min="8193" max="8193" width="31.54296875" customWidth="1"/>
    <col min="8194" max="8194" width="13.7265625" bestFit="1" customWidth="1"/>
    <col min="8195" max="8195" width="12.1796875" bestFit="1" customWidth="1"/>
    <col min="8196" max="8196" width="12.7265625" bestFit="1" customWidth="1"/>
    <col min="8197" max="8197" width="12.7265625" customWidth="1"/>
    <col min="8198" max="8198" width="13.7265625" bestFit="1" customWidth="1"/>
    <col min="8199" max="8199" width="14" bestFit="1" customWidth="1"/>
    <col min="8200" max="8200" width="12.1796875" bestFit="1" customWidth="1"/>
    <col min="8201" max="8201" width="14.453125" bestFit="1" customWidth="1"/>
    <col min="8202" max="8202" width="12.1796875" bestFit="1" customWidth="1"/>
    <col min="8203" max="8203" width="12.7265625" bestFit="1" customWidth="1"/>
    <col min="8204" max="8204" width="12.7265625" customWidth="1"/>
    <col min="8205" max="8205" width="13.7265625" bestFit="1" customWidth="1"/>
    <col min="8206" max="8206" width="12.7265625" customWidth="1"/>
    <col min="8207" max="8207" width="14.453125" bestFit="1" customWidth="1"/>
    <col min="8208" max="8208" width="13.7265625" bestFit="1" customWidth="1"/>
    <col min="8209" max="8209" width="12.1796875" bestFit="1" customWidth="1"/>
    <col min="8210" max="8210" width="11.7265625" bestFit="1" customWidth="1"/>
    <col min="8211" max="8212" width="10.81640625" bestFit="1" customWidth="1"/>
    <col min="8213" max="8213" width="8.453125" bestFit="1" customWidth="1"/>
    <col min="8214" max="8214" width="10.81640625" bestFit="1" customWidth="1"/>
    <col min="8215" max="8215" width="11" bestFit="1" customWidth="1"/>
    <col min="8216" max="8444" width="8.81640625"/>
    <col min="8445" max="8445" width="10.453125" customWidth="1"/>
    <col min="8446" max="8446" width="8.1796875" bestFit="1" customWidth="1"/>
    <col min="8447" max="8447" width="9.1796875" bestFit="1" customWidth="1"/>
    <col min="8448" max="8448" width="32.54296875" bestFit="1" customWidth="1"/>
    <col min="8449" max="8449" width="31.54296875" customWidth="1"/>
    <col min="8450" max="8450" width="13.7265625" bestFit="1" customWidth="1"/>
    <col min="8451" max="8451" width="12.1796875" bestFit="1" customWidth="1"/>
    <col min="8452" max="8452" width="12.7265625" bestFit="1" customWidth="1"/>
    <col min="8453" max="8453" width="12.7265625" customWidth="1"/>
    <col min="8454" max="8454" width="13.7265625" bestFit="1" customWidth="1"/>
    <col min="8455" max="8455" width="14" bestFit="1" customWidth="1"/>
    <col min="8456" max="8456" width="12.1796875" bestFit="1" customWidth="1"/>
    <col min="8457" max="8457" width="14.453125" bestFit="1" customWidth="1"/>
    <col min="8458" max="8458" width="12.1796875" bestFit="1" customWidth="1"/>
    <col min="8459" max="8459" width="12.7265625" bestFit="1" customWidth="1"/>
    <col min="8460" max="8460" width="12.7265625" customWidth="1"/>
    <col min="8461" max="8461" width="13.7265625" bestFit="1" customWidth="1"/>
    <col min="8462" max="8462" width="12.7265625" customWidth="1"/>
    <col min="8463" max="8463" width="14.453125" bestFit="1" customWidth="1"/>
    <col min="8464" max="8464" width="13.7265625" bestFit="1" customWidth="1"/>
    <col min="8465" max="8465" width="12.1796875" bestFit="1" customWidth="1"/>
    <col min="8466" max="8466" width="11.7265625" bestFit="1" customWidth="1"/>
    <col min="8467" max="8468" width="10.81640625" bestFit="1" customWidth="1"/>
    <col min="8469" max="8469" width="8.453125" bestFit="1" customWidth="1"/>
    <col min="8470" max="8470" width="10.81640625" bestFit="1" customWidth="1"/>
    <col min="8471" max="8471" width="11" bestFit="1" customWidth="1"/>
    <col min="8472" max="8700" width="8.81640625"/>
    <col min="8701" max="8701" width="10.453125" customWidth="1"/>
    <col min="8702" max="8702" width="8.1796875" bestFit="1" customWidth="1"/>
    <col min="8703" max="8703" width="9.1796875" bestFit="1" customWidth="1"/>
    <col min="8704" max="8704" width="32.54296875" bestFit="1" customWidth="1"/>
    <col min="8705" max="8705" width="31.54296875" customWidth="1"/>
    <col min="8706" max="8706" width="13.7265625" bestFit="1" customWidth="1"/>
    <col min="8707" max="8707" width="12.1796875" bestFit="1" customWidth="1"/>
    <col min="8708" max="8708" width="12.7265625" bestFit="1" customWidth="1"/>
    <col min="8709" max="8709" width="12.7265625" customWidth="1"/>
    <col min="8710" max="8710" width="13.7265625" bestFit="1" customWidth="1"/>
    <col min="8711" max="8711" width="14" bestFit="1" customWidth="1"/>
    <col min="8712" max="8712" width="12.1796875" bestFit="1" customWidth="1"/>
    <col min="8713" max="8713" width="14.453125" bestFit="1" customWidth="1"/>
    <col min="8714" max="8714" width="12.1796875" bestFit="1" customWidth="1"/>
    <col min="8715" max="8715" width="12.7265625" bestFit="1" customWidth="1"/>
    <col min="8716" max="8716" width="12.7265625" customWidth="1"/>
    <col min="8717" max="8717" width="13.7265625" bestFit="1" customWidth="1"/>
    <col min="8718" max="8718" width="12.7265625" customWidth="1"/>
    <col min="8719" max="8719" width="14.453125" bestFit="1" customWidth="1"/>
    <col min="8720" max="8720" width="13.7265625" bestFit="1" customWidth="1"/>
    <col min="8721" max="8721" width="12.1796875" bestFit="1" customWidth="1"/>
    <col min="8722" max="8722" width="11.7265625" bestFit="1" customWidth="1"/>
    <col min="8723" max="8724" width="10.81640625" bestFit="1" customWidth="1"/>
    <col min="8725" max="8725" width="8.453125" bestFit="1" customWidth="1"/>
    <col min="8726" max="8726" width="10.81640625" bestFit="1" customWidth="1"/>
    <col min="8727" max="8727" width="11" bestFit="1" customWidth="1"/>
    <col min="8728" max="8956" width="8.81640625"/>
    <col min="8957" max="8957" width="10.453125" customWidth="1"/>
    <col min="8958" max="8958" width="8.1796875" bestFit="1" customWidth="1"/>
    <col min="8959" max="8959" width="9.1796875" bestFit="1" customWidth="1"/>
    <col min="8960" max="8960" width="32.54296875" bestFit="1" customWidth="1"/>
    <col min="8961" max="8961" width="31.54296875" customWidth="1"/>
    <col min="8962" max="8962" width="13.7265625" bestFit="1" customWidth="1"/>
    <col min="8963" max="8963" width="12.1796875" bestFit="1" customWidth="1"/>
    <col min="8964" max="8964" width="12.7265625" bestFit="1" customWidth="1"/>
    <col min="8965" max="8965" width="12.7265625" customWidth="1"/>
    <col min="8966" max="8966" width="13.7265625" bestFit="1" customWidth="1"/>
    <col min="8967" max="8967" width="14" bestFit="1" customWidth="1"/>
    <col min="8968" max="8968" width="12.1796875" bestFit="1" customWidth="1"/>
    <col min="8969" max="8969" width="14.453125" bestFit="1" customWidth="1"/>
    <col min="8970" max="8970" width="12.1796875" bestFit="1" customWidth="1"/>
    <col min="8971" max="8971" width="12.7265625" bestFit="1" customWidth="1"/>
    <col min="8972" max="8972" width="12.7265625" customWidth="1"/>
    <col min="8973" max="8973" width="13.7265625" bestFit="1" customWidth="1"/>
    <col min="8974" max="8974" width="12.7265625" customWidth="1"/>
    <col min="8975" max="8975" width="14.453125" bestFit="1" customWidth="1"/>
    <col min="8976" max="8976" width="13.7265625" bestFit="1" customWidth="1"/>
    <col min="8977" max="8977" width="12.1796875" bestFit="1" customWidth="1"/>
    <col min="8978" max="8978" width="11.7265625" bestFit="1" customWidth="1"/>
    <col min="8979" max="8980" width="10.81640625" bestFit="1" customWidth="1"/>
    <col min="8981" max="8981" width="8.453125" bestFit="1" customWidth="1"/>
    <col min="8982" max="8982" width="10.81640625" bestFit="1" customWidth="1"/>
    <col min="8983" max="8983" width="11" bestFit="1" customWidth="1"/>
    <col min="8984" max="9212" width="8.81640625"/>
    <col min="9213" max="9213" width="10.453125" customWidth="1"/>
    <col min="9214" max="9214" width="8.1796875" bestFit="1" customWidth="1"/>
    <col min="9215" max="9215" width="9.1796875" bestFit="1" customWidth="1"/>
    <col min="9216" max="9216" width="32.54296875" bestFit="1" customWidth="1"/>
    <col min="9217" max="9217" width="31.54296875" customWidth="1"/>
    <col min="9218" max="9218" width="13.7265625" bestFit="1" customWidth="1"/>
    <col min="9219" max="9219" width="12.1796875" bestFit="1" customWidth="1"/>
    <col min="9220" max="9220" width="12.7265625" bestFit="1" customWidth="1"/>
    <col min="9221" max="9221" width="12.7265625" customWidth="1"/>
    <col min="9222" max="9222" width="13.7265625" bestFit="1" customWidth="1"/>
    <col min="9223" max="9223" width="14" bestFit="1" customWidth="1"/>
    <col min="9224" max="9224" width="12.1796875" bestFit="1" customWidth="1"/>
    <col min="9225" max="9225" width="14.453125" bestFit="1" customWidth="1"/>
    <col min="9226" max="9226" width="12.1796875" bestFit="1" customWidth="1"/>
    <col min="9227" max="9227" width="12.7265625" bestFit="1" customWidth="1"/>
    <col min="9228" max="9228" width="12.7265625" customWidth="1"/>
    <col min="9229" max="9229" width="13.7265625" bestFit="1" customWidth="1"/>
    <col min="9230" max="9230" width="12.7265625" customWidth="1"/>
    <col min="9231" max="9231" width="14.453125" bestFit="1" customWidth="1"/>
    <col min="9232" max="9232" width="13.7265625" bestFit="1" customWidth="1"/>
    <col min="9233" max="9233" width="12.1796875" bestFit="1" customWidth="1"/>
    <col min="9234" max="9234" width="11.7265625" bestFit="1" customWidth="1"/>
    <col min="9235" max="9236" width="10.81640625" bestFit="1" customWidth="1"/>
    <col min="9237" max="9237" width="8.453125" bestFit="1" customWidth="1"/>
    <col min="9238" max="9238" width="10.81640625" bestFit="1" customWidth="1"/>
    <col min="9239" max="9239" width="11" bestFit="1" customWidth="1"/>
    <col min="9240" max="9468" width="8.81640625"/>
    <col min="9469" max="9469" width="10.453125" customWidth="1"/>
    <col min="9470" max="9470" width="8.1796875" bestFit="1" customWidth="1"/>
    <col min="9471" max="9471" width="9.1796875" bestFit="1" customWidth="1"/>
    <col min="9472" max="9472" width="32.54296875" bestFit="1" customWidth="1"/>
    <col min="9473" max="9473" width="31.54296875" customWidth="1"/>
    <col min="9474" max="9474" width="13.7265625" bestFit="1" customWidth="1"/>
    <col min="9475" max="9475" width="12.1796875" bestFit="1" customWidth="1"/>
    <col min="9476" max="9476" width="12.7265625" bestFit="1" customWidth="1"/>
    <col min="9477" max="9477" width="12.7265625" customWidth="1"/>
    <col min="9478" max="9478" width="13.7265625" bestFit="1" customWidth="1"/>
    <col min="9479" max="9479" width="14" bestFit="1" customWidth="1"/>
    <col min="9480" max="9480" width="12.1796875" bestFit="1" customWidth="1"/>
    <col min="9481" max="9481" width="14.453125" bestFit="1" customWidth="1"/>
    <col min="9482" max="9482" width="12.1796875" bestFit="1" customWidth="1"/>
    <col min="9483" max="9483" width="12.7265625" bestFit="1" customWidth="1"/>
    <col min="9484" max="9484" width="12.7265625" customWidth="1"/>
    <col min="9485" max="9485" width="13.7265625" bestFit="1" customWidth="1"/>
    <col min="9486" max="9486" width="12.7265625" customWidth="1"/>
    <col min="9487" max="9487" width="14.453125" bestFit="1" customWidth="1"/>
    <col min="9488" max="9488" width="13.7265625" bestFit="1" customWidth="1"/>
    <col min="9489" max="9489" width="12.1796875" bestFit="1" customWidth="1"/>
    <col min="9490" max="9490" width="11.7265625" bestFit="1" customWidth="1"/>
    <col min="9491" max="9492" width="10.81640625" bestFit="1" customWidth="1"/>
    <col min="9493" max="9493" width="8.453125" bestFit="1" customWidth="1"/>
    <col min="9494" max="9494" width="10.81640625" bestFit="1" customWidth="1"/>
    <col min="9495" max="9495" width="11" bestFit="1" customWidth="1"/>
    <col min="9496" max="9724" width="8.81640625"/>
    <col min="9725" max="9725" width="10.453125" customWidth="1"/>
    <col min="9726" max="9726" width="8.1796875" bestFit="1" customWidth="1"/>
    <col min="9727" max="9727" width="9.1796875" bestFit="1" customWidth="1"/>
    <col min="9728" max="9728" width="32.54296875" bestFit="1" customWidth="1"/>
    <col min="9729" max="9729" width="31.54296875" customWidth="1"/>
    <col min="9730" max="9730" width="13.7265625" bestFit="1" customWidth="1"/>
    <col min="9731" max="9731" width="12.1796875" bestFit="1" customWidth="1"/>
    <col min="9732" max="9732" width="12.7265625" bestFit="1" customWidth="1"/>
    <col min="9733" max="9733" width="12.7265625" customWidth="1"/>
    <col min="9734" max="9734" width="13.7265625" bestFit="1" customWidth="1"/>
    <col min="9735" max="9735" width="14" bestFit="1" customWidth="1"/>
    <col min="9736" max="9736" width="12.1796875" bestFit="1" customWidth="1"/>
    <col min="9737" max="9737" width="14.453125" bestFit="1" customWidth="1"/>
    <col min="9738" max="9738" width="12.1796875" bestFit="1" customWidth="1"/>
    <col min="9739" max="9739" width="12.7265625" bestFit="1" customWidth="1"/>
    <col min="9740" max="9740" width="12.7265625" customWidth="1"/>
    <col min="9741" max="9741" width="13.7265625" bestFit="1" customWidth="1"/>
    <col min="9742" max="9742" width="12.7265625" customWidth="1"/>
    <col min="9743" max="9743" width="14.453125" bestFit="1" customWidth="1"/>
    <col min="9744" max="9744" width="13.7265625" bestFit="1" customWidth="1"/>
    <col min="9745" max="9745" width="12.1796875" bestFit="1" customWidth="1"/>
    <col min="9746" max="9746" width="11.7265625" bestFit="1" customWidth="1"/>
    <col min="9747" max="9748" width="10.81640625" bestFit="1" customWidth="1"/>
    <col min="9749" max="9749" width="8.453125" bestFit="1" customWidth="1"/>
    <col min="9750" max="9750" width="10.81640625" bestFit="1" customWidth="1"/>
    <col min="9751" max="9751" width="11" bestFit="1" customWidth="1"/>
    <col min="9752" max="9980" width="8.81640625"/>
    <col min="9981" max="9981" width="10.453125" customWidth="1"/>
    <col min="9982" max="9982" width="8.1796875" bestFit="1" customWidth="1"/>
    <col min="9983" max="9983" width="9.1796875" bestFit="1" customWidth="1"/>
    <col min="9984" max="9984" width="32.54296875" bestFit="1" customWidth="1"/>
    <col min="9985" max="9985" width="31.54296875" customWidth="1"/>
    <col min="9986" max="9986" width="13.7265625" bestFit="1" customWidth="1"/>
    <col min="9987" max="9987" width="12.1796875" bestFit="1" customWidth="1"/>
    <col min="9988" max="9988" width="12.7265625" bestFit="1" customWidth="1"/>
    <col min="9989" max="9989" width="12.7265625" customWidth="1"/>
    <col min="9990" max="9990" width="13.7265625" bestFit="1" customWidth="1"/>
    <col min="9991" max="9991" width="14" bestFit="1" customWidth="1"/>
    <col min="9992" max="9992" width="12.1796875" bestFit="1" customWidth="1"/>
    <col min="9993" max="9993" width="14.453125" bestFit="1" customWidth="1"/>
    <col min="9994" max="9994" width="12.1796875" bestFit="1" customWidth="1"/>
    <col min="9995" max="9995" width="12.7265625" bestFit="1" customWidth="1"/>
    <col min="9996" max="9996" width="12.7265625" customWidth="1"/>
    <col min="9997" max="9997" width="13.7265625" bestFit="1" customWidth="1"/>
    <col min="9998" max="9998" width="12.7265625" customWidth="1"/>
    <col min="9999" max="9999" width="14.453125" bestFit="1" customWidth="1"/>
    <col min="10000" max="10000" width="13.7265625" bestFit="1" customWidth="1"/>
    <col min="10001" max="10001" width="12.1796875" bestFit="1" customWidth="1"/>
    <col min="10002" max="10002" width="11.7265625" bestFit="1" customWidth="1"/>
    <col min="10003" max="10004" width="10.81640625" bestFit="1" customWidth="1"/>
    <col min="10005" max="10005" width="8.453125" bestFit="1" customWidth="1"/>
    <col min="10006" max="10006" width="10.81640625" bestFit="1" customWidth="1"/>
    <col min="10007" max="10007" width="11" bestFit="1" customWidth="1"/>
    <col min="10008" max="10236" width="8.81640625"/>
    <col min="10237" max="10237" width="10.453125" customWidth="1"/>
    <col min="10238" max="10238" width="8.1796875" bestFit="1" customWidth="1"/>
    <col min="10239" max="10239" width="9.1796875" bestFit="1" customWidth="1"/>
    <col min="10240" max="10240" width="32.54296875" bestFit="1" customWidth="1"/>
    <col min="10241" max="10241" width="31.54296875" customWidth="1"/>
    <col min="10242" max="10242" width="13.7265625" bestFit="1" customWidth="1"/>
    <col min="10243" max="10243" width="12.1796875" bestFit="1" customWidth="1"/>
    <col min="10244" max="10244" width="12.7265625" bestFit="1" customWidth="1"/>
    <col min="10245" max="10245" width="12.7265625" customWidth="1"/>
    <col min="10246" max="10246" width="13.7265625" bestFit="1" customWidth="1"/>
    <col min="10247" max="10247" width="14" bestFit="1" customWidth="1"/>
    <col min="10248" max="10248" width="12.1796875" bestFit="1" customWidth="1"/>
    <col min="10249" max="10249" width="14.453125" bestFit="1" customWidth="1"/>
    <col min="10250" max="10250" width="12.1796875" bestFit="1" customWidth="1"/>
    <col min="10251" max="10251" width="12.7265625" bestFit="1" customWidth="1"/>
    <col min="10252" max="10252" width="12.7265625" customWidth="1"/>
    <col min="10253" max="10253" width="13.7265625" bestFit="1" customWidth="1"/>
    <col min="10254" max="10254" width="12.7265625" customWidth="1"/>
    <col min="10255" max="10255" width="14.453125" bestFit="1" customWidth="1"/>
    <col min="10256" max="10256" width="13.7265625" bestFit="1" customWidth="1"/>
    <col min="10257" max="10257" width="12.1796875" bestFit="1" customWidth="1"/>
    <col min="10258" max="10258" width="11.7265625" bestFit="1" customWidth="1"/>
    <col min="10259" max="10260" width="10.81640625" bestFit="1" customWidth="1"/>
    <col min="10261" max="10261" width="8.453125" bestFit="1" customWidth="1"/>
    <col min="10262" max="10262" width="10.81640625" bestFit="1" customWidth="1"/>
    <col min="10263" max="10263" width="11" bestFit="1" customWidth="1"/>
    <col min="10264" max="10492" width="8.81640625"/>
    <col min="10493" max="10493" width="10.453125" customWidth="1"/>
    <col min="10494" max="10494" width="8.1796875" bestFit="1" customWidth="1"/>
    <col min="10495" max="10495" width="9.1796875" bestFit="1" customWidth="1"/>
    <col min="10496" max="10496" width="32.54296875" bestFit="1" customWidth="1"/>
    <col min="10497" max="10497" width="31.54296875" customWidth="1"/>
    <col min="10498" max="10498" width="13.7265625" bestFit="1" customWidth="1"/>
    <col min="10499" max="10499" width="12.1796875" bestFit="1" customWidth="1"/>
    <col min="10500" max="10500" width="12.7265625" bestFit="1" customWidth="1"/>
    <col min="10501" max="10501" width="12.7265625" customWidth="1"/>
    <col min="10502" max="10502" width="13.7265625" bestFit="1" customWidth="1"/>
    <col min="10503" max="10503" width="14" bestFit="1" customWidth="1"/>
    <col min="10504" max="10504" width="12.1796875" bestFit="1" customWidth="1"/>
    <col min="10505" max="10505" width="14.453125" bestFit="1" customWidth="1"/>
    <col min="10506" max="10506" width="12.1796875" bestFit="1" customWidth="1"/>
    <col min="10507" max="10507" width="12.7265625" bestFit="1" customWidth="1"/>
    <col min="10508" max="10508" width="12.7265625" customWidth="1"/>
    <col min="10509" max="10509" width="13.7265625" bestFit="1" customWidth="1"/>
    <col min="10510" max="10510" width="12.7265625" customWidth="1"/>
    <col min="10511" max="10511" width="14.453125" bestFit="1" customWidth="1"/>
    <col min="10512" max="10512" width="13.7265625" bestFit="1" customWidth="1"/>
    <col min="10513" max="10513" width="12.1796875" bestFit="1" customWidth="1"/>
    <col min="10514" max="10514" width="11.7265625" bestFit="1" customWidth="1"/>
    <col min="10515" max="10516" width="10.81640625" bestFit="1" customWidth="1"/>
    <col min="10517" max="10517" width="8.453125" bestFit="1" customWidth="1"/>
    <col min="10518" max="10518" width="10.81640625" bestFit="1" customWidth="1"/>
    <col min="10519" max="10519" width="11" bestFit="1" customWidth="1"/>
    <col min="10520" max="10748" width="8.81640625"/>
    <col min="10749" max="10749" width="10.453125" customWidth="1"/>
    <col min="10750" max="10750" width="8.1796875" bestFit="1" customWidth="1"/>
    <col min="10751" max="10751" width="9.1796875" bestFit="1" customWidth="1"/>
    <col min="10752" max="10752" width="32.54296875" bestFit="1" customWidth="1"/>
    <col min="10753" max="10753" width="31.54296875" customWidth="1"/>
    <col min="10754" max="10754" width="13.7265625" bestFit="1" customWidth="1"/>
    <col min="10755" max="10755" width="12.1796875" bestFit="1" customWidth="1"/>
    <col min="10756" max="10756" width="12.7265625" bestFit="1" customWidth="1"/>
    <col min="10757" max="10757" width="12.7265625" customWidth="1"/>
    <col min="10758" max="10758" width="13.7265625" bestFit="1" customWidth="1"/>
    <col min="10759" max="10759" width="14" bestFit="1" customWidth="1"/>
    <col min="10760" max="10760" width="12.1796875" bestFit="1" customWidth="1"/>
    <col min="10761" max="10761" width="14.453125" bestFit="1" customWidth="1"/>
    <col min="10762" max="10762" width="12.1796875" bestFit="1" customWidth="1"/>
    <col min="10763" max="10763" width="12.7265625" bestFit="1" customWidth="1"/>
    <col min="10764" max="10764" width="12.7265625" customWidth="1"/>
    <col min="10765" max="10765" width="13.7265625" bestFit="1" customWidth="1"/>
    <col min="10766" max="10766" width="12.7265625" customWidth="1"/>
    <col min="10767" max="10767" width="14.453125" bestFit="1" customWidth="1"/>
    <col min="10768" max="10768" width="13.7265625" bestFit="1" customWidth="1"/>
    <col min="10769" max="10769" width="12.1796875" bestFit="1" customWidth="1"/>
    <col min="10770" max="10770" width="11.7265625" bestFit="1" customWidth="1"/>
    <col min="10771" max="10772" width="10.81640625" bestFit="1" customWidth="1"/>
    <col min="10773" max="10773" width="8.453125" bestFit="1" customWidth="1"/>
    <col min="10774" max="10774" width="10.81640625" bestFit="1" customWidth="1"/>
    <col min="10775" max="10775" width="11" bestFit="1" customWidth="1"/>
    <col min="10776" max="11004" width="8.81640625"/>
    <col min="11005" max="11005" width="10.453125" customWidth="1"/>
    <col min="11006" max="11006" width="8.1796875" bestFit="1" customWidth="1"/>
    <col min="11007" max="11007" width="9.1796875" bestFit="1" customWidth="1"/>
    <col min="11008" max="11008" width="32.54296875" bestFit="1" customWidth="1"/>
    <col min="11009" max="11009" width="31.54296875" customWidth="1"/>
    <col min="11010" max="11010" width="13.7265625" bestFit="1" customWidth="1"/>
    <col min="11011" max="11011" width="12.1796875" bestFit="1" customWidth="1"/>
    <col min="11012" max="11012" width="12.7265625" bestFit="1" customWidth="1"/>
    <col min="11013" max="11013" width="12.7265625" customWidth="1"/>
    <col min="11014" max="11014" width="13.7265625" bestFit="1" customWidth="1"/>
    <col min="11015" max="11015" width="14" bestFit="1" customWidth="1"/>
    <col min="11016" max="11016" width="12.1796875" bestFit="1" customWidth="1"/>
    <col min="11017" max="11017" width="14.453125" bestFit="1" customWidth="1"/>
    <col min="11018" max="11018" width="12.1796875" bestFit="1" customWidth="1"/>
    <col min="11019" max="11019" width="12.7265625" bestFit="1" customWidth="1"/>
    <col min="11020" max="11020" width="12.7265625" customWidth="1"/>
    <col min="11021" max="11021" width="13.7265625" bestFit="1" customWidth="1"/>
    <col min="11022" max="11022" width="12.7265625" customWidth="1"/>
    <col min="11023" max="11023" width="14.453125" bestFit="1" customWidth="1"/>
    <col min="11024" max="11024" width="13.7265625" bestFit="1" customWidth="1"/>
    <col min="11025" max="11025" width="12.1796875" bestFit="1" customWidth="1"/>
    <col min="11026" max="11026" width="11.7265625" bestFit="1" customWidth="1"/>
    <col min="11027" max="11028" width="10.81640625" bestFit="1" customWidth="1"/>
    <col min="11029" max="11029" width="8.453125" bestFit="1" customWidth="1"/>
    <col min="11030" max="11030" width="10.81640625" bestFit="1" customWidth="1"/>
    <col min="11031" max="11031" width="11" bestFit="1" customWidth="1"/>
    <col min="11032" max="11260" width="8.81640625"/>
    <col min="11261" max="11261" width="10.453125" customWidth="1"/>
    <col min="11262" max="11262" width="8.1796875" bestFit="1" customWidth="1"/>
    <col min="11263" max="11263" width="9.1796875" bestFit="1" customWidth="1"/>
    <col min="11264" max="11264" width="32.54296875" bestFit="1" customWidth="1"/>
    <col min="11265" max="11265" width="31.54296875" customWidth="1"/>
    <col min="11266" max="11266" width="13.7265625" bestFit="1" customWidth="1"/>
    <col min="11267" max="11267" width="12.1796875" bestFit="1" customWidth="1"/>
    <col min="11268" max="11268" width="12.7265625" bestFit="1" customWidth="1"/>
    <col min="11269" max="11269" width="12.7265625" customWidth="1"/>
    <col min="11270" max="11270" width="13.7265625" bestFit="1" customWidth="1"/>
    <col min="11271" max="11271" width="14" bestFit="1" customWidth="1"/>
    <col min="11272" max="11272" width="12.1796875" bestFit="1" customWidth="1"/>
    <col min="11273" max="11273" width="14.453125" bestFit="1" customWidth="1"/>
    <col min="11274" max="11274" width="12.1796875" bestFit="1" customWidth="1"/>
    <col min="11275" max="11275" width="12.7265625" bestFit="1" customWidth="1"/>
    <col min="11276" max="11276" width="12.7265625" customWidth="1"/>
    <col min="11277" max="11277" width="13.7265625" bestFit="1" customWidth="1"/>
    <col min="11278" max="11278" width="12.7265625" customWidth="1"/>
    <col min="11279" max="11279" width="14.453125" bestFit="1" customWidth="1"/>
    <col min="11280" max="11280" width="13.7265625" bestFit="1" customWidth="1"/>
    <col min="11281" max="11281" width="12.1796875" bestFit="1" customWidth="1"/>
    <col min="11282" max="11282" width="11.7265625" bestFit="1" customWidth="1"/>
    <col min="11283" max="11284" width="10.81640625" bestFit="1" customWidth="1"/>
    <col min="11285" max="11285" width="8.453125" bestFit="1" customWidth="1"/>
    <col min="11286" max="11286" width="10.81640625" bestFit="1" customWidth="1"/>
    <col min="11287" max="11287" width="11" bestFit="1" customWidth="1"/>
    <col min="11288" max="11516" width="8.81640625"/>
    <col min="11517" max="11517" width="10.453125" customWidth="1"/>
    <col min="11518" max="11518" width="8.1796875" bestFit="1" customWidth="1"/>
    <col min="11519" max="11519" width="9.1796875" bestFit="1" customWidth="1"/>
    <col min="11520" max="11520" width="32.54296875" bestFit="1" customWidth="1"/>
    <col min="11521" max="11521" width="31.54296875" customWidth="1"/>
    <col min="11522" max="11522" width="13.7265625" bestFit="1" customWidth="1"/>
    <col min="11523" max="11523" width="12.1796875" bestFit="1" customWidth="1"/>
    <col min="11524" max="11524" width="12.7265625" bestFit="1" customWidth="1"/>
    <col min="11525" max="11525" width="12.7265625" customWidth="1"/>
    <col min="11526" max="11526" width="13.7265625" bestFit="1" customWidth="1"/>
    <col min="11527" max="11527" width="14" bestFit="1" customWidth="1"/>
    <col min="11528" max="11528" width="12.1796875" bestFit="1" customWidth="1"/>
    <col min="11529" max="11529" width="14.453125" bestFit="1" customWidth="1"/>
    <col min="11530" max="11530" width="12.1796875" bestFit="1" customWidth="1"/>
    <col min="11531" max="11531" width="12.7265625" bestFit="1" customWidth="1"/>
    <col min="11532" max="11532" width="12.7265625" customWidth="1"/>
    <col min="11533" max="11533" width="13.7265625" bestFit="1" customWidth="1"/>
    <col min="11534" max="11534" width="12.7265625" customWidth="1"/>
    <col min="11535" max="11535" width="14.453125" bestFit="1" customWidth="1"/>
    <col min="11536" max="11536" width="13.7265625" bestFit="1" customWidth="1"/>
    <col min="11537" max="11537" width="12.1796875" bestFit="1" customWidth="1"/>
    <col min="11538" max="11538" width="11.7265625" bestFit="1" customWidth="1"/>
    <col min="11539" max="11540" width="10.81640625" bestFit="1" customWidth="1"/>
    <col min="11541" max="11541" width="8.453125" bestFit="1" customWidth="1"/>
    <col min="11542" max="11542" width="10.81640625" bestFit="1" customWidth="1"/>
    <col min="11543" max="11543" width="11" bestFit="1" customWidth="1"/>
    <col min="11544" max="11772" width="8.81640625"/>
    <col min="11773" max="11773" width="10.453125" customWidth="1"/>
    <col min="11774" max="11774" width="8.1796875" bestFit="1" customWidth="1"/>
    <col min="11775" max="11775" width="9.1796875" bestFit="1" customWidth="1"/>
    <col min="11776" max="11776" width="32.54296875" bestFit="1" customWidth="1"/>
    <col min="11777" max="11777" width="31.54296875" customWidth="1"/>
    <col min="11778" max="11778" width="13.7265625" bestFit="1" customWidth="1"/>
    <col min="11779" max="11779" width="12.1796875" bestFit="1" customWidth="1"/>
    <col min="11780" max="11780" width="12.7265625" bestFit="1" customWidth="1"/>
    <col min="11781" max="11781" width="12.7265625" customWidth="1"/>
    <col min="11782" max="11782" width="13.7265625" bestFit="1" customWidth="1"/>
    <col min="11783" max="11783" width="14" bestFit="1" customWidth="1"/>
    <col min="11784" max="11784" width="12.1796875" bestFit="1" customWidth="1"/>
    <col min="11785" max="11785" width="14.453125" bestFit="1" customWidth="1"/>
    <col min="11786" max="11786" width="12.1796875" bestFit="1" customWidth="1"/>
    <col min="11787" max="11787" width="12.7265625" bestFit="1" customWidth="1"/>
    <col min="11788" max="11788" width="12.7265625" customWidth="1"/>
    <col min="11789" max="11789" width="13.7265625" bestFit="1" customWidth="1"/>
    <col min="11790" max="11790" width="12.7265625" customWidth="1"/>
    <col min="11791" max="11791" width="14.453125" bestFit="1" customWidth="1"/>
    <col min="11792" max="11792" width="13.7265625" bestFit="1" customWidth="1"/>
    <col min="11793" max="11793" width="12.1796875" bestFit="1" customWidth="1"/>
    <col min="11794" max="11794" width="11.7265625" bestFit="1" customWidth="1"/>
    <col min="11795" max="11796" width="10.81640625" bestFit="1" customWidth="1"/>
    <col min="11797" max="11797" width="8.453125" bestFit="1" customWidth="1"/>
    <col min="11798" max="11798" width="10.81640625" bestFit="1" customWidth="1"/>
    <col min="11799" max="11799" width="11" bestFit="1" customWidth="1"/>
    <col min="11800" max="12028" width="8.81640625"/>
    <col min="12029" max="12029" width="10.453125" customWidth="1"/>
    <col min="12030" max="12030" width="8.1796875" bestFit="1" customWidth="1"/>
    <col min="12031" max="12031" width="9.1796875" bestFit="1" customWidth="1"/>
    <col min="12032" max="12032" width="32.54296875" bestFit="1" customWidth="1"/>
    <col min="12033" max="12033" width="31.54296875" customWidth="1"/>
    <col min="12034" max="12034" width="13.7265625" bestFit="1" customWidth="1"/>
    <col min="12035" max="12035" width="12.1796875" bestFit="1" customWidth="1"/>
    <col min="12036" max="12036" width="12.7265625" bestFit="1" customWidth="1"/>
    <col min="12037" max="12037" width="12.7265625" customWidth="1"/>
    <col min="12038" max="12038" width="13.7265625" bestFit="1" customWidth="1"/>
    <col min="12039" max="12039" width="14" bestFit="1" customWidth="1"/>
    <col min="12040" max="12040" width="12.1796875" bestFit="1" customWidth="1"/>
    <col min="12041" max="12041" width="14.453125" bestFit="1" customWidth="1"/>
    <col min="12042" max="12042" width="12.1796875" bestFit="1" customWidth="1"/>
    <col min="12043" max="12043" width="12.7265625" bestFit="1" customWidth="1"/>
    <col min="12044" max="12044" width="12.7265625" customWidth="1"/>
    <col min="12045" max="12045" width="13.7265625" bestFit="1" customWidth="1"/>
    <col min="12046" max="12046" width="12.7265625" customWidth="1"/>
    <col min="12047" max="12047" width="14.453125" bestFit="1" customWidth="1"/>
    <col min="12048" max="12048" width="13.7265625" bestFit="1" customWidth="1"/>
    <col min="12049" max="12049" width="12.1796875" bestFit="1" customWidth="1"/>
    <col min="12050" max="12050" width="11.7265625" bestFit="1" customWidth="1"/>
    <col min="12051" max="12052" width="10.81640625" bestFit="1" customWidth="1"/>
    <col min="12053" max="12053" width="8.453125" bestFit="1" customWidth="1"/>
    <col min="12054" max="12054" width="10.81640625" bestFit="1" customWidth="1"/>
    <col min="12055" max="12055" width="11" bestFit="1" customWidth="1"/>
    <col min="12056" max="12284" width="8.81640625"/>
    <col min="12285" max="12285" width="10.453125" customWidth="1"/>
    <col min="12286" max="12286" width="8.1796875" bestFit="1" customWidth="1"/>
    <col min="12287" max="12287" width="9.1796875" bestFit="1" customWidth="1"/>
    <col min="12288" max="12288" width="32.54296875" bestFit="1" customWidth="1"/>
    <col min="12289" max="12289" width="31.54296875" customWidth="1"/>
    <col min="12290" max="12290" width="13.7265625" bestFit="1" customWidth="1"/>
    <col min="12291" max="12291" width="12.1796875" bestFit="1" customWidth="1"/>
    <col min="12292" max="12292" width="12.7265625" bestFit="1" customWidth="1"/>
    <col min="12293" max="12293" width="12.7265625" customWidth="1"/>
    <col min="12294" max="12294" width="13.7265625" bestFit="1" customWidth="1"/>
    <col min="12295" max="12295" width="14" bestFit="1" customWidth="1"/>
    <col min="12296" max="12296" width="12.1796875" bestFit="1" customWidth="1"/>
    <col min="12297" max="12297" width="14.453125" bestFit="1" customWidth="1"/>
    <col min="12298" max="12298" width="12.1796875" bestFit="1" customWidth="1"/>
    <col min="12299" max="12299" width="12.7265625" bestFit="1" customWidth="1"/>
    <col min="12300" max="12300" width="12.7265625" customWidth="1"/>
    <col min="12301" max="12301" width="13.7265625" bestFit="1" customWidth="1"/>
    <col min="12302" max="12302" width="12.7265625" customWidth="1"/>
    <col min="12303" max="12303" width="14.453125" bestFit="1" customWidth="1"/>
    <col min="12304" max="12304" width="13.7265625" bestFit="1" customWidth="1"/>
    <col min="12305" max="12305" width="12.1796875" bestFit="1" customWidth="1"/>
    <col min="12306" max="12306" width="11.7265625" bestFit="1" customWidth="1"/>
    <col min="12307" max="12308" width="10.81640625" bestFit="1" customWidth="1"/>
    <col min="12309" max="12309" width="8.453125" bestFit="1" customWidth="1"/>
    <col min="12310" max="12310" width="10.81640625" bestFit="1" customWidth="1"/>
    <col min="12311" max="12311" width="11" bestFit="1" customWidth="1"/>
    <col min="12312" max="12540" width="8.81640625"/>
    <col min="12541" max="12541" width="10.453125" customWidth="1"/>
    <col min="12542" max="12542" width="8.1796875" bestFit="1" customWidth="1"/>
    <col min="12543" max="12543" width="9.1796875" bestFit="1" customWidth="1"/>
    <col min="12544" max="12544" width="32.54296875" bestFit="1" customWidth="1"/>
    <col min="12545" max="12545" width="31.54296875" customWidth="1"/>
    <col min="12546" max="12546" width="13.7265625" bestFit="1" customWidth="1"/>
    <col min="12547" max="12547" width="12.1796875" bestFit="1" customWidth="1"/>
    <col min="12548" max="12548" width="12.7265625" bestFit="1" customWidth="1"/>
    <col min="12549" max="12549" width="12.7265625" customWidth="1"/>
    <col min="12550" max="12550" width="13.7265625" bestFit="1" customWidth="1"/>
    <col min="12551" max="12551" width="14" bestFit="1" customWidth="1"/>
    <col min="12552" max="12552" width="12.1796875" bestFit="1" customWidth="1"/>
    <col min="12553" max="12553" width="14.453125" bestFit="1" customWidth="1"/>
    <col min="12554" max="12554" width="12.1796875" bestFit="1" customWidth="1"/>
    <col min="12555" max="12555" width="12.7265625" bestFit="1" customWidth="1"/>
    <col min="12556" max="12556" width="12.7265625" customWidth="1"/>
    <col min="12557" max="12557" width="13.7265625" bestFit="1" customWidth="1"/>
    <col min="12558" max="12558" width="12.7265625" customWidth="1"/>
    <col min="12559" max="12559" width="14.453125" bestFit="1" customWidth="1"/>
    <col min="12560" max="12560" width="13.7265625" bestFit="1" customWidth="1"/>
    <col min="12561" max="12561" width="12.1796875" bestFit="1" customWidth="1"/>
    <col min="12562" max="12562" width="11.7265625" bestFit="1" customWidth="1"/>
    <col min="12563" max="12564" width="10.81640625" bestFit="1" customWidth="1"/>
    <col min="12565" max="12565" width="8.453125" bestFit="1" customWidth="1"/>
    <col min="12566" max="12566" width="10.81640625" bestFit="1" customWidth="1"/>
    <col min="12567" max="12567" width="11" bestFit="1" customWidth="1"/>
    <col min="12568" max="12796" width="8.81640625"/>
    <col min="12797" max="12797" width="10.453125" customWidth="1"/>
    <col min="12798" max="12798" width="8.1796875" bestFit="1" customWidth="1"/>
    <col min="12799" max="12799" width="9.1796875" bestFit="1" customWidth="1"/>
    <col min="12800" max="12800" width="32.54296875" bestFit="1" customWidth="1"/>
    <col min="12801" max="12801" width="31.54296875" customWidth="1"/>
    <col min="12802" max="12802" width="13.7265625" bestFit="1" customWidth="1"/>
    <col min="12803" max="12803" width="12.1796875" bestFit="1" customWidth="1"/>
    <col min="12804" max="12804" width="12.7265625" bestFit="1" customWidth="1"/>
    <col min="12805" max="12805" width="12.7265625" customWidth="1"/>
    <col min="12806" max="12806" width="13.7265625" bestFit="1" customWidth="1"/>
    <col min="12807" max="12807" width="14" bestFit="1" customWidth="1"/>
    <col min="12808" max="12808" width="12.1796875" bestFit="1" customWidth="1"/>
    <col min="12809" max="12809" width="14.453125" bestFit="1" customWidth="1"/>
    <col min="12810" max="12810" width="12.1796875" bestFit="1" customWidth="1"/>
    <col min="12811" max="12811" width="12.7265625" bestFit="1" customWidth="1"/>
    <col min="12812" max="12812" width="12.7265625" customWidth="1"/>
    <col min="12813" max="12813" width="13.7265625" bestFit="1" customWidth="1"/>
    <col min="12814" max="12814" width="12.7265625" customWidth="1"/>
    <col min="12815" max="12815" width="14.453125" bestFit="1" customWidth="1"/>
    <col min="12816" max="12816" width="13.7265625" bestFit="1" customWidth="1"/>
    <col min="12817" max="12817" width="12.1796875" bestFit="1" customWidth="1"/>
    <col min="12818" max="12818" width="11.7265625" bestFit="1" customWidth="1"/>
    <col min="12819" max="12820" width="10.81640625" bestFit="1" customWidth="1"/>
    <col min="12821" max="12821" width="8.453125" bestFit="1" customWidth="1"/>
    <col min="12822" max="12822" width="10.81640625" bestFit="1" customWidth="1"/>
    <col min="12823" max="12823" width="11" bestFit="1" customWidth="1"/>
    <col min="12824" max="13052" width="8.81640625"/>
    <col min="13053" max="13053" width="10.453125" customWidth="1"/>
    <col min="13054" max="13054" width="8.1796875" bestFit="1" customWidth="1"/>
    <col min="13055" max="13055" width="9.1796875" bestFit="1" customWidth="1"/>
    <col min="13056" max="13056" width="32.54296875" bestFit="1" customWidth="1"/>
    <col min="13057" max="13057" width="31.54296875" customWidth="1"/>
    <col min="13058" max="13058" width="13.7265625" bestFit="1" customWidth="1"/>
    <col min="13059" max="13059" width="12.1796875" bestFit="1" customWidth="1"/>
    <col min="13060" max="13060" width="12.7265625" bestFit="1" customWidth="1"/>
    <col min="13061" max="13061" width="12.7265625" customWidth="1"/>
    <col min="13062" max="13062" width="13.7265625" bestFit="1" customWidth="1"/>
    <col min="13063" max="13063" width="14" bestFit="1" customWidth="1"/>
    <col min="13064" max="13064" width="12.1796875" bestFit="1" customWidth="1"/>
    <col min="13065" max="13065" width="14.453125" bestFit="1" customWidth="1"/>
    <col min="13066" max="13066" width="12.1796875" bestFit="1" customWidth="1"/>
    <col min="13067" max="13067" width="12.7265625" bestFit="1" customWidth="1"/>
    <col min="13068" max="13068" width="12.7265625" customWidth="1"/>
    <col min="13069" max="13069" width="13.7265625" bestFit="1" customWidth="1"/>
    <col min="13070" max="13070" width="12.7265625" customWidth="1"/>
    <col min="13071" max="13071" width="14.453125" bestFit="1" customWidth="1"/>
    <col min="13072" max="13072" width="13.7265625" bestFit="1" customWidth="1"/>
    <col min="13073" max="13073" width="12.1796875" bestFit="1" customWidth="1"/>
    <col min="13074" max="13074" width="11.7265625" bestFit="1" customWidth="1"/>
    <col min="13075" max="13076" width="10.81640625" bestFit="1" customWidth="1"/>
    <col min="13077" max="13077" width="8.453125" bestFit="1" customWidth="1"/>
    <col min="13078" max="13078" width="10.81640625" bestFit="1" customWidth="1"/>
    <col min="13079" max="13079" width="11" bestFit="1" customWidth="1"/>
    <col min="13080" max="13308" width="8.81640625"/>
    <col min="13309" max="13309" width="10.453125" customWidth="1"/>
    <col min="13310" max="13310" width="8.1796875" bestFit="1" customWidth="1"/>
    <col min="13311" max="13311" width="9.1796875" bestFit="1" customWidth="1"/>
    <col min="13312" max="13312" width="32.54296875" bestFit="1" customWidth="1"/>
    <col min="13313" max="13313" width="31.54296875" customWidth="1"/>
    <col min="13314" max="13314" width="13.7265625" bestFit="1" customWidth="1"/>
    <col min="13315" max="13315" width="12.1796875" bestFit="1" customWidth="1"/>
    <col min="13316" max="13316" width="12.7265625" bestFit="1" customWidth="1"/>
    <col min="13317" max="13317" width="12.7265625" customWidth="1"/>
    <col min="13318" max="13318" width="13.7265625" bestFit="1" customWidth="1"/>
    <col min="13319" max="13319" width="14" bestFit="1" customWidth="1"/>
    <col min="13320" max="13320" width="12.1796875" bestFit="1" customWidth="1"/>
    <col min="13321" max="13321" width="14.453125" bestFit="1" customWidth="1"/>
    <col min="13322" max="13322" width="12.1796875" bestFit="1" customWidth="1"/>
    <col min="13323" max="13323" width="12.7265625" bestFit="1" customWidth="1"/>
    <col min="13324" max="13324" width="12.7265625" customWidth="1"/>
    <col min="13325" max="13325" width="13.7265625" bestFit="1" customWidth="1"/>
    <col min="13326" max="13326" width="12.7265625" customWidth="1"/>
    <col min="13327" max="13327" width="14.453125" bestFit="1" customWidth="1"/>
    <col min="13328" max="13328" width="13.7265625" bestFit="1" customWidth="1"/>
    <col min="13329" max="13329" width="12.1796875" bestFit="1" customWidth="1"/>
    <col min="13330" max="13330" width="11.7265625" bestFit="1" customWidth="1"/>
    <col min="13331" max="13332" width="10.81640625" bestFit="1" customWidth="1"/>
    <col min="13333" max="13333" width="8.453125" bestFit="1" customWidth="1"/>
    <col min="13334" max="13334" width="10.81640625" bestFit="1" customWidth="1"/>
    <col min="13335" max="13335" width="11" bestFit="1" customWidth="1"/>
    <col min="13336" max="13564" width="8.81640625"/>
    <col min="13565" max="13565" width="10.453125" customWidth="1"/>
    <col min="13566" max="13566" width="8.1796875" bestFit="1" customWidth="1"/>
    <col min="13567" max="13567" width="9.1796875" bestFit="1" customWidth="1"/>
    <col min="13568" max="13568" width="32.54296875" bestFit="1" customWidth="1"/>
    <col min="13569" max="13569" width="31.54296875" customWidth="1"/>
    <col min="13570" max="13570" width="13.7265625" bestFit="1" customWidth="1"/>
    <col min="13571" max="13571" width="12.1796875" bestFit="1" customWidth="1"/>
    <col min="13572" max="13572" width="12.7265625" bestFit="1" customWidth="1"/>
    <col min="13573" max="13573" width="12.7265625" customWidth="1"/>
    <col min="13574" max="13574" width="13.7265625" bestFit="1" customWidth="1"/>
    <col min="13575" max="13575" width="14" bestFit="1" customWidth="1"/>
    <col min="13576" max="13576" width="12.1796875" bestFit="1" customWidth="1"/>
    <col min="13577" max="13577" width="14.453125" bestFit="1" customWidth="1"/>
    <col min="13578" max="13578" width="12.1796875" bestFit="1" customWidth="1"/>
    <col min="13579" max="13579" width="12.7265625" bestFit="1" customWidth="1"/>
    <col min="13580" max="13580" width="12.7265625" customWidth="1"/>
    <col min="13581" max="13581" width="13.7265625" bestFit="1" customWidth="1"/>
    <col min="13582" max="13582" width="12.7265625" customWidth="1"/>
    <col min="13583" max="13583" width="14.453125" bestFit="1" customWidth="1"/>
    <col min="13584" max="13584" width="13.7265625" bestFit="1" customWidth="1"/>
    <col min="13585" max="13585" width="12.1796875" bestFit="1" customWidth="1"/>
    <col min="13586" max="13586" width="11.7265625" bestFit="1" customWidth="1"/>
    <col min="13587" max="13588" width="10.81640625" bestFit="1" customWidth="1"/>
    <col min="13589" max="13589" width="8.453125" bestFit="1" customWidth="1"/>
    <col min="13590" max="13590" width="10.81640625" bestFit="1" customWidth="1"/>
    <col min="13591" max="13591" width="11" bestFit="1" customWidth="1"/>
    <col min="13592" max="13820" width="8.81640625"/>
    <col min="13821" max="13821" width="10.453125" customWidth="1"/>
    <col min="13822" max="13822" width="8.1796875" bestFit="1" customWidth="1"/>
    <col min="13823" max="13823" width="9.1796875" bestFit="1" customWidth="1"/>
    <col min="13824" max="13824" width="32.54296875" bestFit="1" customWidth="1"/>
    <col min="13825" max="13825" width="31.54296875" customWidth="1"/>
    <col min="13826" max="13826" width="13.7265625" bestFit="1" customWidth="1"/>
    <col min="13827" max="13827" width="12.1796875" bestFit="1" customWidth="1"/>
    <col min="13828" max="13828" width="12.7265625" bestFit="1" customWidth="1"/>
    <col min="13829" max="13829" width="12.7265625" customWidth="1"/>
    <col min="13830" max="13830" width="13.7265625" bestFit="1" customWidth="1"/>
    <col min="13831" max="13831" width="14" bestFit="1" customWidth="1"/>
    <col min="13832" max="13832" width="12.1796875" bestFit="1" customWidth="1"/>
    <col min="13833" max="13833" width="14.453125" bestFit="1" customWidth="1"/>
    <col min="13834" max="13834" width="12.1796875" bestFit="1" customWidth="1"/>
    <col min="13835" max="13835" width="12.7265625" bestFit="1" customWidth="1"/>
    <col min="13836" max="13836" width="12.7265625" customWidth="1"/>
    <col min="13837" max="13837" width="13.7265625" bestFit="1" customWidth="1"/>
    <col min="13838" max="13838" width="12.7265625" customWidth="1"/>
    <col min="13839" max="13839" width="14.453125" bestFit="1" customWidth="1"/>
    <col min="13840" max="13840" width="13.7265625" bestFit="1" customWidth="1"/>
    <col min="13841" max="13841" width="12.1796875" bestFit="1" customWidth="1"/>
    <col min="13842" max="13842" width="11.7265625" bestFit="1" customWidth="1"/>
    <col min="13843" max="13844" width="10.81640625" bestFit="1" customWidth="1"/>
    <col min="13845" max="13845" width="8.453125" bestFit="1" customWidth="1"/>
    <col min="13846" max="13846" width="10.81640625" bestFit="1" customWidth="1"/>
    <col min="13847" max="13847" width="11" bestFit="1" customWidth="1"/>
    <col min="13848" max="14076" width="8.81640625"/>
    <col min="14077" max="14077" width="10.453125" customWidth="1"/>
    <col min="14078" max="14078" width="8.1796875" bestFit="1" customWidth="1"/>
    <col min="14079" max="14079" width="9.1796875" bestFit="1" customWidth="1"/>
    <col min="14080" max="14080" width="32.54296875" bestFit="1" customWidth="1"/>
    <col min="14081" max="14081" width="31.54296875" customWidth="1"/>
    <col min="14082" max="14082" width="13.7265625" bestFit="1" customWidth="1"/>
    <col min="14083" max="14083" width="12.1796875" bestFit="1" customWidth="1"/>
    <col min="14084" max="14084" width="12.7265625" bestFit="1" customWidth="1"/>
    <col min="14085" max="14085" width="12.7265625" customWidth="1"/>
    <col min="14086" max="14086" width="13.7265625" bestFit="1" customWidth="1"/>
    <col min="14087" max="14087" width="14" bestFit="1" customWidth="1"/>
    <col min="14088" max="14088" width="12.1796875" bestFit="1" customWidth="1"/>
    <col min="14089" max="14089" width="14.453125" bestFit="1" customWidth="1"/>
    <col min="14090" max="14090" width="12.1796875" bestFit="1" customWidth="1"/>
    <col min="14091" max="14091" width="12.7265625" bestFit="1" customWidth="1"/>
    <col min="14092" max="14092" width="12.7265625" customWidth="1"/>
    <col min="14093" max="14093" width="13.7265625" bestFit="1" customWidth="1"/>
    <col min="14094" max="14094" width="12.7265625" customWidth="1"/>
    <col min="14095" max="14095" width="14.453125" bestFit="1" customWidth="1"/>
    <col min="14096" max="14096" width="13.7265625" bestFit="1" customWidth="1"/>
    <col min="14097" max="14097" width="12.1796875" bestFit="1" customWidth="1"/>
    <col min="14098" max="14098" width="11.7265625" bestFit="1" customWidth="1"/>
    <col min="14099" max="14100" width="10.81640625" bestFit="1" customWidth="1"/>
    <col min="14101" max="14101" width="8.453125" bestFit="1" customWidth="1"/>
    <col min="14102" max="14102" width="10.81640625" bestFit="1" customWidth="1"/>
    <col min="14103" max="14103" width="11" bestFit="1" customWidth="1"/>
    <col min="14104" max="14332" width="8.81640625"/>
    <col min="14333" max="14333" width="10.453125" customWidth="1"/>
    <col min="14334" max="14334" width="8.1796875" bestFit="1" customWidth="1"/>
    <col min="14335" max="14335" width="9.1796875" bestFit="1" customWidth="1"/>
    <col min="14336" max="14336" width="32.54296875" bestFit="1" customWidth="1"/>
    <col min="14337" max="14337" width="31.54296875" customWidth="1"/>
    <col min="14338" max="14338" width="13.7265625" bestFit="1" customWidth="1"/>
    <col min="14339" max="14339" width="12.1796875" bestFit="1" customWidth="1"/>
    <col min="14340" max="14340" width="12.7265625" bestFit="1" customWidth="1"/>
    <col min="14341" max="14341" width="12.7265625" customWidth="1"/>
    <col min="14342" max="14342" width="13.7265625" bestFit="1" customWidth="1"/>
    <col min="14343" max="14343" width="14" bestFit="1" customWidth="1"/>
    <col min="14344" max="14344" width="12.1796875" bestFit="1" customWidth="1"/>
    <col min="14345" max="14345" width="14.453125" bestFit="1" customWidth="1"/>
    <col min="14346" max="14346" width="12.1796875" bestFit="1" customWidth="1"/>
    <col min="14347" max="14347" width="12.7265625" bestFit="1" customWidth="1"/>
    <col min="14348" max="14348" width="12.7265625" customWidth="1"/>
    <col min="14349" max="14349" width="13.7265625" bestFit="1" customWidth="1"/>
    <col min="14350" max="14350" width="12.7265625" customWidth="1"/>
    <col min="14351" max="14351" width="14.453125" bestFit="1" customWidth="1"/>
    <col min="14352" max="14352" width="13.7265625" bestFit="1" customWidth="1"/>
    <col min="14353" max="14353" width="12.1796875" bestFit="1" customWidth="1"/>
    <col min="14354" max="14354" width="11.7265625" bestFit="1" customWidth="1"/>
    <col min="14355" max="14356" width="10.81640625" bestFit="1" customWidth="1"/>
    <col min="14357" max="14357" width="8.453125" bestFit="1" customWidth="1"/>
    <col min="14358" max="14358" width="10.81640625" bestFit="1" customWidth="1"/>
    <col min="14359" max="14359" width="11" bestFit="1" customWidth="1"/>
    <col min="14360" max="14588" width="8.81640625"/>
    <col min="14589" max="14589" width="10.453125" customWidth="1"/>
    <col min="14590" max="14590" width="8.1796875" bestFit="1" customWidth="1"/>
    <col min="14591" max="14591" width="9.1796875" bestFit="1" customWidth="1"/>
    <col min="14592" max="14592" width="32.54296875" bestFit="1" customWidth="1"/>
    <col min="14593" max="14593" width="31.54296875" customWidth="1"/>
    <col min="14594" max="14594" width="13.7265625" bestFit="1" customWidth="1"/>
    <col min="14595" max="14595" width="12.1796875" bestFit="1" customWidth="1"/>
    <col min="14596" max="14596" width="12.7265625" bestFit="1" customWidth="1"/>
    <col min="14597" max="14597" width="12.7265625" customWidth="1"/>
    <col min="14598" max="14598" width="13.7265625" bestFit="1" customWidth="1"/>
    <col min="14599" max="14599" width="14" bestFit="1" customWidth="1"/>
    <col min="14600" max="14600" width="12.1796875" bestFit="1" customWidth="1"/>
    <col min="14601" max="14601" width="14.453125" bestFit="1" customWidth="1"/>
    <col min="14602" max="14602" width="12.1796875" bestFit="1" customWidth="1"/>
    <col min="14603" max="14603" width="12.7265625" bestFit="1" customWidth="1"/>
    <col min="14604" max="14604" width="12.7265625" customWidth="1"/>
    <col min="14605" max="14605" width="13.7265625" bestFit="1" customWidth="1"/>
    <col min="14606" max="14606" width="12.7265625" customWidth="1"/>
    <col min="14607" max="14607" width="14.453125" bestFit="1" customWidth="1"/>
    <col min="14608" max="14608" width="13.7265625" bestFit="1" customWidth="1"/>
    <col min="14609" max="14609" width="12.1796875" bestFit="1" customWidth="1"/>
    <col min="14610" max="14610" width="11.7265625" bestFit="1" customWidth="1"/>
    <col min="14611" max="14612" width="10.81640625" bestFit="1" customWidth="1"/>
    <col min="14613" max="14613" width="8.453125" bestFit="1" customWidth="1"/>
    <col min="14614" max="14614" width="10.81640625" bestFit="1" customWidth="1"/>
    <col min="14615" max="14615" width="11" bestFit="1" customWidth="1"/>
    <col min="14616" max="14844" width="8.81640625"/>
    <col min="14845" max="14845" width="10.453125" customWidth="1"/>
    <col min="14846" max="14846" width="8.1796875" bestFit="1" customWidth="1"/>
    <col min="14847" max="14847" width="9.1796875" bestFit="1" customWidth="1"/>
    <col min="14848" max="14848" width="32.54296875" bestFit="1" customWidth="1"/>
    <col min="14849" max="14849" width="31.54296875" customWidth="1"/>
    <col min="14850" max="14850" width="13.7265625" bestFit="1" customWidth="1"/>
    <col min="14851" max="14851" width="12.1796875" bestFit="1" customWidth="1"/>
    <col min="14852" max="14852" width="12.7265625" bestFit="1" customWidth="1"/>
    <col min="14853" max="14853" width="12.7265625" customWidth="1"/>
    <col min="14854" max="14854" width="13.7265625" bestFit="1" customWidth="1"/>
    <col min="14855" max="14855" width="14" bestFit="1" customWidth="1"/>
    <col min="14856" max="14856" width="12.1796875" bestFit="1" customWidth="1"/>
    <col min="14857" max="14857" width="14.453125" bestFit="1" customWidth="1"/>
    <col min="14858" max="14858" width="12.1796875" bestFit="1" customWidth="1"/>
    <col min="14859" max="14859" width="12.7265625" bestFit="1" customWidth="1"/>
    <col min="14860" max="14860" width="12.7265625" customWidth="1"/>
    <col min="14861" max="14861" width="13.7265625" bestFit="1" customWidth="1"/>
    <col min="14862" max="14862" width="12.7265625" customWidth="1"/>
    <col min="14863" max="14863" width="14.453125" bestFit="1" customWidth="1"/>
    <col min="14864" max="14864" width="13.7265625" bestFit="1" customWidth="1"/>
    <col min="14865" max="14865" width="12.1796875" bestFit="1" customWidth="1"/>
    <col min="14866" max="14866" width="11.7265625" bestFit="1" customWidth="1"/>
    <col min="14867" max="14868" width="10.81640625" bestFit="1" customWidth="1"/>
    <col min="14869" max="14869" width="8.453125" bestFit="1" customWidth="1"/>
    <col min="14870" max="14870" width="10.81640625" bestFit="1" customWidth="1"/>
    <col min="14871" max="14871" width="11" bestFit="1" customWidth="1"/>
    <col min="14872" max="15100" width="8.81640625"/>
    <col min="15101" max="15101" width="10.453125" customWidth="1"/>
    <col min="15102" max="15102" width="8.1796875" bestFit="1" customWidth="1"/>
    <col min="15103" max="15103" width="9.1796875" bestFit="1" customWidth="1"/>
    <col min="15104" max="15104" width="32.54296875" bestFit="1" customWidth="1"/>
    <col min="15105" max="15105" width="31.54296875" customWidth="1"/>
    <col min="15106" max="15106" width="13.7265625" bestFit="1" customWidth="1"/>
    <col min="15107" max="15107" width="12.1796875" bestFit="1" customWidth="1"/>
    <col min="15108" max="15108" width="12.7265625" bestFit="1" customWidth="1"/>
    <col min="15109" max="15109" width="12.7265625" customWidth="1"/>
    <col min="15110" max="15110" width="13.7265625" bestFit="1" customWidth="1"/>
    <col min="15111" max="15111" width="14" bestFit="1" customWidth="1"/>
    <col min="15112" max="15112" width="12.1796875" bestFit="1" customWidth="1"/>
    <col min="15113" max="15113" width="14.453125" bestFit="1" customWidth="1"/>
    <col min="15114" max="15114" width="12.1796875" bestFit="1" customWidth="1"/>
    <col min="15115" max="15115" width="12.7265625" bestFit="1" customWidth="1"/>
    <col min="15116" max="15116" width="12.7265625" customWidth="1"/>
    <col min="15117" max="15117" width="13.7265625" bestFit="1" customWidth="1"/>
    <col min="15118" max="15118" width="12.7265625" customWidth="1"/>
    <col min="15119" max="15119" width="14.453125" bestFit="1" customWidth="1"/>
    <col min="15120" max="15120" width="13.7265625" bestFit="1" customWidth="1"/>
    <col min="15121" max="15121" width="12.1796875" bestFit="1" customWidth="1"/>
    <col min="15122" max="15122" width="11.7265625" bestFit="1" customWidth="1"/>
    <col min="15123" max="15124" width="10.81640625" bestFit="1" customWidth="1"/>
    <col min="15125" max="15125" width="8.453125" bestFit="1" customWidth="1"/>
    <col min="15126" max="15126" width="10.81640625" bestFit="1" customWidth="1"/>
    <col min="15127" max="15127" width="11" bestFit="1" customWidth="1"/>
    <col min="15128" max="15356" width="8.81640625"/>
    <col min="15357" max="15357" width="10.453125" customWidth="1"/>
    <col min="15358" max="15358" width="8.1796875" bestFit="1" customWidth="1"/>
    <col min="15359" max="15359" width="9.1796875" bestFit="1" customWidth="1"/>
    <col min="15360" max="15360" width="32.54296875" bestFit="1" customWidth="1"/>
    <col min="15361" max="15361" width="31.54296875" customWidth="1"/>
    <col min="15362" max="15362" width="13.7265625" bestFit="1" customWidth="1"/>
    <col min="15363" max="15363" width="12.1796875" bestFit="1" customWidth="1"/>
    <col min="15364" max="15364" width="12.7265625" bestFit="1" customWidth="1"/>
    <col min="15365" max="15365" width="12.7265625" customWidth="1"/>
    <col min="15366" max="15366" width="13.7265625" bestFit="1" customWidth="1"/>
    <col min="15367" max="15367" width="14" bestFit="1" customWidth="1"/>
    <col min="15368" max="15368" width="12.1796875" bestFit="1" customWidth="1"/>
    <col min="15369" max="15369" width="14.453125" bestFit="1" customWidth="1"/>
    <col min="15370" max="15370" width="12.1796875" bestFit="1" customWidth="1"/>
    <col min="15371" max="15371" width="12.7265625" bestFit="1" customWidth="1"/>
    <col min="15372" max="15372" width="12.7265625" customWidth="1"/>
    <col min="15373" max="15373" width="13.7265625" bestFit="1" customWidth="1"/>
    <col min="15374" max="15374" width="12.7265625" customWidth="1"/>
    <col min="15375" max="15375" width="14.453125" bestFit="1" customWidth="1"/>
    <col min="15376" max="15376" width="13.7265625" bestFit="1" customWidth="1"/>
    <col min="15377" max="15377" width="12.1796875" bestFit="1" customWidth="1"/>
    <col min="15378" max="15378" width="11.7265625" bestFit="1" customWidth="1"/>
    <col min="15379" max="15380" width="10.81640625" bestFit="1" customWidth="1"/>
    <col min="15381" max="15381" width="8.453125" bestFit="1" customWidth="1"/>
    <col min="15382" max="15382" width="10.81640625" bestFit="1" customWidth="1"/>
    <col min="15383" max="15383" width="11" bestFit="1" customWidth="1"/>
    <col min="15384" max="15612" width="8.81640625"/>
    <col min="15613" max="15613" width="10.453125" customWidth="1"/>
    <col min="15614" max="15614" width="8.1796875" bestFit="1" customWidth="1"/>
    <col min="15615" max="15615" width="9.1796875" bestFit="1" customWidth="1"/>
    <col min="15616" max="15616" width="32.54296875" bestFit="1" customWidth="1"/>
    <col min="15617" max="15617" width="31.54296875" customWidth="1"/>
    <col min="15618" max="15618" width="13.7265625" bestFit="1" customWidth="1"/>
    <col min="15619" max="15619" width="12.1796875" bestFit="1" customWidth="1"/>
    <col min="15620" max="15620" width="12.7265625" bestFit="1" customWidth="1"/>
    <col min="15621" max="15621" width="12.7265625" customWidth="1"/>
    <col min="15622" max="15622" width="13.7265625" bestFit="1" customWidth="1"/>
    <col min="15623" max="15623" width="14" bestFit="1" customWidth="1"/>
    <col min="15624" max="15624" width="12.1796875" bestFit="1" customWidth="1"/>
    <col min="15625" max="15625" width="14.453125" bestFit="1" customWidth="1"/>
    <col min="15626" max="15626" width="12.1796875" bestFit="1" customWidth="1"/>
    <col min="15627" max="15627" width="12.7265625" bestFit="1" customWidth="1"/>
    <col min="15628" max="15628" width="12.7265625" customWidth="1"/>
    <col min="15629" max="15629" width="13.7265625" bestFit="1" customWidth="1"/>
    <col min="15630" max="15630" width="12.7265625" customWidth="1"/>
    <col min="15631" max="15631" width="14.453125" bestFit="1" customWidth="1"/>
    <col min="15632" max="15632" width="13.7265625" bestFit="1" customWidth="1"/>
    <col min="15633" max="15633" width="12.1796875" bestFit="1" customWidth="1"/>
    <col min="15634" max="15634" width="11.7265625" bestFit="1" customWidth="1"/>
    <col min="15635" max="15636" width="10.81640625" bestFit="1" customWidth="1"/>
    <col min="15637" max="15637" width="8.453125" bestFit="1" customWidth="1"/>
    <col min="15638" max="15638" width="10.81640625" bestFit="1" customWidth="1"/>
    <col min="15639" max="15639" width="11" bestFit="1" customWidth="1"/>
    <col min="15640" max="15868" width="8.81640625"/>
    <col min="15869" max="15869" width="10.453125" customWidth="1"/>
    <col min="15870" max="15870" width="8.1796875" bestFit="1" customWidth="1"/>
    <col min="15871" max="15871" width="9.1796875" bestFit="1" customWidth="1"/>
    <col min="15872" max="15872" width="32.54296875" bestFit="1" customWidth="1"/>
    <col min="15873" max="15873" width="31.54296875" customWidth="1"/>
    <col min="15874" max="15874" width="13.7265625" bestFit="1" customWidth="1"/>
    <col min="15875" max="15875" width="12.1796875" bestFit="1" customWidth="1"/>
    <col min="15876" max="15876" width="12.7265625" bestFit="1" customWidth="1"/>
    <col min="15877" max="15877" width="12.7265625" customWidth="1"/>
    <col min="15878" max="15878" width="13.7265625" bestFit="1" customWidth="1"/>
    <col min="15879" max="15879" width="14" bestFit="1" customWidth="1"/>
    <col min="15880" max="15880" width="12.1796875" bestFit="1" customWidth="1"/>
    <col min="15881" max="15881" width="14.453125" bestFit="1" customWidth="1"/>
    <col min="15882" max="15882" width="12.1796875" bestFit="1" customWidth="1"/>
    <col min="15883" max="15883" width="12.7265625" bestFit="1" customWidth="1"/>
    <col min="15884" max="15884" width="12.7265625" customWidth="1"/>
    <col min="15885" max="15885" width="13.7265625" bestFit="1" customWidth="1"/>
    <col min="15886" max="15886" width="12.7265625" customWidth="1"/>
    <col min="15887" max="15887" width="14.453125" bestFit="1" customWidth="1"/>
    <col min="15888" max="15888" width="13.7265625" bestFit="1" customWidth="1"/>
    <col min="15889" max="15889" width="12.1796875" bestFit="1" customWidth="1"/>
    <col min="15890" max="15890" width="11.7265625" bestFit="1" customWidth="1"/>
    <col min="15891" max="15892" width="10.81640625" bestFit="1" customWidth="1"/>
    <col min="15893" max="15893" width="8.453125" bestFit="1" customWidth="1"/>
    <col min="15894" max="15894" width="10.81640625" bestFit="1" customWidth="1"/>
    <col min="15895" max="15895" width="11" bestFit="1" customWidth="1"/>
    <col min="15896" max="16124" width="8.81640625"/>
    <col min="16125" max="16125" width="10.453125" customWidth="1"/>
    <col min="16126" max="16126" width="8.1796875" bestFit="1" customWidth="1"/>
    <col min="16127" max="16127" width="9.1796875" bestFit="1" customWidth="1"/>
    <col min="16128" max="16128" width="32.54296875" bestFit="1" customWidth="1"/>
    <col min="16129" max="16129" width="31.54296875" customWidth="1"/>
    <col min="16130" max="16130" width="13.7265625" bestFit="1" customWidth="1"/>
    <col min="16131" max="16131" width="12.1796875" bestFit="1" customWidth="1"/>
    <col min="16132" max="16132" width="12.7265625" bestFit="1" customWidth="1"/>
    <col min="16133" max="16133" width="12.7265625" customWidth="1"/>
    <col min="16134" max="16134" width="13.7265625" bestFit="1" customWidth="1"/>
    <col min="16135" max="16135" width="14" bestFit="1" customWidth="1"/>
    <col min="16136" max="16136" width="12.1796875" bestFit="1" customWidth="1"/>
    <col min="16137" max="16137" width="14.453125" bestFit="1" customWidth="1"/>
    <col min="16138" max="16138" width="12.1796875" bestFit="1" customWidth="1"/>
    <col min="16139" max="16139" width="12.7265625" bestFit="1" customWidth="1"/>
    <col min="16140" max="16140" width="12.7265625" customWidth="1"/>
    <col min="16141" max="16141" width="13.7265625" bestFit="1" customWidth="1"/>
    <col min="16142" max="16142" width="12.7265625" customWidth="1"/>
    <col min="16143" max="16143" width="14.453125" bestFit="1" customWidth="1"/>
    <col min="16144" max="16144" width="13.7265625" bestFit="1" customWidth="1"/>
    <col min="16145" max="16145" width="12.1796875" bestFit="1" customWidth="1"/>
    <col min="16146" max="16146" width="11.7265625" bestFit="1" customWidth="1"/>
    <col min="16147" max="16148" width="10.81640625" bestFit="1" customWidth="1"/>
    <col min="16149" max="16149" width="8.453125" bestFit="1" customWidth="1"/>
    <col min="16150" max="16150" width="10.81640625" bestFit="1" customWidth="1"/>
    <col min="16151" max="16151" width="11" bestFit="1" customWidth="1"/>
    <col min="16152" max="16384" width="8.81640625"/>
  </cols>
  <sheetData>
    <row r="1" spans="1:27" ht="18" x14ac:dyDescent="0.4">
      <c r="A1" s="55" t="s">
        <v>117</v>
      </c>
      <c r="B1" s="55"/>
      <c r="C1" s="55"/>
      <c r="D1" s="55"/>
      <c r="E1" s="55"/>
      <c r="F1" s="20" t="s">
        <v>118</v>
      </c>
      <c r="G1" s="20"/>
      <c r="H1" s="20"/>
      <c r="I1" s="20"/>
      <c r="J1" s="20" t="s">
        <v>118</v>
      </c>
      <c r="K1" s="20" t="s">
        <v>118</v>
      </c>
      <c r="L1" s="42"/>
      <c r="M1" s="20" t="s">
        <v>119</v>
      </c>
      <c r="N1" s="20"/>
      <c r="O1" s="20"/>
      <c r="P1" s="20" t="s">
        <v>659</v>
      </c>
      <c r="Q1" s="20" t="s">
        <v>659</v>
      </c>
      <c r="R1" s="20"/>
      <c r="S1" s="20" t="s">
        <v>119</v>
      </c>
      <c r="T1" s="20" t="s">
        <v>118</v>
      </c>
      <c r="U1" s="42"/>
      <c r="V1" s="91"/>
    </row>
    <row r="2" spans="1:27" ht="13" x14ac:dyDescent="0.3">
      <c r="A2" s="20"/>
      <c r="B2" s="20"/>
      <c r="C2" s="20"/>
      <c r="D2" s="20"/>
      <c r="E2" s="18"/>
      <c r="F2" s="20">
        <v>2015</v>
      </c>
      <c r="G2" s="20"/>
      <c r="H2" s="20"/>
      <c r="I2" s="20"/>
      <c r="J2" s="20">
        <v>2015</v>
      </c>
      <c r="K2" s="20">
        <v>2015</v>
      </c>
      <c r="L2" s="42"/>
      <c r="M2" s="20">
        <v>2015</v>
      </c>
      <c r="N2" s="20"/>
      <c r="O2" s="20"/>
      <c r="P2" s="20" t="s">
        <v>120</v>
      </c>
      <c r="Q2" s="23" t="s">
        <v>120</v>
      </c>
      <c r="R2" s="20"/>
      <c r="S2" s="20">
        <v>2015</v>
      </c>
      <c r="T2" s="20">
        <v>2015</v>
      </c>
      <c r="U2" s="42"/>
      <c r="V2" s="23" t="s">
        <v>86</v>
      </c>
    </row>
    <row r="3" spans="1:27" ht="13" x14ac:dyDescent="0.3">
      <c r="A3" s="56" t="s">
        <v>121</v>
      </c>
      <c r="B3" s="56" t="s">
        <v>9</v>
      </c>
      <c r="C3" s="92" t="s">
        <v>660</v>
      </c>
      <c r="D3" s="57" t="s">
        <v>122</v>
      </c>
      <c r="E3" s="93" t="s">
        <v>123</v>
      </c>
      <c r="F3" s="56" t="s">
        <v>124</v>
      </c>
      <c r="G3" s="56" t="s">
        <v>82</v>
      </c>
      <c r="H3" s="56" t="s">
        <v>74</v>
      </c>
      <c r="I3" s="56" t="s">
        <v>125</v>
      </c>
      <c r="J3" s="56" t="s">
        <v>126</v>
      </c>
      <c r="K3" s="56" t="s">
        <v>127</v>
      </c>
      <c r="L3" s="58" t="s">
        <v>68</v>
      </c>
      <c r="M3" s="56" t="s">
        <v>124</v>
      </c>
      <c r="N3" s="56" t="s">
        <v>36</v>
      </c>
      <c r="O3" s="56" t="s">
        <v>74</v>
      </c>
      <c r="P3" s="56" t="s">
        <v>75</v>
      </c>
      <c r="Q3" s="56" t="s">
        <v>19</v>
      </c>
      <c r="R3" s="56" t="s">
        <v>125</v>
      </c>
      <c r="S3" s="56" t="s">
        <v>126</v>
      </c>
      <c r="T3" s="56" t="s">
        <v>127</v>
      </c>
      <c r="U3" s="58" t="s">
        <v>68</v>
      </c>
      <c r="V3" s="56" t="s">
        <v>21</v>
      </c>
      <c r="Y3" s="108" t="s">
        <v>661</v>
      </c>
    </row>
    <row r="4" spans="1:27" ht="13" x14ac:dyDescent="0.3">
      <c r="A4" s="20" t="s">
        <v>707</v>
      </c>
      <c r="B4" s="20">
        <v>10500</v>
      </c>
      <c r="C4" s="20" t="s">
        <v>708</v>
      </c>
      <c r="D4" s="77" t="s">
        <v>664</v>
      </c>
      <c r="E4" s="77" t="s">
        <v>709</v>
      </c>
      <c r="F4" s="94">
        <v>228954.68</v>
      </c>
      <c r="G4" s="211">
        <v>0</v>
      </c>
      <c r="H4" s="94">
        <v>0</v>
      </c>
      <c r="I4" s="211">
        <v>0</v>
      </c>
      <c r="J4" s="94">
        <v>228954.68</v>
      </c>
      <c r="K4" s="94">
        <v>267012.90615384624</v>
      </c>
      <c r="L4" s="95">
        <v>0</v>
      </c>
      <c r="M4" s="94">
        <v>0</v>
      </c>
      <c r="N4" s="94">
        <v>0</v>
      </c>
      <c r="O4" s="94">
        <v>0</v>
      </c>
      <c r="P4" s="94">
        <v>0</v>
      </c>
      <c r="Q4" s="94">
        <v>0</v>
      </c>
      <c r="R4" s="94">
        <v>0</v>
      </c>
      <c r="S4" s="94">
        <v>0</v>
      </c>
      <c r="T4" s="94">
        <v>0</v>
      </c>
      <c r="U4" s="95">
        <v>0</v>
      </c>
      <c r="V4" s="96">
        <v>0</v>
      </c>
      <c r="Y4" s="108" t="s">
        <v>9</v>
      </c>
      <c r="Z4" s="108" t="s">
        <v>21</v>
      </c>
      <c r="AA4" t="s">
        <v>34</v>
      </c>
    </row>
    <row r="5" spans="1:27" ht="13" x14ac:dyDescent="0.3">
      <c r="A5" s="20" t="s">
        <v>707</v>
      </c>
      <c r="B5" s="20">
        <v>30100</v>
      </c>
      <c r="C5" s="20" t="s">
        <v>710</v>
      </c>
      <c r="D5" s="77" t="s">
        <v>185</v>
      </c>
      <c r="E5" s="77" t="s">
        <v>138</v>
      </c>
      <c r="F5" s="94">
        <v>1693.84</v>
      </c>
      <c r="G5" s="94">
        <v>0</v>
      </c>
      <c r="H5" s="94">
        <v>0</v>
      </c>
      <c r="I5" s="94">
        <v>0</v>
      </c>
      <c r="J5" s="94">
        <v>1693.84</v>
      </c>
      <c r="K5" s="94">
        <v>1693.84</v>
      </c>
      <c r="L5" s="95">
        <v>0</v>
      </c>
      <c r="M5" s="94">
        <v>0</v>
      </c>
      <c r="N5" s="94">
        <v>0</v>
      </c>
      <c r="O5" s="94">
        <v>0</v>
      </c>
      <c r="P5" s="94">
        <v>0</v>
      </c>
      <c r="Q5" s="94">
        <v>0</v>
      </c>
      <c r="R5" s="94">
        <v>0</v>
      </c>
      <c r="S5" s="94">
        <v>0</v>
      </c>
      <c r="T5" s="94">
        <v>0</v>
      </c>
      <c r="U5" s="95">
        <v>0</v>
      </c>
      <c r="V5" s="96">
        <v>0</v>
      </c>
      <c r="X5" s="1"/>
      <c r="Y5" s="1">
        <v>10500</v>
      </c>
      <c r="Z5" s="97">
        <v>0</v>
      </c>
      <c r="AA5">
        <v>2</v>
      </c>
    </row>
    <row r="6" spans="1:27" ht="13" x14ac:dyDescent="0.3">
      <c r="A6" s="20" t="s">
        <v>707</v>
      </c>
      <c r="B6" s="20">
        <v>30200</v>
      </c>
      <c r="C6" s="20" t="s">
        <v>711</v>
      </c>
      <c r="D6" s="77" t="s">
        <v>186</v>
      </c>
      <c r="E6" s="77" t="s">
        <v>139</v>
      </c>
      <c r="F6" s="94">
        <v>0</v>
      </c>
      <c r="G6" s="94">
        <v>0</v>
      </c>
      <c r="H6" s="94">
        <v>0</v>
      </c>
      <c r="I6" s="94">
        <v>0</v>
      </c>
      <c r="J6" s="94">
        <v>0</v>
      </c>
      <c r="K6" s="94">
        <v>0</v>
      </c>
      <c r="L6" s="95">
        <v>0</v>
      </c>
      <c r="M6" s="94">
        <v>-1.837179297581315E-10</v>
      </c>
      <c r="N6" s="94">
        <v>0</v>
      </c>
      <c r="O6" s="94">
        <v>0</v>
      </c>
      <c r="P6" s="94">
        <v>0</v>
      </c>
      <c r="Q6" s="94">
        <v>0</v>
      </c>
      <c r="R6" s="94">
        <v>0</v>
      </c>
      <c r="S6" s="94">
        <v>-1.837179297581315E-10</v>
      </c>
      <c r="T6" s="94">
        <v>-1.837179297581315E-10</v>
      </c>
      <c r="U6" s="95">
        <v>0</v>
      </c>
      <c r="V6" s="96">
        <v>0.04</v>
      </c>
      <c r="X6" s="1" t="s">
        <v>84</v>
      </c>
      <c r="Y6" s="1">
        <v>11501</v>
      </c>
      <c r="Z6" s="97">
        <v>0</v>
      </c>
      <c r="AA6">
        <v>1</v>
      </c>
    </row>
    <row r="7" spans="1:27" ht="13" x14ac:dyDescent="0.3">
      <c r="A7" s="20" t="s">
        <v>707</v>
      </c>
      <c r="B7" s="20">
        <v>30301</v>
      </c>
      <c r="C7" s="20" t="s">
        <v>712</v>
      </c>
      <c r="D7" s="77" t="s">
        <v>187</v>
      </c>
      <c r="E7" s="77" t="s">
        <v>141</v>
      </c>
      <c r="F7" s="94">
        <v>155020.99</v>
      </c>
      <c r="G7" s="94">
        <v>19687.939999999999</v>
      </c>
      <c r="H7" s="94">
        <v>-155020.99</v>
      </c>
      <c r="I7" s="94">
        <v>0</v>
      </c>
      <c r="J7" s="94">
        <v>19687.940000000002</v>
      </c>
      <c r="K7" s="94">
        <v>30799.609230769231</v>
      </c>
      <c r="L7" s="95">
        <v>0</v>
      </c>
      <c r="M7" s="94">
        <v>-155020.99</v>
      </c>
      <c r="N7" s="94">
        <v>-394.53000000000003</v>
      </c>
      <c r="O7" s="94">
        <v>155020.99</v>
      </c>
      <c r="P7" s="94">
        <v>0</v>
      </c>
      <c r="Q7" s="94">
        <v>0</v>
      </c>
      <c r="R7" s="94">
        <v>0</v>
      </c>
      <c r="S7" s="94">
        <v>-394.52999999999884</v>
      </c>
      <c r="T7" s="94">
        <v>-23925.026923076926</v>
      </c>
      <c r="U7" s="95">
        <v>-1.1937117960769683E-12</v>
      </c>
      <c r="V7" s="96">
        <v>6.7000000000000004E-2</v>
      </c>
      <c r="X7" s="1" t="s">
        <v>84</v>
      </c>
      <c r="Y7" s="1">
        <v>30100</v>
      </c>
      <c r="Z7" s="97">
        <v>0</v>
      </c>
      <c r="AA7">
        <v>5</v>
      </c>
    </row>
    <row r="8" spans="1:27" ht="13" x14ac:dyDescent="0.3">
      <c r="A8" s="20" t="s">
        <v>707</v>
      </c>
      <c r="B8" s="20">
        <v>37400</v>
      </c>
      <c r="C8" s="20" t="s">
        <v>713</v>
      </c>
      <c r="D8" s="77" t="s">
        <v>188</v>
      </c>
      <c r="E8" s="77" t="s">
        <v>142</v>
      </c>
      <c r="F8" s="94">
        <v>2807815.54</v>
      </c>
      <c r="G8" s="94">
        <v>0</v>
      </c>
      <c r="H8" s="94">
        <v>0</v>
      </c>
      <c r="I8" s="94">
        <v>0</v>
      </c>
      <c r="J8" s="94">
        <v>2807815.54</v>
      </c>
      <c r="K8" s="94">
        <v>2807815.5399999996</v>
      </c>
      <c r="L8" s="95">
        <v>0</v>
      </c>
      <c r="M8" s="94">
        <v>0</v>
      </c>
      <c r="N8" s="94">
        <v>0</v>
      </c>
      <c r="O8" s="94">
        <v>0</v>
      </c>
      <c r="P8" s="94">
        <v>0</v>
      </c>
      <c r="Q8" s="94">
        <v>0</v>
      </c>
      <c r="R8" s="94">
        <v>0</v>
      </c>
      <c r="S8" s="94">
        <v>0</v>
      </c>
      <c r="T8" s="94">
        <v>0</v>
      </c>
      <c r="U8" s="95">
        <v>0</v>
      </c>
      <c r="V8" s="96">
        <v>0</v>
      </c>
      <c r="X8" s="1" t="s">
        <v>84</v>
      </c>
      <c r="Y8" s="1">
        <v>30200</v>
      </c>
      <c r="Z8" s="97">
        <v>0.04</v>
      </c>
      <c r="AA8">
        <v>7</v>
      </c>
    </row>
    <row r="9" spans="1:27" ht="13" x14ac:dyDescent="0.3">
      <c r="A9" s="20" t="s">
        <v>707</v>
      </c>
      <c r="B9" s="20">
        <v>37402</v>
      </c>
      <c r="C9" s="20" t="s">
        <v>714</v>
      </c>
      <c r="D9" s="77" t="s">
        <v>189</v>
      </c>
      <c r="E9" s="77" t="s">
        <v>143</v>
      </c>
      <c r="F9" s="94">
        <v>62312.32</v>
      </c>
      <c r="G9" s="94">
        <v>8865.58</v>
      </c>
      <c r="H9" s="94">
        <v>0</v>
      </c>
      <c r="I9" s="94">
        <v>0</v>
      </c>
      <c r="J9" s="94">
        <v>71177.899999999994</v>
      </c>
      <c r="K9" s="94">
        <v>63676.255384615382</v>
      </c>
      <c r="L9" s="95">
        <v>0</v>
      </c>
      <c r="M9" s="94">
        <v>-39490.070000000051</v>
      </c>
      <c r="N9" s="94">
        <v>-819.72</v>
      </c>
      <c r="O9" s="94">
        <v>0</v>
      </c>
      <c r="P9" s="94">
        <v>0</v>
      </c>
      <c r="Q9" s="94">
        <v>0</v>
      </c>
      <c r="R9" s="94">
        <v>0</v>
      </c>
      <c r="S9" s="94">
        <v>-40309.790000000052</v>
      </c>
      <c r="T9" s="94">
        <v>-39895.868461538528</v>
      </c>
      <c r="U9" s="95">
        <v>0</v>
      </c>
      <c r="V9" s="96">
        <v>1.2999999999999999E-2</v>
      </c>
      <c r="X9" s="1" t="s">
        <v>84</v>
      </c>
      <c r="Y9" s="1">
        <v>30300</v>
      </c>
      <c r="Z9" s="97">
        <v>0.04</v>
      </c>
      <c r="AA9">
        <v>2</v>
      </c>
    </row>
    <row r="10" spans="1:27" ht="13" x14ac:dyDescent="0.3">
      <c r="A10" s="20" t="s">
        <v>707</v>
      </c>
      <c r="B10" s="20">
        <v>37500</v>
      </c>
      <c r="C10" s="20" t="s">
        <v>715</v>
      </c>
      <c r="D10" s="77" t="s">
        <v>190</v>
      </c>
      <c r="E10" s="77" t="s">
        <v>144</v>
      </c>
      <c r="F10" s="94">
        <v>2169952.46</v>
      </c>
      <c r="G10" s="94">
        <v>22789.51</v>
      </c>
      <c r="H10" s="94">
        <v>0</v>
      </c>
      <c r="I10" s="94">
        <v>0</v>
      </c>
      <c r="J10" s="94">
        <v>2192741.9699999997</v>
      </c>
      <c r="K10" s="94">
        <v>2177787.5061538457</v>
      </c>
      <c r="L10" s="95">
        <v>0</v>
      </c>
      <c r="M10" s="94">
        <v>-432920.12999999948</v>
      </c>
      <c r="N10" s="94">
        <v>-54413.499999999993</v>
      </c>
      <c r="O10" s="94">
        <v>0</v>
      </c>
      <c r="P10" s="94">
        <v>0</v>
      </c>
      <c r="Q10" s="94">
        <v>0</v>
      </c>
      <c r="R10" s="94">
        <v>0</v>
      </c>
      <c r="S10" s="94">
        <v>-487333.62999999948</v>
      </c>
      <c r="T10" s="94">
        <v>-460074.14307692245</v>
      </c>
      <c r="U10" s="95">
        <v>0</v>
      </c>
      <c r="V10" s="96">
        <v>2.5000000000000001E-2</v>
      </c>
      <c r="X10" s="1" t="s">
        <v>84</v>
      </c>
      <c r="Y10" s="1">
        <v>30301</v>
      </c>
      <c r="Z10" s="97">
        <v>6.7000000000000004E-2</v>
      </c>
      <c r="AA10">
        <v>13</v>
      </c>
    </row>
    <row r="11" spans="1:27" ht="13" x14ac:dyDescent="0.3">
      <c r="A11" s="20" t="s">
        <v>707</v>
      </c>
      <c r="B11" s="20">
        <v>37600</v>
      </c>
      <c r="C11" s="20" t="s">
        <v>716</v>
      </c>
      <c r="D11" s="77" t="s">
        <v>191</v>
      </c>
      <c r="E11" s="77" t="s">
        <v>145</v>
      </c>
      <c r="F11" s="94">
        <v>43647311.540000044</v>
      </c>
      <c r="G11" s="94">
        <v>1131362.7</v>
      </c>
      <c r="H11" s="94">
        <v>-111068.38</v>
      </c>
      <c r="I11" s="94">
        <v>0</v>
      </c>
      <c r="J11" s="94">
        <v>44667605.860000044</v>
      </c>
      <c r="K11" s="94">
        <v>43796824.783076964</v>
      </c>
      <c r="L11" s="95">
        <v>0</v>
      </c>
      <c r="M11" s="94">
        <v>-41128918.890000023</v>
      </c>
      <c r="N11" s="94">
        <v>-1836418.8999999997</v>
      </c>
      <c r="O11" s="94">
        <v>111068.38</v>
      </c>
      <c r="P11" s="94">
        <v>451771.75999999995</v>
      </c>
      <c r="Q11" s="94">
        <v>0</v>
      </c>
      <c r="R11" s="94">
        <v>0</v>
      </c>
      <c r="S11" s="94">
        <v>-42402497.650000021</v>
      </c>
      <c r="T11" s="94">
        <v>-41776133.373076953</v>
      </c>
      <c r="U11" s="95">
        <v>0</v>
      </c>
      <c r="V11" s="96">
        <v>4.2000000000000003E-2</v>
      </c>
      <c r="X11" s="1" t="s">
        <v>84</v>
      </c>
      <c r="Y11" s="1"/>
      <c r="Z11" s="97">
        <v>0</v>
      </c>
      <c r="AA11">
        <v>1</v>
      </c>
    </row>
    <row r="12" spans="1:27" ht="13" x14ac:dyDescent="0.3">
      <c r="A12" s="20" t="s">
        <v>707</v>
      </c>
      <c r="B12" s="20">
        <v>37602</v>
      </c>
      <c r="C12" s="20" t="s">
        <v>717</v>
      </c>
      <c r="D12" s="77" t="s">
        <v>192</v>
      </c>
      <c r="E12" s="77" t="s">
        <v>146</v>
      </c>
      <c r="F12" s="94">
        <v>44022778.269999981</v>
      </c>
      <c r="G12" s="211">
        <v>10693743.24</v>
      </c>
      <c r="H12" s="94">
        <v>-148515.16</v>
      </c>
      <c r="I12" s="211"/>
      <c r="J12" s="94">
        <v>54568006.349999987</v>
      </c>
      <c r="K12" s="94">
        <v>50281310.879230753</v>
      </c>
      <c r="L12" s="95">
        <v>0</v>
      </c>
      <c r="M12" s="94">
        <v>-14620564.220000016</v>
      </c>
      <c r="N12" s="94">
        <v>-1547646.6700000002</v>
      </c>
      <c r="O12" s="94">
        <v>148515.16</v>
      </c>
      <c r="P12" s="94">
        <v>155459.57000000007</v>
      </c>
      <c r="Q12" s="94">
        <v>0</v>
      </c>
      <c r="R12" s="94">
        <v>0</v>
      </c>
      <c r="S12" s="94">
        <v>-15864236.160000015</v>
      </c>
      <c r="T12" s="94">
        <v>-15214033.013076939</v>
      </c>
      <c r="U12" s="95">
        <v>0</v>
      </c>
      <c r="V12" s="96">
        <v>3.1E-2</v>
      </c>
      <c r="X12" s="1" t="s">
        <v>84</v>
      </c>
      <c r="Y12" s="1">
        <v>30302</v>
      </c>
      <c r="Z12" s="97">
        <v>6.7000000000000004E-2</v>
      </c>
      <c r="AA12">
        <v>1</v>
      </c>
    </row>
    <row r="13" spans="1:27" ht="13" x14ac:dyDescent="0.3">
      <c r="A13" s="20" t="s">
        <v>707</v>
      </c>
      <c r="B13" s="20">
        <v>37602</v>
      </c>
      <c r="C13" s="20" t="s">
        <v>717</v>
      </c>
      <c r="D13" s="77" t="s">
        <v>193</v>
      </c>
      <c r="E13" s="77" t="s">
        <v>146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94">
        <v>0</v>
      </c>
      <c r="L13" s="95">
        <v>0</v>
      </c>
      <c r="M13" s="94">
        <v>-38299.99</v>
      </c>
      <c r="N13" s="94">
        <v>0</v>
      </c>
      <c r="O13" s="94">
        <v>0</v>
      </c>
      <c r="P13" s="94">
        <v>0</v>
      </c>
      <c r="Q13" s="94">
        <v>0</v>
      </c>
      <c r="R13" s="94">
        <v>0</v>
      </c>
      <c r="S13" s="94">
        <v>-38299.99</v>
      </c>
      <c r="T13" s="94">
        <v>-38299.99</v>
      </c>
      <c r="U13" s="95">
        <v>0</v>
      </c>
      <c r="V13" s="96">
        <v>3.1E-2</v>
      </c>
      <c r="X13" s="1" t="s">
        <v>84</v>
      </c>
      <c r="Y13" s="1">
        <v>37400</v>
      </c>
      <c r="Z13" s="97">
        <v>0</v>
      </c>
      <c r="AA13">
        <v>14</v>
      </c>
    </row>
    <row r="14" spans="1:27" ht="13" x14ac:dyDescent="0.3">
      <c r="A14" s="20" t="s">
        <v>707</v>
      </c>
      <c r="B14" s="20">
        <v>37800</v>
      </c>
      <c r="C14" s="20" t="s">
        <v>718</v>
      </c>
      <c r="D14" s="77" t="s">
        <v>194</v>
      </c>
      <c r="E14" s="77" t="s">
        <v>147</v>
      </c>
      <c r="F14" s="94">
        <v>843957.46000000008</v>
      </c>
      <c r="G14" s="94">
        <v>7760.25</v>
      </c>
      <c r="H14" s="94">
        <v>-825.82</v>
      </c>
      <c r="I14" s="94">
        <v>0</v>
      </c>
      <c r="J14" s="94">
        <v>850891.89000000013</v>
      </c>
      <c r="K14" s="94">
        <v>844456.99000000022</v>
      </c>
      <c r="L14" s="95">
        <v>0</v>
      </c>
      <c r="M14" s="94">
        <v>-210930.19000000006</v>
      </c>
      <c r="N14" s="94">
        <v>-28693.269999999993</v>
      </c>
      <c r="O14" s="94">
        <v>825.82</v>
      </c>
      <c r="P14" s="94">
        <v>0</v>
      </c>
      <c r="Q14" s="94">
        <v>0</v>
      </c>
      <c r="R14" s="94">
        <v>0</v>
      </c>
      <c r="S14" s="94">
        <v>-238797.64000000004</v>
      </c>
      <c r="T14" s="94">
        <v>-225086.60000000003</v>
      </c>
      <c r="U14" s="95">
        <v>0</v>
      </c>
      <c r="V14" s="96">
        <v>3.4000000000000002E-2</v>
      </c>
      <c r="X14" s="1" t="s">
        <v>84</v>
      </c>
      <c r="Y14" s="1">
        <v>37402</v>
      </c>
      <c r="Z14" s="97">
        <v>1.2999999999999999E-2</v>
      </c>
      <c r="AA14">
        <v>13</v>
      </c>
    </row>
    <row r="15" spans="1:27" ht="13" x14ac:dyDescent="0.3">
      <c r="A15" s="20" t="s">
        <v>707</v>
      </c>
      <c r="B15" s="20">
        <v>37900</v>
      </c>
      <c r="C15" s="20" t="s">
        <v>719</v>
      </c>
      <c r="D15" s="77" t="s">
        <v>195</v>
      </c>
      <c r="E15" s="77" t="s">
        <v>148</v>
      </c>
      <c r="F15" s="94">
        <v>1299024.1499999999</v>
      </c>
      <c r="G15" s="94">
        <v>23012.100000000002</v>
      </c>
      <c r="H15" s="94">
        <v>0</v>
      </c>
      <c r="I15" s="94">
        <v>0</v>
      </c>
      <c r="J15" s="94">
        <v>1322036.25</v>
      </c>
      <c r="K15" s="94">
        <v>1312990.0499999998</v>
      </c>
      <c r="L15" s="95">
        <v>0</v>
      </c>
      <c r="M15" s="94">
        <v>-587894.08999999892</v>
      </c>
      <c r="N15" s="94">
        <v>-44616.039999999994</v>
      </c>
      <c r="O15" s="94">
        <v>0</v>
      </c>
      <c r="P15" s="94">
        <v>0</v>
      </c>
      <c r="Q15" s="94">
        <v>0</v>
      </c>
      <c r="R15" s="94">
        <v>0</v>
      </c>
      <c r="S15" s="94">
        <v>-632510.12999999896</v>
      </c>
      <c r="T15" s="94">
        <v>-610135.79076922976</v>
      </c>
      <c r="U15" s="95">
        <v>0</v>
      </c>
      <c r="V15" s="96">
        <v>3.4000000000000002E-2</v>
      </c>
      <c r="X15" s="1" t="s">
        <v>84</v>
      </c>
      <c r="Y15" s="1">
        <v>37500</v>
      </c>
      <c r="Z15" s="97">
        <v>2.5000000000000001E-2</v>
      </c>
      <c r="AA15">
        <v>16</v>
      </c>
    </row>
    <row r="16" spans="1:27" ht="13" x14ac:dyDescent="0.3">
      <c r="A16" s="20" t="s">
        <v>707</v>
      </c>
      <c r="B16" s="20">
        <v>38000</v>
      </c>
      <c r="C16" s="20" t="s">
        <v>720</v>
      </c>
      <c r="D16" s="77" t="s">
        <v>196</v>
      </c>
      <c r="E16" s="77" t="s">
        <v>149</v>
      </c>
      <c r="F16" s="94">
        <v>9231463.3100000024</v>
      </c>
      <c r="G16" s="94">
        <v>78038.100000000006</v>
      </c>
      <c r="H16" s="94">
        <v>-111144.31</v>
      </c>
      <c r="I16" s="94">
        <v>0</v>
      </c>
      <c r="J16" s="94">
        <v>9198357.1000000015</v>
      </c>
      <c r="K16" s="94">
        <v>9244241.6053846162</v>
      </c>
      <c r="L16" s="95">
        <v>0</v>
      </c>
      <c r="M16" s="94">
        <v>-11869020.279999999</v>
      </c>
      <c r="N16" s="94">
        <v>-610372.29</v>
      </c>
      <c r="O16" s="94">
        <v>111144.31</v>
      </c>
      <c r="P16" s="94">
        <v>968182.5199999999</v>
      </c>
      <c r="Q16" s="94">
        <v>0</v>
      </c>
      <c r="R16" s="94">
        <v>0</v>
      </c>
      <c r="S16" s="94">
        <v>-11400065.74</v>
      </c>
      <c r="T16" s="94">
        <v>-11690197.361538462</v>
      </c>
      <c r="U16" s="95">
        <v>0</v>
      </c>
      <c r="V16" s="96">
        <v>6.5999999999999989E-2</v>
      </c>
      <c r="X16" s="1" t="s">
        <v>84</v>
      </c>
      <c r="Y16" s="1"/>
      <c r="Z16" s="97">
        <v>0</v>
      </c>
      <c r="AA16">
        <v>1</v>
      </c>
    </row>
    <row r="17" spans="1:27" ht="13" x14ac:dyDescent="0.3">
      <c r="A17" s="20" t="s">
        <v>707</v>
      </c>
      <c r="B17" s="20">
        <v>38002</v>
      </c>
      <c r="C17" s="20" t="s">
        <v>721</v>
      </c>
      <c r="D17" s="77" t="s">
        <v>197</v>
      </c>
      <c r="E17" s="77" t="s">
        <v>150</v>
      </c>
      <c r="F17" s="94">
        <v>38856697.709999986</v>
      </c>
      <c r="G17" s="94">
        <v>3111121.459999999</v>
      </c>
      <c r="H17" s="94">
        <v>-84729.41</v>
      </c>
      <c r="I17" s="94">
        <v>0</v>
      </c>
      <c r="J17" s="94">
        <v>41883089.75999999</v>
      </c>
      <c r="K17" s="94">
        <v>40250700.744615376</v>
      </c>
      <c r="L17" s="95">
        <v>0</v>
      </c>
      <c r="M17" s="94">
        <v>-20155211.739999983</v>
      </c>
      <c r="N17" s="94">
        <v>-2005733.41</v>
      </c>
      <c r="O17" s="94">
        <v>84729.41</v>
      </c>
      <c r="P17" s="94">
        <v>232237.89</v>
      </c>
      <c r="Q17" s="94">
        <v>0</v>
      </c>
      <c r="R17" s="94">
        <v>0</v>
      </c>
      <c r="S17" s="94">
        <v>-21843977.849999983</v>
      </c>
      <c r="T17" s="94">
        <v>-20977015.056923058</v>
      </c>
      <c r="U17" s="95">
        <v>0</v>
      </c>
      <c r="V17" s="96">
        <v>0.05</v>
      </c>
      <c r="X17" s="1" t="s">
        <v>84</v>
      </c>
      <c r="Y17" s="1">
        <v>37600</v>
      </c>
      <c r="Z17" s="97">
        <v>4.2000000000000003E-2</v>
      </c>
      <c r="AA17">
        <v>15</v>
      </c>
    </row>
    <row r="18" spans="1:27" ht="13" x14ac:dyDescent="0.3">
      <c r="A18" s="20" t="s">
        <v>707</v>
      </c>
      <c r="B18" s="20">
        <v>38200</v>
      </c>
      <c r="C18" s="20" t="s">
        <v>722</v>
      </c>
      <c r="D18" s="77" t="s">
        <v>198</v>
      </c>
      <c r="E18" s="77" t="s">
        <v>152</v>
      </c>
      <c r="F18" s="94">
        <v>6012344.6100000013</v>
      </c>
      <c r="G18" s="94">
        <v>447772.33</v>
      </c>
      <c r="H18" s="94">
        <v>-28693.33</v>
      </c>
      <c r="I18" s="94">
        <v>0</v>
      </c>
      <c r="J18" s="94">
        <v>6431423.6100000013</v>
      </c>
      <c r="K18" s="94">
        <v>6201006.1146153864</v>
      </c>
      <c r="L18" s="95">
        <v>0</v>
      </c>
      <c r="M18" s="94">
        <v>-1637270.4699999997</v>
      </c>
      <c r="N18" s="94">
        <v>-278181.19999999995</v>
      </c>
      <c r="O18" s="94">
        <v>28693.33</v>
      </c>
      <c r="P18" s="94">
        <v>130869.69</v>
      </c>
      <c r="Q18" s="94">
        <v>0</v>
      </c>
      <c r="R18" s="94">
        <v>0</v>
      </c>
      <c r="S18" s="94">
        <v>-1755888.6499999997</v>
      </c>
      <c r="T18" s="94">
        <v>-1708047.9646153846</v>
      </c>
      <c r="U18" s="95">
        <v>0</v>
      </c>
      <c r="V18" s="96">
        <v>4.4999999999999998E-2</v>
      </c>
      <c r="X18" s="1" t="s">
        <v>84</v>
      </c>
      <c r="Y18" s="1"/>
      <c r="Z18" s="97">
        <v>0</v>
      </c>
      <c r="AA18">
        <v>1</v>
      </c>
    </row>
    <row r="19" spans="1:27" ht="13" x14ac:dyDescent="0.3">
      <c r="A19" s="20" t="s">
        <v>707</v>
      </c>
      <c r="B19" s="20">
        <v>38300</v>
      </c>
      <c r="C19" s="20" t="s">
        <v>723</v>
      </c>
      <c r="D19" s="77" t="s">
        <v>199</v>
      </c>
      <c r="E19" s="77" t="s">
        <v>153</v>
      </c>
      <c r="F19" s="94">
        <v>2078755.15</v>
      </c>
      <c r="G19" s="94">
        <v>111415.32</v>
      </c>
      <c r="H19" s="94">
        <v>-7293</v>
      </c>
      <c r="I19" s="94">
        <v>0</v>
      </c>
      <c r="J19" s="94">
        <v>2182877.4699999997</v>
      </c>
      <c r="K19" s="94">
        <v>2125499.7976923073</v>
      </c>
      <c r="L19" s="95">
        <v>0</v>
      </c>
      <c r="M19" s="94">
        <v>-476785.66000000009</v>
      </c>
      <c r="N19" s="94">
        <v>-76345.869999999981</v>
      </c>
      <c r="O19" s="94">
        <v>7293</v>
      </c>
      <c r="P19" s="94">
        <v>0</v>
      </c>
      <c r="Q19" s="94">
        <v>0</v>
      </c>
      <c r="R19" s="94">
        <v>0</v>
      </c>
      <c r="S19" s="94">
        <v>-545838.53</v>
      </c>
      <c r="T19" s="94">
        <v>-514088.40461538476</v>
      </c>
      <c r="U19" s="95">
        <v>0</v>
      </c>
      <c r="V19" s="96">
        <v>3.5999999999999997E-2</v>
      </c>
      <c r="X19" s="1" t="s">
        <v>84</v>
      </c>
      <c r="Y19" s="1">
        <v>37602</v>
      </c>
      <c r="Z19" s="97">
        <v>3.1E-2</v>
      </c>
      <c r="AA19">
        <v>34</v>
      </c>
    </row>
    <row r="20" spans="1:27" ht="13" x14ac:dyDescent="0.3">
      <c r="A20" s="20" t="s">
        <v>707</v>
      </c>
      <c r="B20" s="20">
        <v>38400</v>
      </c>
      <c r="C20" s="20" t="s">
        <v>724</v>
      </c>
      <c r="D20" s="77" t="s">
        <v>200</v>
      </c>
      <c r="E20" s="77" t="s">
        <v>154</v>
      </c>
      <c r="F20" s="94">
        <v>2471194.0100000021</v>
      </c>
      <c r="G20" s="94">
        <v>149257.22</v>
      </c>
      <c r="H20" s="94">
        <v>-7158.33</v>
      </c>
      <c r="I20" s="94">
        <v>0</v>
      </c>
      <c r="J20" s="94">
        <v>2613292.9000000022</v>
      </c>
      <c r="K20" s="94">
        <v>2554851.1361538479</v>
      </c>
      <c r="L20" s="95">
        <v>0</v>
      </c>
      <c r="M20" s="94">
        <v>-693950.07999999973</v>
      </c>
      <c r="N20" s="94">
        <v>-114749.12999999999</v>
      </c>
      <c r="O20" s="94">
        <v>7158.33</v>
      </c>
      <c r="P20" s="94">
        <v>130869.66</v>
      </c>
      <c r="Q20" s="94">
        <v>0</v>
      </c>
      <c r="R20" s="94">
        <v>0</v>
      </c>
      <c r="S20" s="94">
        <v>-670671.21999999974</v>
      </c>
      <c r="T20" s="94">
        <v>-690645.22230769193</v>
      </c>
      <c r="U20" s="95">
        <v>0</v>
      </c>
      <c r="V20" s="96">
        <v>4.4999999999999998E-2</v>
      </c>
      <c r="X20" s="1" t="s">
        <v>84</v>
      </c>
      <c r="Y20" s="1"/>
      <c r="Z20" s="97">
        <v>0</v>
      </c>
      <c r="AA20">
        <v>1</v>
      </c>
    </row>
    <row r="21" spans="1:27" ht="13" x14ac:dyDescent="0.3">
      <c r="A21" s="20" t="s">
        <v>707</v>
      </c>
      <c r="B21" s="20">
        <v>38500</v>
      </c>
      <c r="C21" s="20" t="s">
        <v>725</v>
      </c>
      <c r="D21" s="77" t="s">
        <v>201</v>
      </c>
      <c r="E21" s="77" t="s">
        <v>155</v>
      </c>
      <c r="F21" s="94">
        <v>643560.6100000001</v>
      </c>
      <c r="G21" s="94">
        <v>0</v>
      </c>
      <c r="H21" s="94">
        <v>-9294.9800000000014</v>
      </c>
      <c r="I21" s="94">
        <v>0</v>
      </c>
      <c r="J21" s="94">
        <v>634265.63000000012</v>
      </c>
      <c r="K21" s="94">
        <v>642013.15000000014</v>
      </c>
      <c r="L21" s="95">
        <v>0</v>
      </c>
      <c r="M21" s="94">
        <v>-465337.7900000001</v>
      </c>
      <c r="N21" s="94">
        <v>-19922.460000000003</v>
      </c>
      <c r="O21" s="94">
        <v>9294.9800000000014</v>
      </c>
      <c r="P21" s="94">
        <v>459.03000000000003</v>
      </c>
      <c r="Q21" s="94">
        <v>0</v>
      </c>
      <c r="R21" s="94">
        <v>0</v>
      </c>
      <c r="S21" s="94">
        <v>-475506.24000000011</v>
      </c>
      <c r="T21" s="94">
        <v>-473661.38846153859</v>
      </c>
      <c r="U21" s="95">
        <v>0</v>
      </c>
      <c r="V21" s="96">
        <v>3.1E-2</v>
      </c>
      <c r="X21" s="1" t="s">
        <v>84</v>
      </c>
      <c r="Y21" s="1">
        <v>37800</v>
      </c>
      <c r="Z21" s="97">
        <v>3.4000000000000002E-2</v>
      </c>
      <c r="AA21">
        <v>17</v>
      </c>
    </row>
    <row r="22" spans="1:27" ht="13" x14ac:dyDescent="0.3">
      <c r="A22" s="20" t="s">
        <v>707</v>
      </c>
      <c r="B22" s="20">
        <v>38700</v>
      </c>
      <c r="C22" s="20" t="s">
        <v>726</v>
      </c>
      <c r="D22" s="77" t="s">
        <v>202</v>
      </c>
      <c r="E22" s="77" t="s">
        <v>156</v>
      </c>
      <c r="F22" s="94">
        <v>575953.93000000005</v>
      </c>
      <c r="G22" s="94">
        <v>165237.14000000001</v>
      </c>
      <c r="H22" s="94">
        <v>0</v>
      </c>
      <c r="I22" s="94">
        <v>0</v>
      </c>
      <c r="J22" s="94">
        <v>741191.07000000007</v>
      </c>
      <c r="K22" s="94">
        <v>675776.04307692312</v>
      </c>
      <c r="L22" s="95">
        <v>0</v>
      </c>
      <c r="M22" s="94">
        <v>-253643.10000000015</v>
      </c>
      <c r="N22" s="94">
        <v>-42230.51</v>
      </c>
      <c r="O22" s="94">
        <v>0</v>
      </c>
      <c r="P22" s="94">
        <v>0</v>
      </c>
      <c r="Q22" s="94">
        <v>0</v>
      </c>
      <c r="R22" s="94">
        <v>0</v>
      </c>
      <c r="S22" s="94">
        <v>-295873.61000000016</v>
      </c>
      <c r="T22" s="94">
        <v>-274529.68615384639</v>
      </c>
      <c r="U22" s="95">
        <v>0</v>
      </c>
      <c r="V22" s="96">
        <v>6.3E-2</v>
      </c>
      <c r="X22" s="1" t="s">
        <v>84</v>
      </c>
      <c r="Y22" s="1"/>
      <c r="Z22" s="97">
        <v>0</v>
      </c>
      <c r="AA22">
        <v>1</v>
      </c>
    </row>
    <row r="23" spans="1:27" ht="13" x14ac:dyDescent="0.3">
      <c r="A23" s="20" t="s">
        <v>707</v>
      </c>
      <c r="B23" s="20">
        <v>39000</v>
      </c>
      <c r="C23" s="20" t="s">
        <v>727</v>
      </c>
      <c r="D23" s="77" t="s">
        <v>203</v>
      </c>
      <c r="E23" s="77" t="s">
        <v>157</v>
      </c>
      <c r="F23" s="94">
        <v>0</v>
      </c>
      <c r="G23" s="94">
        <v>0</v>
      </c>
      <c r="H23" s="94">
        <v>0</v>
      </c>
      <c r="I23" s="94">
        <v>0</v>
      </c>
      <c r="J23" s="94">
        <v>0</v>
      </c>
      <c r="K23" s="94">
        <v>0</v>
      </c>
      <c r="L23" s="95">
        <v>0</v>
      </c>
      <c r="M23" s="94">
        <v>-28.44</v>
      </c>
      <c r="N23" s="94">
        <v>0</v>
      </c>
      <c r="O23" s="94">
        <v>0</v>
      </c>
      <c r="P23" s="94">
        <v>0</v>
      </c>
      <c r="Q23" s="94">
        <v>0</v>
      </c>
      <c r="R23" s="94">
        <v>0</v>
      </c>
      <c r="S23" s="94">
        <v>-28.44</v>
      </c>
      <c r="T23" s="94">
        <v>-28.44</v>
      </c>
      <c r="U23" s="95">
        <v>0</v>
      </c>
      <c r="V23" s="96">
        <v>2.5000000000000001E-2</v>
      </c>
      <c r="X23" s="1" t="s">
        <v>84</v>
      </c>
      <c r="Y23" s="1">
        <v>37900</v>
      </c>
      <c r="Z23" s="97">
        <v>3.4000000000000002E-2</v>
      </c>
      <c r="AA23">
        <v>17</v>
      </c>
    </row>
    <row r="24" spans="1:27" ht="13" x14ac:dyDescent="0.3">
      <c r="A24" s="20" t="s">
        <v>707</v>
      </c>
      <c r="B24" s="20">
        <v>39002</v>
      </c>
      <c r="C24" s="20" t="s">
        <v>728</v>
      </c>
      <c r="D24" s="77" t="s">
        <v>204</v>
      </c>
      <c r="E24" s="77" t="s">
        <v>158</v>
      </c>
      <c r="F24" s="94">
        <v>2319.3000000000002</v>
      </c>
      <c r="G24" s="94">
        <v>0</v>
      </c>
      <c r="H24" s="94">
        <v>0</v>
      </c>
      <c r="I24" s="94">
        <v>0</v>
      </c>
      <c r="J24" s="94">
        <v>2319.3000000000002</v>
      </c>
      <c r="K24" s="94">
        <v>2319.2999999999997</v>
      </c>
      <c r="L24" s="95">
        <v>0</v>
      </c>
      <c r="M24" s="94">
        <v>-439.9899999999995</v>
      </c>
      <c r="N24" s="94">
        <v>-57.959999999999987</v>
      </c>
      <c r="O24" s="94">
        <v>0</v>
      </c>
      <c r="P24" s="94">
        <v>0</v>
      </c>
      <c r="Q24" s="94">
        <v>0</v>
      </c>
      <c r="R24" s="94">
        <v>0</v>
      </c>
      <c r="S24" s="94">
        <v>-497.94999999999948</v>
      </c>
      <c r="T24" s="94">
        <v>-468.96999999999929</v>
      </c>
      <c r="U24" s="95">
        <v>0</v>
      </c>
      <c r="V24" s="96">
        <v>2.5000000000000001E-2</v>
      </c>
      <c r="X24" s="1" t="s">
        <v>84</v>
      </c>
      <c r="Y24" s="1">
        <v>38000</v>
      </c>
      <c r="Z24" s="97">
        <v>6.5999999999999989E-2</v>
      </c>
      <c r="AA24">
        <v>14</v>
      </c>
    </row>
    <row r="25" spans="1:27" ht="13" x14ac:dyDescent="0.3">
      <c r="A25" s="20" t="s">
        <v>707</v>
      </c>
      <c r="B25" s="20">
        <v>39100</v>
      </c>
      <c r="C25" s="20" t="s">
        <v>729</v>
      </c>
      <c r="D25" s="77" t="s">
        <v>205</v>
      </c>
      <c r="E25" s="77" t="s">
        <v>159</v>
      </c>
      <c r="F25" s="94">
        <v>284441.84999999998</v>
      </c>
      <c r="G25" s="94">
        <v>5273.61</v>
      </c>
      <c r="H25" s="94">
        <v>0</v>
      </c>
      <c r="I25" s="94">
        <v>0</v>
      </c>
      <c r="J25" s="94">
        <v>289715.45999999996</v>
      </c>
      <c r="K25" s="94">
        <v>286064.49923076923</v>
      </c>
      <c r="L25" s="95">
        <v>0</v>
      </c>
      <c r="M25" s="94">
        <v>-296989.3900000006</v>
      </c>
      <c r="N25" s="94">
        <v>-19145.910000000003</v>
      </c>
      <c r="O25" s="94">
        <v>0</v>
      </c>
      <c r="P25" s="94">
        <v>0</v>
      </c>
      <c r="Q25" s="94">
        <v>0</v>
      </c>
      <c r="R25" s="94">
        <v>0</v>
      </c>
      <c r="S25" s="94">
        <v>-316135.30000000063</v>
      </c>
      <c r="T25" s="94">
        <v>-306531.76230769296</v>
      </c>
      <c r="U25" s="95">
        <v>0</v>
      </c>
      <c r="V25" s="96">
        <v>6.7000000000000004E-2</v>
      </c>
      <c r="X25" s="1" t="s">
        <v>84</v>
      </c>
      <c r="Y25" s="1">
        <v>38002</v>
      </c>
      <c r="Z25" s="97">
        <v>0.05</v>
      </c>
      <c r="AA25">
        <v>14</v>
      </c>
    </row>
    <row r="26" spans="1:27" ht="13" x14ac:dyDescent="0.3">
      <c r="A26" s="20" t="s">
        <v>707</v>
      </c>
      <c r="B26" s="20">
        <v>39101</v>
      </c>
      <c r="C26" s="20" t="s">
        <v>730</v>
      </c>
      <c r="D26" s="77" t="s">
        <v>206</v>
      </c>
      <c r="E26" s="77" t="s">
        <v>160</v>
      </c>
      <c r="F26" s="94">
        <v>176485.45999999996</v>
      </c>
      <c r="G26" s="94">
        <v>12859.75</v>
      </c>
      <c r="H26" s="94">
        <v>0</v>
      </c>
      <c r="I26" s="94">
        <v>0</v>
      </c>
      <c r="J26" s="94">
        <v>189345.20999999996</v>
      </c>
      <c r="K26" s="94">
        <v>179453.09461538459</v>
      </c>
      <c r="L26" s="95">
        <v>0</v>
      </c>
      <c r="M26" s="94">
        <v>234756.94000000009</v>
      </c>
      <c r="N26" s="94">
        <v>-22328.599999999995</v>
      </c>
      <c r="O26" s="94">
        <v>0</v>
      </c>
      <c r="P26" s="94">
        <v>0</v>
      </c>
      <c r="Q26" s="94">
        <v>0</v>
      </c>
      <c r="R26" s="94">
        <v>0</v>
      </c>
      <c r="S26" s="94">
        <v>212428.34000000008</v>
      </c>
      <c r="T26" s="94">
        <v>223695.68615384618</v>
      </c>
      <c r="U26" s="95">
        <v>0</v>
      </c>
      <c r="V26" s="96">
        <v>0.125</v>
      </c>
      <c r="X26" s="1" t="s">
        <v>84</v>
      </c>
      <c r="Y26" s="1">
        <v>38100</v>
      </c>
      <c r="Z26" s="97">
        <v>5.9000000000000004E-2</v>
      </c>
      <c r="AA26">
        <v>3</v>
      </c>
    </row>
    <row r="27" spans="1:27" ht="13" x14ac:dyDescent="0.3">
      <c r="A27" s="20" t="s">
        <v>707</v>
      </c>
      <c r="B27" s="20">
        <v>39102</v>
      </c>
      <c r="C27" s="20" t="s">
        <v>731</v>
      </c>
      <c r="D27" s="77" t="s">
        <v>207</v>
      </c>
      <c r="E27" s="77" t="s">
        <v>161</v>
      </c>
      <c r="F27" s="94">
        <v>37309.369999999995</v>
      </c>
      <c r="G27" s="94">
        <v>0</v>
      </c>
      <c r="H27" s="94">
        <v>0</v>
      </c>
      <c r="I27" s="94">
        <v>0</v>
      </c>
      <c r="J27" s="94">
        <v>37309.369999999995</v>
      </c>
      <c r="K27" s="94">
        <v>37309.369999999995</v>
      </c>
      <c r="L27" s="95">
        <v>0</v>
      </c>
      <c r="M27" s="94">
        <v>-2604.8199999999997</v>
      </c>
      <c r="N27" s="94">
        <v>-2499.7199999999998</v>
      </c>
      <c r="O27" s="94">
        <v>0</v>
      </c>
      <c r="P27" s="94">
        <v>0</v>
      </c>
      <c r="Q27" s="94">
        <v>0</v>
      </c>
      <c r="R27" s="94">
        <v>0</v>
      </c>
      <c r="S27" s="94">
        <v>-5104.5399999999991</v>
      </c>
      <c r="T27" s="94">
        <v>-3854.68</v>
      </c>
      <c r="U27" s="95">
        <v>0</v>
      </c>
      <c r="V27" s="96">
        <v>6.7000000000000004E-2</v>
      </c>
      <c r="X27" s="1" t="s">
        <v>84</v>
      </c>
      <c r="Y27" s="1"/>
      <c r="Z27" s="97">
        <v>5.8999999999999997E-2</v>
      </c>
      <c r="AA27">
        <v>1</v>
      </c>
    </row>
    <row r="28" spans="1:27" ht="13" x14ac:dyDescent="0.3">
      <c r="A28" s="20" t="s">
        <v>707</v>
      </c>
      <c r="B28" s="20">
        <v>39201</v>
      </c>
      <c r="C28" s="20" t="s">
        <v>732</v>
      </c>
      <c r="D28" s="77" t="s">
        <v>208</v>
      </c>
      <c r="E28" s="77" t="s">
        <v>163</v>
      </c>
      <c r="F28" s="94">
        <v>1458577.6299999994</v>
      </c>
      <c r="G28" s="94">
        <v>213006.62</v>
      </c>
      <c r="H28" s="94">
        <v>0</v>
      </c>
      <c r="I28" s="94">
        <v>0</v>
      </c>
      <c r="J28" s="94">
        <v>1671584.2499999995</v>
      </c>
      <c r="K28" s="94">
        <v>1510130.8130769224</v>
      </c>
      <c r="L28" s="95">
        <v>0</v>
      </c>
      <c r="M28" s="94">
        <v>-657462.09999999963</v>
      </c>
      <c r="N28" s="94">
        <v>-167627.76</v>
      </c>
      <c r="O28" s="94">
        <v>0</v>
      </c>
      <c r="P28" s="94">
        <v>0</v>
      </c>
      <c r="Q28" s="94">
        <v>-9369.83</v>
      </c>
      <c r="R28" s="94">
        <v>0</v>
      </c>
      <c r="S28" s="94">
        <v>-834459.68999999959</v>
      </c>
      <c r="T28" s="94">
        <v>-743688.42076923035</v>
      </c>
      <c r="U28" s="95">
        <v>0</v>
      </c>
      <c r="V28" s="96">
        <v>0.112</v>
      </c>
      <c r="X28" s="1" t="s">
        <v>84</v>
      </c>
      <c r="Y28" s="1">
        <v>38200</v>
      </c>
      <c r="Z28" s="97">
        <v>4.4999999999999998E-2</v>
      </c>
      <c r="AA28">
        <v>14</v>
      </c>
    </row>
    <row r="29" spans="1:27" ht="13" x14ac:dyDescent="0.3">
      <c r="A29" s="20" t="s">
        <v>707</v>
      </c>
      <c r="B29" s="20">
        <v>39202</v>
      </c>
      <c r="C29" s="20" t="s">
        <v>733</v>
      </c>
      <c r="D29" s="77" t="s">
        <v>209</v>
      </c>
      <c r="E29" s="77" t="s">
        <v>164</v>
      </c>
      <c r="F29" s="94">
        <v>754453.31000000017</v>
      </c>
      <c r="G29" s="94">
        <v>166607.44</v>
      </c>
      <c r="H29" s="94">
        <v>-37885.58</v>
      </c>
      <c r="I29" s="94">
        <v>0</v>
      </c>
      <c r="J29" s="94">
        <v>883175.17000000027</v>
      </c>
      <c r="K29" s="94">
        <v>814236.40538461553</v>
      </c>
      <c r="L29" s="95">
        <v>0</v>
      </c>
      <c r="M29" s="94">
        <v>-403413.60999999946</v>
      </c>
      <c r="N29" s="94">
        <v>-102678.41</v>
      </c>
      <c r="O29" s="94">
        <v>37885.58</v>
      </c>
      <c r="P29" s="94">
        <v>0</v>
      </c>
      <c r="Q29" s="94">
        <v>-4215.17</v>
      </c>
      <c r="R29" s="94">
        <v>0</v>
      </c>
      <c r="S29" s="94">
        <v>-472421.6099999994</v>
      </c>
      <c r="T29" s="94">
        <v>-449726.44769230724</v>
      </c>
      <c r="U29" s="95">
        <v>0</v>
      </c>
      <c r="V29" s="96">
        <v>0.127</v>
      </c>
      <c r="X29" s="1" t="s">
        <v>84</v>
      </c>
      <c r="Y29" s="1">
        <v>38300</v>
      </c>
      <c r="Z29" s="97">
        <v>3.5999999999999997E-2</v>
      </c>
      <c r="AA29">
        <v>15</v>
      </c>
    </row>
    <row r="30" spans="1:27" ht="13" x14ac:dyDescent="0.3">
      <c r="A30" s="20" t="s">
        <v>707</v>
      </c>
      <c r="B30" s="20">
        <v>39204</v>
      </c>
      <c r="C30" s="20" t="s">
        <v>734</v>
      </c>
      <c r="D30" s="77" t="s">
        <v>210</v>
      </c>
      <c r="E30" s="77" t="s">
        <v>166</v>
      </c>
      <c r="F30" s="94">
        <v>50784.429999999993</v>
      </c>
      <c r="G30" s="94">
        <v>0</v>
      </c>
      <c r="H30" s="94">
        <v>0</v>
      </c>
      <c r="I30" s="94">
        <v>0</v>
      </c>
      <c r="J30" s="94">
        <v>50784.429999999993</v>
      </c>
      <c r="K30" s="94">
        <v>50784.429999999986</v>
      </c>
      <c r="L30" s="95">
        <v>0</v>
      </c>
      <c r="M30" s="94">
        <v>-41010.679999999986</v>
      </c>
      <c r="N30" s="94">
        <v>-2031.36</v>
      </c>
      <c r="O30" s="94">
        <v>0</v>
      </c>
      <c r="P30" s="94">
        <v>0</v>
      </c>
      <c r="Q30" s="94">
        <v>0</v>
      </c>
      <c r="R30" s="94">
        <v>0</v>
      </c>
      <c r="S30" s="94">
        <v>-43042.039999999986</v>
      </c>
      <c r="T30" s="94">
        <v>-42026.359999999979</v>
      </c>
      <c r="U30" s="95">
        <v>0</v>
      </c>
      <c r="V30" s="96">
        <v>0.04</v>
      </c>
      <c r="X30" s="1" t="s">
        <v>84</v>
      </c>
      <c r="Y30" s="1">
        <v>38400</v>
      </c>
      <c r="Z30" s="97">
        <v>4.4999999999999998E-2</v>
      </c>
      <c r="AA30">
        <v>14</v>
      </c>
    </row>
    <row r="31" spans="1:27" ht="13" x14ac:dyDescent="0.3">
      <c r="A31" s="20" t="s">
        <v>707</v>
      </c>
      <c r="B31" s="20">
        <v>39205</v>
      </c>
      <c r="C31" s="20" t="s">
        <v>735</v>
      </c>
      <c r="D31" s="77" t="s">
        <v>211</v>
      </c>
      <c r="E31" s="77" t="s">
        <v>167</v>
      </c>
      <c r="F31" s="94">
        <v>210140.11</v>
      </c>
      <c r="G31" s="94">
        <v>0</v>
      </c>
      <c r="H31" s="94">
        <v>0</v>
      </c>
      <c r="I31" s="94">
        <v>0</v>
      </c>
      <c r="J31" s="94">
        <v>210140.11</v>
      </c>
      <c r="K31" s="94">
        <v>210140.1099999999</v>
      </c>
      <c r="L31" s="95">
        <v>0</v>
      </c>
      <c r="M31" s="94">
        <v>-166591.47999999963</v>
      </c>
      <c r="N31" s="94">
        <v>-15550.320000000002</v>
      </c>
      <c r="O31" s="94">
        <v>0</v>
      </c>
      <c r="P31" s="94">
        <v>0</v>
      </c>
      <c r="Q31" s="94">
        <v>0</v>
      </c>
      <c r="R31" s="94">
        <v>0</v>
      </c>
      <c r="S31" s="94">
        <v>-182141.79999999964</v>
      </c>
      <c r="T31" s="94">
        <v>-174366.63999999952</v>
      </c>
      <c r="U31" s="95">
        <v>0</v>
      </c>
      <c r="V31" s="96">
        <v>7.3999999999999996E-2</v>
      </c>
      <c r="X31" s="1" t="s">
        <v>84</v>
      </c>
      <c r="Y31" s="1">
        <v>38500</v>
      </c>
      <c r="Z31" s="97">
        <v>3.1E-2</v>
      </c>
      <c r="AA31">
        <v>15</v>
      </c>
    </row>
    <row r="32" spans="1:27" ht="13" x14ac:dyDescent="0.3">
      <c r="A32" s="20" t="s">
        <v>707</v>
      </c>
      <c r="B32" s="20">
        <v>39300</v>
      </c>
      <c r="C32" s="20" t="s">
        <v>736</v>
      </c>
      <c r="D32" s="77" t="s">
        <v>212</v>
      </c>
      <c r="E32" s="77" t="s">
        <v>168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94">
        <v>0</v>
      </c>
      <c r="L32" s="95">
        <v>0</v>
      </c>
      <c r="M32" s="94">
        <v>-1498.1400000000615</v>
      </c>
      <c r="N32" s="94">
        <v>0</v>
      </c>
      <c r="O32" s="94">
        <v>0</v>
      </c>
      <c r="P32" s="94">
        <v>0</v>
      </c>
      <c r="Q32" s="94">
        <v>0</v>
      </c>
      <c r="R32" s="94">
        <v>0</v>
      </c>
      <c r="S32" s="94">
        <v>-1498.1400000000615</v>
      </c>
      <c r="T32" s="94">
        <v>-1498.1400000000615</v>
      </c>
      <c r="U32" s="95">
        <v>0</v>
      </c>
      <c r="V32" s="96">
        <v>0.04</v>
      </c>
      <c r="X32" s="1" t="s">
        <v>84</v>
      </c>
      <c r="Y32" s="1">
        <v>38602</v>
      </c>
      <c r="Z32" s="97">
        <v>6.7000000000000004E-2</v>
      </c>
      <c r="AA32">
        <v>1</v>
      </c>
    </row>
    <row r="33" spans="1:27" ht="13" x14ac:dyDescent="0.3">
      <c r="A33" s="20" t="s">
        <v>707</v>
      </c>
      <c r="B33" s="20">
        <v>39400</v>
      </c>
      <c r="C33" s="20" t="s">
        <v>737</v>
      </c>
      <c r="D33" s="77" t="s">
        <v>213</v>
      </c>
      <c r="E33" s="77" t="s">
        <v>169</v>
      </c>
      <c r="F33" s="94">
        <v>301705.43999999994</v>
      </c>
      <c r="G33" s="94">
        <v>97595.24</v>
      </c>
      <c r="H33" s="94">
        <v>0</v>
      </c>
      <c r="I33" s="94">
        <v>0</v>
      </c>
      <c r="J33" s="94">
        <v>399300.67999999993</v>
      </c>
      <c r="K33" s="94">
        <v>334561.91230769234</v>
      </c>
      <c r="L33" s="95">
        <v>0</v>
      </c>
      <c r="M33" s="94">
        <v>-138516.7100000004</v>
      </c>
      <c r="N33" s="94">
        <v>-21725.05</v>
      </c>
      <c r="O33" s="94">
        <v>0</v>
      </c>
      <c r="P33" s="94">
        <v>0</v>
      </c>
      <c r="Q33" s="94">
        <v>0</v>
      </c>
      <c r="R33" s="94">
        <v>0</v>
      </c>
      <c r="S33" s="94">
        <v>-160241.76000000039</v>
      </c>
      <c r="T33" s="94">
        <v>-148965.61076923113</v>
      </c>
      <c r="U33" s="95">
        <v>0</v>
      </c>
      <c r="V33" s="96">
        <v>6.6000000000000003E-2</v>
      </c>
      <c r="X33" s="1" t="s">
        <v>84</v>
      </c>
      <c r="Y33" s="1">
        <v>38608</v>
      </c>
      <c r="Z33" s="97">
        <v>6.7000000000000004E-2</v>
      </c>
      <c r="AA33">
        <v>1</v>
      </c>
    </row>
    <row r="34" spans="1:27" ht="13" x14ac:dyDescent="0.3">
      <c r="A34" s="20" t="s">
        <v>707</v>
      </c>
      <c r="B34" s="20">
        <v>39401</v>
      </c>
      <c r="C34" s="20" t="s">
        <v>738</v>
      </c>
      <c r="D34" s="77" t="s">
        <v>665</v>
      </c>
      <c r="E34" s="77" t="s">
        <v>666</v>
      </c>
      <c r="F34" s="94">
        <v>0</v>
      </c>
      <c r="G34" s="94">
        <v>7720.92</v>
      </c>
      <c r="H34" s="94">
        <v>0</v>
      </c>
      <c r="I34" s="94">
        <v>0</v>
      </c>
      <c r="J34" s="94">
        <v>7720.92</v>
      </c>
      <c r="K34" s="94">
        <v>7127.0030769230762</v>
      </c>
      <c r="L34" s="95">
        <v>0</v>
      </c>
      <c r="M34" s="94">
        <v>0</v>
      </c>
      <c r="N34" s="94">
        <v>-467.17000000000007</v>
      </c>
      <c r="O34" s="94">
        <v>0</v>
      </c>
      <c r="P34" s="94">
        <v>0</v>
      </c>
      <c r="Q34" s="94">
        <v>0</v>
      </c>
      <c r="R34" s="94">
        <v>0</v>
      </c>
      <c r="S34" s="94">
        <v>-467.17000000000007</v>
      </c>
      <c r="T34" s="94">
        <v>-215.61692307692309</v>
      </c>
      <c r="U34" s="95">
        <v>0</v>
      </c>
      <c r="V34" s="98">
        <v>6.6000000000000003E-2</v>
      </c>
      <c r="W34" s="99"/>
      <c r="X34" s="1" t="s">
        <v>84</v>
      </c>
      <c r="Y34" s="1">
        <v>38700</v>
      </c>
      <c r="Z34" s="97">
        <v>6.3E-2</v>
      </c>
      <c r="AA34">
        <v>15</v>
      </c>
    </row>
    <row r="35" spans="1:27" ht="13" x14ac:dyDescent="0.3">
      <c r="A35" s="20" t="s">
        <v>707</v>
      </c>
      <c r="B35" s="20">
        <v>39500</v>
      </c>
      <c r="C35" s="20" t="s">
        <v>739</v>
      </c>
      <c r="D35" s="77" t="s">
        <v>214</v>
      </c>
      <c r="E35" s="77" t="s">
        <v>170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94">
        <v>0</v>
      </c>
      <c r="L35" s="95">
        <v>0</v>
      </c>
      <c r="M35" s="94">
        <v>13381.33</v>
      </c>
      <c r="N35" s="94">
        <v>0</v>
      </c>
      <c r="O35" s="94">
        <v>0</v>
      </c>
      <c r="P35" s="94">
        <v>0</v>
      </c>
      <c r="Q35" s="94">
        <v>0</v>
      </c>
      <c r="R35" s="94">
        <v>0</v>
      </c>
      <c r="S35" s="94">
        <v>13381.33</v>
      </c>
      <c r="T35" s="94">
        <v>13381.329999999996</v>
      </c>
      <c r="U35" s="95">
        <v>0</v>
      </c>
      <c r="V35" s="96">
        <v>0.05</v>
      </c>
      <c r="X35" s="1" t="s">
        <v>84</v>
      </c>
      <c r="Y35" s="1">
        <v>39000</v>
      </c>
      <c r="Z35" s="97">
        <v>2.5000000000000001E-2</v>
      </c>
      <c r="AA35">
        <v>6</v>
      </c>
    </row>
    <row r="36" spans="1:27" ht="13" x14ac:dyDescent="0.3">
      <c r="A36" s="20" t="s">
        <v>707</v>
      </c>
      <c r="B36" s="20">
        <v>39600</v>
      </c>
      <c r="C36" s="20" t="s">
        <v>740</v>
      </c>
      <c r="D36" s="77" t="s">
        <v>215</v>
      </c>
      <c r="E36" s="77" t="s">
        <v>171</v>
      </c>
      <c r="F36" s="94">
        <v>478971.97</v>
      </c>
      <c r="G36" s="94">
        <v>22316.730000000003</v>
      </c>
      <c r="H36" s="94">
        <v>0</v>
      </c>
      <c r="I36" s="94">
        <v>0</v>
      </c>
      <c r="J36" s="94">
        <v>501288.69999999995</v>
      </c>
      <c r="K36" s="94">
        <v>499365.11307692307</v>
      </c>
      <c r="L36" s="95">
        <v>0</v>
      </c>
      <c r="M36" s="94">
        <v>-296047.8500000005</v>
      </c>
      <c r="N36" s="94">
        <v>-31949.160000000003</v>
      </c>
      <c r="O36" s="94">
        <v>0</v>
      </c>
      <c r="P36" s="94">
        <v>0</v>
      </c>
      <c r="Q36" s="94">
        <v>0</v>
      </c>
      <c r="R36" s="94">
        <v>0</v>
      </c>
      <c r="S36" s="94">
        <v>-327997.01000000047</v>
      </c>
      <c r="T36" s="94">
        <v>-311972.0753846158</v>
      </c>
      <c r="U36" s="95">
        <v>0</v>
      </c>
      <c r="V36" s="96">
        <v>6.4000000000000001E-2</v>
      </c>
      <c r="X36" s="1" t="s">
        <v>84</v>
      </c>
      <c r="Y36" s="1">
        <v>39002</v>
      </c>
      <c r="Z36" s="97">
        <v>2.5000000000000001E-2</v>
      </c>
      <c r="AA36">
        <v>6</v>
      </c>
    </row>
    <row r="37" spans="1:27" ht="13" x14ac:dyDescent="0.3">
      <c r="A37" s="20" t="s">
        <v>707</v>
      </c>
      <c r="B37" s="20">
        <v>39700</v>
      </c>
      <c r="C37" s="20" t="s">
        <v>741</v>
      </c>
      <c r="D37" s="77" t="s">
        <v>216</v>
      </c>
      <c r="E37" s="77" t="s">
        <v>172</v>
      </c>
      <c r="F37" s="94">
        <v>273814.41000000003</v>
      </c>
      <c r="G37" s="94">
        <v>0</v>
      </c>
      <c r="H37" s="94">
        <v>0</v>
      </c>
      <c r="I37" s="94">
        <v>0</v>
      </c>
      <c r="J37" s="94">
        <v>273814.41000000003</v>
      </c>
      <c r="K37" s="94">
        <v>273814.41000000009</v>
      </c>
      <c r="L37" s="95">
        <v>0</v>
      </c>
      <c r="M37" s="94">
        <v>-374991.63000000134</v>
      </c>
      <c r="N37" s="94">
        <v>-23000.400000000005</v>
      </c>
      <c r="O37" s="94">
        <v>0</v>
      </c>
      <c r="P37" s="94">
        <v>0</v>
      </c>
      <c r="Q37" s="94">
        <v>0</v>
      </c>
      <c r="R37" s="94">
        <v>0</v>
      </c>
      <c r="S37" s="94">
        <v>-397992.03000000137</v>
      </c>
      <c r="T37" s="94">
        <v>-386491.83000000136</v>
      </c>
      <c r="U37" s="95">
        <v>0</v>
      </c>
      <c r="V37" s="96">
        <v>8.4000000000000005E-2</v>
      </c>
      <c r="X37" s="1" t="s">
        <v>84</v>
      </c>
      <c r="Y37" s="1">
        <v>39100</v>
      </c>
      <c r="Z37" s="97">
        <v>6.7000000000000004E-2</v>
      </c>
      <c r="AA37">
        <v>16</v>
      </c>
    </row>
    <row r="38" spans="1:27" ht="13" x14ac:dyDescent="0.3">
      <c r="A38" s="20" t="s">
        <v>707</v>
      </c>
      <c r="B38" s="20">
        <v>39800</v>
      </c>
      <c r="C38" s="20" t="s">
        <v>742</v>
      </c>
      <c r="D38" s="77" t="s">
        <v>217</v>
      </c>
      <c r="E38" s="77" t="s">
        <v>173</v>
      </c>
      <c r="F38" s="94">
        <v>69747.390000000014</v>
      </c>
      <c r="G38" s="94">
        <v>16046.76</v>
      </c>
      <c r="H38" s="94">
        <v>0</v>
      </c>
      <c r="I38" s="94">
        <v>0</v>
      </c>
      <c r="J38" s="94">
        <v>85794.150000000009</v>
      </c>
      <c r="K38" s="94">
        <v>81351.771538461559</v>
      </c>
      <c r="L38" s="95">
        <v>0</v>
      </c>
      <c r="M38" s="94">
        <v>-23935.149999999958</v>
      </c>
      <c r="N38" s="94">
        <v>-4777.8999999999996</v>
      </c>
      <c r="O38" s="94">
        <v>0</v>
      </c>
      <c r="P38" s="94">
        <v>0</v>
      </c>
      <c r="Q38" s="94">
        <v>0</v>
      </c>
      <c r="R38" s="94">
        <v>0</v>
      </c>
      <c r="S38" s="94">
        <v>-28713.049999999959</v>
      </c>
      <c r="T38" s="94">
        <v>-26274.94692307687</v>
      </c>
      <c r="U38" s="95">
        <v>0</v>
      </c>
      <c r="V38" s="96">
        <v>5.8999999999999997E-2</v>
      </c>
      <c r="X38" s="1" t="s">
        <v>84</v>
      </c>
      <c r="Y38" s="1">
        <v>39101</v>
      </c>
      <c r="Z38" s="97">
        <v>0.125</v>
      </c>
      <c r="AA38">
        <v>16</v>
      </c>
    </row>
    <row r="39" spans="1:27" ht="13" x14ac:dyDescent="0.3">
      <c r="A39" s="20" t="s">
        <v>743</v>
      </c>
      <c r="B39" s="20">
        <v>10500</v>
      </c>
      <c r="C39" s="20" t="s">
        <v>744</v>
      </c>
      <c r="D39" s="77" t="s">
        <v>667</v>
      </c>
      <c r="E39" s="77" t="s">
        <v>709</v>
      </c>
      <c r="F39" s="94">
        <v>2755679.11</v>
      </c>
      <c r="G39" s="211">
        <v>-1045082.24</v>
      </c>
      <c r="H39" s="94">
        <v>0</v>
      </c>
      <c r="I39" s="211"/>
      <c r="J39" s="94">
        <v>1710596.8699999999</v>
      </c>
      <c r="K39" s="94">
        <v>2192942.5192307695</v>
      </c>
      <c r="L39" s="95">
        <v>0</v>
      </c>
      <c r="M39" s="94">
        <v>0</v>
      </c>
      <c r="N39" s="94">
        <v>0</v>
      </c>
      <c r="O39" s="94">
        <v>0</v>
      </c>
      <c r="P39" s="94">
        <v>0</v>
      </c>
      <c r="Q39" s="94">
        <v>0</v>
      </c>
      <c r="R39" s="94">
        <v>0</v>
      </c>
      <c r="S39" s="94">
        <v>0</v>
      </c>
      <c r="T39" s="94">
        <v>0</v>
      </c>
      <c r="U39" s="95">
        <v>0</v>
      </c>
      <c r="V39" s="96">
        <v>0</v>
      </c>
      <c r="X39" s="1" t="s">
        <v>84</v>
      </c>
      <c r="Y39" s="1">
        <v>39102</v>
      </c>
      <c r="Z39" s="97">
        <v>6.7000000000000004E-2</v>
      </c>
      <c r="AA39">
        <v>16</v>
      </c>
    </row>
    <row r="40" spans="1:27" ht="13" x14ac:dyDescent="0.3">
      <c r="A40" s="20" t="s">
        <v>743</v>
      </c>
      <c r="B40" s="20">
        <v>30301</v>
      </c>
      <c r="C40" s="20" t="s">
        <v>745</v>
      </c>
      <c r="D40" s="77" t="s">
        <v>218</v>
      </c>
      <c r="E40" s="77" t="s">
        <v>141</v>
      </c>
      <c r="F40" s="94">
        <v>76452.19</v>
      </c>
      <c r="G40" s="94">
        <v>16097.85</v>
      </c>
      <c r="H40" s="94">
        <v>-76452.19</v>
      </c>
      <c r="I40" s="94">
        <v>0</v>
      </c>
      <c r="J40" s="94">
        <v>16097.850000000006</v>
      </c>
      <c r="K40" s="94">
        <v>15265.929230769232</v>
      </c>
      <c r="L40" s="95">
        <v>0</v>
      </c>
      <c r="M40" s="94">
        <v>-76452.19</v>
      </c>
      <c r="N40" s="94">
        <v>-164.45999999999998</v>
      </c>
      <c r="O40" s="94">
        <v>76452.19</v>
      </c>
      <c r="P40" s="94">
        <v>0</v>
      </c>
      <c r="Q40" s="94">
        <v>0</v>
      </c>
      <c r="R40" s="94">
        <v>0</v>
      </c>
      <c r="S40" s="94">
        <v>-164.4600000000064</v>
      </c>
      <c r="T40" s="94">
        <v>-11783.131538461537</v>
      </c>
      <c r="U40" s="95">
        <v>6.4233063312713057E-12</v>
      </c>
      <c r="V40" s="96">
        <v>6.7000000000000004E-2</v>
      </c>
      <c r="X40" s="1" t="s">
        <v>84</v>
      </c>
      <c r="Y40" s="1">
        <v>39103</v>
      </c>
      <c r="Z40" s="97">
        <v>0</v>
      </c>
      <c r="AA40">
        <v>2</v>
      </c>
    </row>
    <row r="41" spans="1:27" ht="13" x14ac:dyDescent="0.3">
      <c r="A41" s="20" t="s">
        <v>743</v>
      </c>
      <c r="B41" s="20">
        <v>37400</v>
      </c>
      <c r="C41" s="20" t="s">
        <v>746</v>
      </c>
      <c r="D41" s="77" t="s">
        <v>219</v>
      </c>
      <c r="E41" s="77" t="s">
        <v>142</v>
      </c>
      <c r="F41" s="94">
        <v>345690.18999999994</v>
      </c>
      <c r="G41" s="94">
        <v>7219691.79</v>
      </c>
      <c r="H41" s="94">
        <v>0</v>
      </c>
      <c r="I41" s="94">
        <v>0</v>
      </c>
      <c r="J41" s="94">
        <v>7565381.9800000004</v>
      </c>
      <c r="K41" s="94">
        <v>5180061.0523076914</v>
      </c>
      <c r="L41" s="95">
        <v>0</v>
      </c>
      <c r="M41" s="94">
        <v>0</v>
      </c>
      <c r="N41" s="94">
        <v>0</v>
      </c>
      <c r="O41" s="94">
        <v>0</v>
      </c>
      <c r="P41" s="94">
        <v>0</v>
      </c>
      <c r="Q41" s="94">
        <v>0</v>
      </c>
      <c r="R41" s="94">
        <v>0</v>
      </c>
      <c r="S41" s="94">
        <v>0</v>
      </c>
      <c r="T41" s="94">
        <v>0</v>
      </c>
      <c r="U41" s="95">
        <v>0</v>
      </c>
      <c r="V41" s="96">
        <v>0</v>
      </c>
      <c r="X41" s="1" t="s">
        <v>84</v>
      </c>
      <c r="Y41" s="1">
        <v>39201</v>
      </c>
      <c r="Z41" s="97">
        <v>0.112</v>
      </c>
      <c r="AA41">
        <v>15</v>
      </c>
    </row>
    <row r="42" spans="1:27" ht="13" x14ac:dyDescent="0.3">
      <c r="A42" s="20" t="s">
        <v>743</v>
      </c>
      <c r="B42" s="20">
        <v>37500</v>
      </c>
      <c r="C42" s="20" t="s">
        <v>747</v>
      </c>
      <c r="D42" s="77" t="s">
        <v>220</v>
      </c>
      <c r="E42" s="77" t="s">
        <v>144</v>
      </c>
      <c r="F42" s="94">
        <v>3272386.9900000007</v>
      </c>
      <c r="G42" s="94">
        <v>0</v>
      </c>
      <c r="H42" s="94">
        <v>0</v>
      </c>
      <c r="I42" s="94">
        <v>0</v>
      </c>
      <c r="J42" s="94">
        <v>3272386.9900000007</v>
      </c>
      <c r="K42" s="94">
        <v>3272386.9900000016</v>
      </c>
      <c r="L42" s="95">
        <v>0</v>
      </c>
      <c r="M42" s="94">
        <v>-1262200.0399999982</v>
      </c>
      <c r="N42" s="94">
        <v>-81809.64</v>
      </c>
      <c r="O42" s="94">
        <v>0</v>
      </c>
      <c r="P42" s="94">
        <v>0</v>
      </c>
      <c r="Q42" s="94">
        <v>0</v>
      </c>
      <c r="R42" s="94">
        <v>0</v>
      </c>
      <c r="S42" s="94">
        <v>-1344009.6799999981</v>
      </c>
      <c r="T42" s="94">
        <v>-1303104.859999998</v>
      </c>
      <c r="U42" s="95">
        <v>0</v>
      </c>
      <c r="V42" s="96">
        <v>2.5000000000000001E-2</v>
      </c>
      <c r="X42" s="1" t="s">
        <v>84</v>
      </c>
      <c r="Y42" s="1">
        <v>39202</v>
      </c>
      <c r="Z42" s="97">
        <v>0.127</v>
      </c>
      <c r="AA42">
        <v>15</v>
      </c>
    </row>
    <row r="43" spans="1:27" ht="13" x14ac:dyDescent="0.3">
      <c r="A43" s="20" t="s">
        <v>743</v>
      </c>
      <c r="B43" s="20">
        <v>37600</v>
      </c>
      <c r="C43" s="20" t="s">
        <v>748</v>
      </c>
      <c r="D43" s="77" t="s">
        <v>221</v>
      </c>
      <c r="E43" s="77" t="s">
        <v>145</v>
      </c>
      <c r="F43" s="94">
        <v>52168641.30999998</v>
      </c>
      <c r="G43" s="94">
        <v>1221772.1000000001</v>
      </c>
      <c r="H43" s="94">
        <v>-356440.39999999997</v>
      </c>
      <c r="I43" s="94">
        <v>0</v>
      </c>
      <c r="J43" s="94">
        <v>53033973.009999983</v>
      </c>
      <c r="K43" s="94">
        <v>52481185.950769201</v>
      </c>
      <c r="L43" s="95">
        <v>0</v>
      </c>
      <c r="M43" s="94">
        <v>-26946594.149999991</v>
      </c>
      <c r="N43" s="94">
        <v>-2202275.04</v>
      </c>
      <c r="O43" s="94">
        <v>356440.39999999997</v>
      </c>
      <c r="P43" s="94">
        <v>375113.98</v>
      </c>
      <c r="Q43" s="94">
        <v>45.150000000000091</v>
      </c>
      <c r="R43" s="94">
        <v>0</v>
      </c>
      <c r="S43" s="94">
        <v>-28417269.659999993</v>
      </c>
      <c r="T43" s="94">
        <v>-27691461.802307691</v>
      </c>
      <c r="U43" s="95">
        <v>0</v>
      </c>
      <c r="V43" s="96">
        <v>4.2000000000000003E-2</v>
      </c>
      <c r="X43" s="1" t="s">
        <v>84</v>
      </c>
      <c r="Y43" s="1">
        <v>39203</v>
      </c>
      <c r="Z43" s="97">
        <v>1.7000000000000001E-2</v>
      </c>
      <c r="AA43">
        <v>1</v>
      </c>
    </row>
    <row r="44" spans="1:27" ht="13" x14ac:dyDescent="0.3">
      <c r="A44" s="20" t="s">
        <v>743</v>
      </c>
      <c r="B44" s="20">
        <v>37602</v>
      </c>
      <c r="C44" s="20" t="s">
        <v>749</v>
      </c>
      <c r="D44" s="77" t="s">
        <v>222</v>
      </c>
      <c r="E44" s="77" t="s">
        <v>146</v>
      </c>
      <c r="F44" s="94">
        <v>56352685.519999973</v>
      </c>
      <c r="G44" s="94">
        <v>7100914.2300000004</v>
      </c>
      <c r="H44" s="94">
        <v>-113025.02</v>
      </c>
      <c r="I44" s="94">
        <v>0</v>
      </c>
      <c r="J44" s="94">
        <v>63340574.729999967</v>
      </c>
      <c r="K44" s="94">
        <v>59542935.949230738</v>
      </c>
      <c r="L44" s="95">
        <v>0</v>
      </c>
      <c r="M44" s="94">
        <v>-17520847.77</v>
      </c>
      <c r="N44" s="94">
        <v>-1836020.4499999997</v>
      </c>
      <c r="O44" s="94">
        <v>113025.02</v>
      </c>
      <c r="P44" s="94">
        <v>128649.48999999995</v>
      </c>
      <c r="Q44" s="94">
        <v>-56.019999999999982</v>
      </c>
      <c r="R44" s="94">
        <v>0</v>
      </c>
      <c r="S44" s="94">
        <v>-19115249.73</v>
      </c>
      <c r="T44" s="94">
        <v>-18328624.352307692</v>
      </c>
      <c r="U44" s="95">
        <v>0</v>
      </c>
      <c r="V44" s="96">
        <v>3.1E-2</v>
      </c>
      <c r="X44" s="1" t="s">
        <v>84</v>
      </c>
      <c r="Y44" s="1">
        <v>39204</v>
      </c>
      <c r="Z44" s="97">
        <v>0.04</v>
      </c>
      <c r="AA44">
        <v>15</v>
      </c>
    </row>
    <row r="45" spans="1:27" ht="13" x14ac:dyDescent="0.3">
      <c r="A45" s="20" t="s">
        <v>743</v>
      </c>
      <c r="B45" s="20">
        <v>37602</v>
      </c>
      <c r="C45" s="20" t="s">
        <v>749</v>
      </c>
      <c r="D45" s="77" t="s">
        <v>223</v>
      </c>
      <c r="E45" s="77" t="s">
        <v>146</v>
      </c>
      <c r="F45" s="94">
        <v>0</v>
      </c>
      <c r="G45" s="94">
        <v>0</v>
      </c>
      <c r="H45" s="94">
        <v>0</v>
      </c>
      <c r="I45" s="94">
        <v>0</v>
      </c>
      <c r="J45" s="94">
        <v>0</v>
      </c>
      <c r="K45" s="94">
        <v>0</v>
      </c>
      <c r="L45" s="95">
        <v>0</v>
      </c>
      <c r="M45" s="94">
        <v>0</v>
      </c>
      <c r="N45" s="94">
        <v>0</v>
      </c>
      <c r="O45" s="94">
        <v>0</v>
      </c>
      <c r="P45" s="94">
        <v>0</v>
      </c>
      <c r="Q45" s="94">
        <v>0</v>
      </c>
      <c r="R45" s="94">
        <v>0</v>
      </c>
      <c r="S45" s="94">
        <v>0</v>
      </c>
      <c r="T45" s="94">
        <v>0</v>
      </c>
      <c r="U45" s="95">
        <v>0</v>
      </c>
      <c r="V45" s="96">
        <v>3.1E-2</v>
      </c>
      <c r="Y45" s="1">
        <v>39205</v>
      </c>
      <c r="Z45" s="97">
        <v>7.3999999999999996E-2</v>
      </c>
      <c r="AA45">
        <v>13</v>
      </c>
    </row>
    <row r="46" spans="1:27" ht="13" x14ac:dyDescent="0.3">
      <c r="A46" s="20" t="s">
        <v>743</v>
      </c>
      <c r="B46" s="20">
        <v>37602</v>
      </c>
      <c r="C46" s="20" t="s">
        <v>749</v>
      </c>
      <c r="D46" s="77" t="s">
        <v>224</v>
      </c>
      <c r="E46" s="77" t="s">
        <v>146</v>
      </c>
      <c r="F46" s="94">
        <v>0</v>
      </c>
      <c r="G46" s="94">
        <v>0</v>
      </c>
      <c r="H46" s="94">
        <v>0</v>
      </c>
      <c r="I46" s="94">
        <v>0</v>
      </c>
      <c r="J46" s="94">
        <v>0</v>
      </c>
      <c r="K46" s="94">
        <v>0</v>
      </c>
      <c r="L46" s="95">
        <v>0</v>
      </c>
      <c r="M46" s="94">
        <v>0</v>
      </c>
      <c r="N46" s="94">
        <v>0</v>
      </c>
      <c r="O46" s="94">
        <v>0</v>
      </c>
      <c r="P46" s="94">
        <v>0</v>
      </c>
      <c r="Q46" s="94">
        <v>0</v>
      </c>
      <c r="R46" s="94">
        <v>0</v>
      </c>
      <c r="S46" s="94">
        <v>0</v>
      </c>
      <c r="T46" s="94">
        <v>0</v>
      </c>
      <c r="U46" s="95">
        <v>0</v>
      </c>
      <c r="V46" s="96">
        <v>3.1E-2</v>
      </c>
      <c r="Y46" s="1">
        <v>39300</v>
      </c>
      <c r="Z46" s="97">
        <v>0.04</v>
      </c>
      <c r="AA46">
        <v>10</v>
      </c>
    </row>
    <row r="47" spans="1:27" ht="13" x14ac:dyDescent="0.3">
      <c r="A47" s="20" t="s">
        <v>743</v>
      </c>
      <c r="B47" s="20">
        <v>37800</v>
      </c>
      <c r="C47" s="20" t="s">
        <v>750</v>
      </c>
      <c r="D47" s="77" t="s">
        <v>225</v>
      </c>
      <c r="E47" s="77" t="s">
        <v>147</v>
      </c>
      <c r="F47" s="94">
        <v>1741360.5500000003</v>
      </c>
      <c r="G47" s="94">
        <v>670369.7699999999</v>
      </c>
      <c r="H47" s="94">
        <v>-10351.200000000001</v>
      </c>
      <c r="I47" s="94">
        <v>0</v>
      </c>
      <c r="J47" s="94">
        <v>2401379.12</v>
      </c>
      <c r="K47" s="94">
        <v>2001039.3500000003</v>
      </c>
      <c r="L47" s="95">
        <v>0</v>
      </c>
      <c r="M47" s="94">
        <v>-401247.18000000023</v>
      </c>
      <c r="N47" s="94">
        <v>-66901.06</v>
      </c>
      <c r="O47" s="94">
        <v>10351.200000000001</v>
      </c>
      <c r="P47" s="94">
        <v>11633.279999999999</v>
      </c>
      <c r="Q47" s="94">
        <v>0</v>
      </c>
      <c r="R47" s="94">
        <v>0</v>
      </c>
      <c r="S47" s="94">
        <v>-446163.76000000024</v>
      </c>
      <c r="T47" s="94">
        <v>-420439.77000000019</v>
      </c>
      <c r="U47" s="95">
        <v>0</v>
      </c>
      <c r="V47" s="96">
        <v>3.4000000000000002E-2</v>
      </c>
      <c r="Y47" s="1">
        <v>39400</v>
      </c>
      <c r="Z47" s="97">
        <v>6.6000000000000003E-2</v>
      </c>
      <c r="AA47">
        <v>17</v>
      </c>
    </row>
    <row r="48" spans="1:27" ht="13" x14ac:dyDescent="0.3">
      <c r="A48" s="20" t="s">
        <v>743</v>
      </c>
      <c r="B48" s="20">
        <v>37900</v>
      </c>
      <c r="C48" s="20" t="s">
        <v>751</v>
      </c>
      <c r="D48" s="77" t="s">
        <v>226</v>
      </c>
      <c r="E48" s="77" t="s">
        <v>148</v>
      </c>
      <c r="F48" s="94">
        <v>1791463.6</v>
      </c>
      <c r="G48" s="94">
        <v>44656.679999999993</v>
      </c>
      <c r="H48" s="94">
        <v>0</v>
      </c>
      <c r="I48" s="94">
        <v>0</v>
      </c>
      <c r="J48" s="94">
        <v>1836120.28</v>
      </c>
      <c r="K48" s="94">
        <v>1816038.4053846155</v>
      </c>
      <c r="L48" s="95">
        <v>0</v>
      </c>
      <c r="M48" s="94">
        <v>-699399.35999999882</v>
      </c>
      <c r="N48" s="94">
        <v>-61688.449999999983</v>
      </c>
      <c r="O48" s="94">
        <v>0</v>
      </c>
      <c r="P48" s="94">
        <v>0</v>
      </c>
      <c r="Q48" s="94">
        <v>0</v>
      </c>
      <c r="R48" s="94">
        <v>0</v>
      </c>
      <c r="S48" s="94">
        <v>-761087.80999999878</v>
      </c>
      <c r="T48" s="94">
        <v>-730072.10307692166</v>
      </c>
      <c r="U48" s="95">
        <v>0</v>
      </c>
      <c r="V48" s="96">
        <v>3.4000000000000002E-2</v>
      </c>
      <c r="Y48" s="1">
        <v>39401</v>
      </c>
      <c r="Z48" s="97">
        <v>6.6000000000000003E-2</v>
      </c>
      <c r="AA48">
        <v>1</v>
      </c>
    </row>
    <row r="49" spans="1:27" ht="13" x14ac:dyDescent="0.3">
      <c r="A49" s="20" t="s">
        <v>743</v>
      </c>
      <c r="B49" s="20">
        <v>38000</v>
      </c>
      <c r="C49" s="20" t="s">
        <v>752</v>
      </c>
      <c r="D49" s="77" t="s">
        <v>227</v>
      </c>
      <c r="E49" s="77" t="s">
        <v>149</v>
      </c>
      <c r="F49" s="94">
        <v>10457270.840000005</v>
      </c>
      <c r="G49" s="94">
        <v>387355.80000000005</v>
      </c>
      <c r="H49" s="94">
        <v>-58225.43</v>
      </c>
      <c r="I49" s="94">
        <v>0</v>
      </c>
      <c r="J49" s="94">
        <v>10786401.210000006</v>
      </c>
      <c r="K49" s="94">
        <v>10630924.892307697</v>
      </c>
      <c r="L49" s="95">
        <v>0</v>
      </c>
      <c r="M49" s="94">
        <v>-12180320.040000003</v>
      </c>
      <c r="N49" s="94">
        <v>-700785.91</v>
      </c>
      <c r="O49" s="94">
        <v>58225.43</v>
      </c>
      <c r="P49" s="94">
        <v>162783.94</v>
      </c>
      <c r="Q49" s="94">
        <v>6.3499999999999943</v>
      </c>
      <c r="R49" s="94">
        <v>0</v>
      </c>
      <c r="S49" s="94">
        <v>-12660090.230000004</v>
      </c>
      <c r="T49" s="94">
        <v>-12440792.833846161</v>
      </c>
      <c r="U49" s="95">
        <v>0</v>
      </c>
      <c r="V49" s="96">
        <v>6.5999999999999989E-2</v>
      </c>
      <c r="Y49" s="1">
        <v>39500</v>
      </c>
      <c r="Z49" s="97">
        <v>0.05</v>
      </c>
      <c r="AA49">
        <v>4</v>
      </c>
    </row>
    <row r="50" spans="1:27" ht="13" x14ac:dyDescent="0.3">
      <c r="A50" s="20" t="s">
        <v>743</v>
      </c>
      <c r="B50" s="20">
        <v>38002</v>
      </c>
      <c r="C50" s="20" t="s">
        <v>753</v>
      </c>
      <c r="D50" s="77" t="s">
        <v>228</v>
      </c>
      <c r="E50" s="77" t="s">
        <v>150</v>
      </c>
      <c r="F50" s="94">
        <v>36714890.490000002</v>
      </c>
      <c r="G50" s="94">
        <v>2252698.04</v>
      </c>
      <c r="H50" s="94">
        <v>-69285.350000000006</v>
      </c>
      <c r="I50" s="94">
        <v>0</v>
      </c>
      <c r="J50" s="94">
        <v>38898303.18</v>
      </c>
      <c r="K50" s="94">
        <v>37758686.129999995</v>
      </c>
      <c r="L50" s="95">
        <v>0</v>
      </c>
      <c r="M50" s="94">
        <v>-19234500.760000009</v>
      </c>
      <c r="N50" s="94">
        <v>-1883185.88</v>
      </c>
      <c r="O50" s="94">
        <v>69285.350000000006</v>
      </c>
      <c r="P50" s="94">
        <v>131016.02999999996</v>
      </c>
      <c r="Q50" s="94">
        <v>4.5199999999999818</v>
      </c>
      <c r="R50" s="94">
        <v>0</v>
      </c>
      <c r="S50" s="94">
        <v>-20917380.740000006</v>
      </c>
      <c r="T50" s="94">
        <v>-20083452.460000023</v>
      </c>
      <c r="U50" s="95">
        <v>0</v>
      </c>
      <c r="V50" s="96">
        <v>0.05</v>
      </c>
      <c r="Y50" s="1">
        <v>39600</v>
      </c>
      <c r="Z50" s="97">
        <v>6.4000000000000001E-2</v>
      </c>
      <c r="AA50">
        <v>15</v>
      </c>
    </row>
    <row r="51" spans="1:27" ht="13" x14ac:dyDescent="0.3">
      <c r="A51" s="20" t="s">
        <v>743</v>
      </c>
      <c r="B51" s="20">
        <v>38200</v>
      </c>
      <c r="C51" s="20" t="s">
        <v>754</v>
      </c>
      <c r="D51" s="77" t="s">
        <v>229</v>
      </c>
      <c r="E51" s="77" t="s">
        <v>152</v>
      </c>
      <c r="F51" s="94">
        <v>9282917.4699999988</v>
      </c>
      <c r="G51" s="94">
        <v>290750.86</v>
      </c>
      <c r="H51" s="94">
        <v>-62829.33</v>
      </c>
      <c r="I51" s="94">
        <v>0</v>
      </c>
      <c r="J51" s="94">
        <v>9510838.9999999981</v>
      </c>
      <c r="K51" s="94">
        <v>9384534.8469230775</v>
      </c>
      <c r="L51" s="95">
        <v>0</v>
      </c>
      <c r="M51" s="94">
        <v>-5746156.1400000006</v>
      </c>
      <c r="N51" s="94">
        <v>-421830.43999999994</v>
      </c>
      <c r="O51" s="94">
        <v>62829.33</v>
      </c>
      <c r="P51" s="94">
        <v>18252.95</v>
      </c>
      <c r="Q51" s="94">
        <v>0</v>
      </c>
      <c r="R51" s="94">
        <v>0</v>
      </c>
      <c r="S51" s="94">
        <v>-6086904.2999999998</v>
      </c>
      <c r="T51" s="94">
        <v>-5920157.884615385</v>
      </c>
      <c r="U51" s="95">
        <v>0</v>
      </c>
      <c r="V51" s="96">
        <v>4.4999999999999998E-2</v>
      </c>
      <c r="Y51" s="1">
        <v>39700</v>
      </c>
      <c r="Z51" s="97">
        <v>8.4000000000000005E-2</v>
      </c>
      <c r="AA51">
        <v>16</v>
      </c>
    </row>
    <row r="52" spans="1:27" ht="13" x14ac:dyDescent="0.3">
      <c r="A52" s="20" t="s">
        <v>743</v>
      </c>
      <c r="B52" s="20">
        <v>38300</v>
      </c>
      <c r="C52" s="20" t="s">
        <v>755</v>
      </c>
      <c r="D52" s="77" t="s">
        <v>230</v>
      </c>
      <c r="E52" s="77" t="s">
        <v>153</v>
      </c>
      <c r="F52" s="94">
        <v>2338585.370000002</v>
      </c>
      <c r="G52" s="94">
        <v>50285.600000000006</v>
      </c>
      <c r="H52" s="94">
        <v>-23467.360000000001</v>
      </c>
      <c r="I52" s="94">
        <v>0</v>
      </c>
      <c r="J52" s="94">
        <v>2365403.6100000022</v>
      </c>
      <c r="K52" s="94">
        <v>2374642.3123076945</v>
      </c>
      <c r="L52" s="95">
        <v>0</v>
      </c>
      <c r="M52" s="94">
        <v>-836624.60999999987</v>
      </c>
      <c r="N52" s="94">
        <v>-85514.83</v>
      </c>
      <c r="O52" s="94">
        <v>23467.360000000001</v>
      </c>
      <c r="P52" s="94">
        <v>0</v>
      </c>
      <c r="Q52" s="94">
        <v>0</v>
      </c>
      <c r="R52" s="94">
        <v>0</v>
      </c>
      <c r="S52" s="94">
        <v>-898672.07999999984</v>
      </c>
      <c r="T52" s="94">
        <v>-877417.11615384615</v>
      </c>
      <c r="U52" s="95">
        <v>0</v>
      </c>
      <c r="V52" s="96">
        <v>3.5999999999999997E-2</v>
      </c>
      <c r="Y52" s="1">
        <v>39800</v>
      </c>
      <c r="Z52" s="97">
        <v>5.8999999999999997E-2</v>
      </c>
      <c r="AA52">
        <v>15</v>
      </c>
    </row>
    <row r="53" spans="1:27" ht="13" x14ac:dyDescent="0.3">
      <c r="A53" s="20" t="s">
        <v>743</v>
      </c>
      <c r="B53" s="20">
        <v>38400</v>
      </c>
      <c r="C53" s="20" t="s">
        <v>756</v>
      </c>
      <c r="D53" s="77" t="s">
        <v>231</v>
      </c>
      <c r="E53" s="77" t="s">
        <v>154</v>
      </c>
      <c r="F53" s="94">
        <v>3620961.5099999988</v>
      </c>
      <c r="G53" s="94">
        <v>96945.13</v>
      </c>
      <c r="H53" s="94">
        <v>-26300.11</v>
      </c>
      <c r="I53" s="94">
        <v>0</v>
      </c>
      <c r="J53" s="94">
        <v>3691606.5299999989</v>
      </c>
      <c r="K53" s="94">
        <v>3666490.939230768</v>
      </c>
      <c r="L53" s="95">
        <v>0</v>
      </c>
      <c r="M53" s="94">
        <v>-2276872.2700000005</v>
      </c>
      <c r="N53" s="94">
        <v>-164897.92000000001</v>
      </c>
      <c r="O53" s="94">
        <v>26300.11</v>
      </c>
      <c r="P53" s="94">
        <v>17172.830000000002</v>
      </c>
      <c r="Q53" s="94">
        <v>0</v>
      </c>
      <c r="R53" s="94">
        <v>0</v>
      </c>
      <c r="S53" s="94">
        <v>-2398297.2500000005</v>
      </c>
      <c r="T53" s="94">
        <v>-2338957.751538462</v>
      </c>
      <c r="U53" s="95">
        <v>0</v>
      </c>
      <c r="V53" s="96">
        <v>4.4999999999999998E-2</v>
      </c>
      <c r="Y53" s="1">
        <v>39900</v>
      </c>
      <c r="Z53" s="97">
        <v>0</v>
      </c>
      <c r="AA53">
        <v>1</v>
      </c>
    </row>
    <row r="54" spans="1:27" ht="13" x14ac:dyDescent="0.3">
      <c r="A54" s="20" t="s">
        <v>743</v>
      </c>
      <c r="B54" s="20">
        <v>38500</v>
      </c>
      <c r="C54" s="20" t="s">
        <v>757</v>
      </c>
      <c r="D54" s="77" t="s">
        <v>232</v>
      </c>
      <c r="E54" s="77" t="s">
        <v>155</v>
      </c>
      <c r="F54" s="94">
        <v>1100892.1100000003</v>
      </c>
      <c r="G54" s="94">
        <v>0</v>
      </c>
      <c r="H54" s="94">
        <v>-3207.09</v>
      </c>
      <c r="I54" s="94">
        <v>0</v>
      </c>
      <c r="J54" s="94">
        <v>1097685.0200000003</v>
      </c>
      <c r="K54" s="94">
        <v>1100152.0107692315</v>
      </c>
      <c r="L54" s="95">
        <v>0</v>
      </c>
      <c r="M54" s="94">
        <v>-813337.27999999956</v>
      </c>
      <c r="N54" s="94">
        <v>-34111.040000000008</v>
      </c>
      <c r="O54" s="94">
        <v>3207.09</v>
      </c>
      <c r="P54" s="94">
        <v>132.82</v>
      </c>
      <c r="Q54" s="94">
        <v>0</v>
      </c>
      <c r="R54" s="94">
        <v>0</v>
      </c>
      <c r="S54" s="94">
        <v>-844108.40999999968</v>
      </c>
      <c r="T54" s="94">
        <v>-829635.95307692268</v>
      </c>
      <c r="U54" s="95">
        <v>0</v>
      </c>
      <c r="V54" s="96">
        <v>3.1E-2</v>
      </c>
      <c r="Y54" s="1" t="s">
        <v>662</v>
      </c>
      <c r="Z54" s="97" t="s">
        <v>662</v>
      </c>
    </row>
    <row r="55" spans="1:27" ht="13" x14ac:dyDescent="0.3">
      <c r="A55" s="20" t="s">
        <v>743</v>
      </c>
      <c r="B55" s="20">
        <v>38700</v>
      </c>
      <c r="C55" s="20" t="s">
        <v>758</v>
      </c>
      <c r="D55" s="77" t="s">
        <v>233</v>
      </c>
      <c r="E55" s="77" t="s">
        <v>156</v>
      </c>
      <c r="F55" s="94">
        <v>463127.41</v>
      </c>
      <c r="G55" s="94">
        <v>27824.41</v>
      </c>
      <c r="H55" s="94">
        <v>0</v>
      </c>
      <c r="I55" s="94">
        <v>0</v>
      </c>
      <c r="J55" s="94">
        <v>490951.81999999995</v>
      </c>
      <c r="K55" s="94">
        <v>478233.18153846165</v>
      </c>
      <c r="L55" s="95">
        <v>0</v>
      </c>
      <c r="M55" s="94">
        <v>-184373.09999999998</v>
      </c>
      <c r="N55" s="94">
        <v>-30061.929999999993</v>
      </c>
      <c r="O55" s="94">
        <v>0</v>
      </c>
      <c r="P55" s="94">
        <v>0</v>
      </c>
      <c r="Q55" s="94">
        <v>0</v>
      </c>
      <c r="R55" s="94">
        <v>0</v>
      </c>
      <c r="S55" s="94">
        <v>-214435.02999999997</v>
      </c>
      <c r="T55" s="94">
        <v>-199284.51153846149</v>
      </c>
      <c r="U55" s="95">
        <v>0</v>
      </c>
      <c r="V55" s="96">
        <v>6.3E-2</v>
      </c>
      <c r="Y55" t="s">
        <v>174</v>
      </c>
      <c r="AA55">
        <v>469</v>
      </c>
    </row>
    <row r="56" spans="1:27" ht="13" x14ac:dyDescent="0.3">
      <c r="A56" s="20" t="s">
        <v>743</v>
      </c>
      <c r="B56" s="20">
        <v>39100</v>
      </c>
      <c r="C56" s="20" t="s">
        <v>759</v>
      </c>
      <c r="D56" s="77" t="s">
        <v>234</v>
      </c>
      <c r="E56" s="77" t="s">
        <v>159</v>
      </c>
      <c r="F56" s="94">
        <v>46204.719999999994</v>
      </c>
      <c r="G56" s="94">
        <v>6867.79</v>
      </c>
      <c r="H56" s="94">
        <v>0</v>
      </c>
      <c r="I56" s="94">
        <v>0</v>
      </c>
      <c r="J56" s="94">
        <v>53072.509999999995</v>
      </c>
      <c r="K56" s="94">
        <v>49389.031538461531</v>
      </c>
      <c r="L56" s="95">
        <v>0</v>
      </c>
      <c r="M56" s="94">
        <v>-60272.989999999983</v>
      </c>
      <c r="N56" s="94">
        <v>-3288.51</v>
      </c>
      <c r="O56" s="94">
        <v>0</v>
      </c>
      <c r="P56" s="94">
        <v>0</v>
      </c>
      <c r="Q56" s="94">
        <v>0</v>
      </c>
      <c r="R56" s="94">
        <v>0</v>
      </c>
      <c r="S56" s="94">
        <v>-63561.499999999985</v>
      </c>
      <c r="T56" s="94">
        <v>-61868.461538461539</v>
      </c>
      <c r="U56" s="95">
        <v>0</v>
      </c>
      <c r="V56" s="96">
        <v>6.7000000000000004E-2</v>
      </c>
    </row>
    <row r="57" spans="1:27" ht="13" x14ac:dyDescent="0.3">
      <c r="A57" s="20" t="s">
        <v>743</v>
      </c>
      <c r="B57" s="20">
        <v>39101</v>
      </c>
      <c r="C57" s="20" t="s">
        <v>760</v>
      </c>
      <c r="D57" s="77" t="s">
        <v>235</v>
      </c>
      <c r="E57" s="77" t="s">
        <v>160</v>
      </c>
      <c r="F57" s="94">
        <v>42166.060000000005</v>
      </c>
      <c r="G57" s="94">
        <v>32117.43</v>
      </c>
      <c r="H57" s="94">
        <v>-4621.16</v>
      </c>
      <c r="I57" s="94">
        <v>0</v>
      </c>
      <c r="J57" s="94">
        <v>69662.33</v>
      </c>
      <c r="K57" s="94">
        <v>47467.284615384619</v>
      </c>
      <c r="L57" s="95">
        <v>0</v>
      </c>
      <c r="M57" s="94">
        <v>-36292.75999999974</v>
      </c>
      <c r="N57" s="94">
        <v>-5702.1900000000005</v>
      </c>
      <c r="O57" s="94">
        <v>4621.16</v>
      </c>
      <c r="P57" s="94">
        <v>0</v>
      </c>
      <c r="Q57" s="94">
        <v>0</v>
      </c>
      <c r="R57" s="94">
        <v>0</v>
      </c>
      <c r="S57" s="94">
        <v>-37373.789999999746</v>
      </c>
      <c r="T57" s="94">
        <v>-35004.729999999734</v>
      </c>
      <c r="U57" s="95">
        <v>0</v>
      </c>
      <c r="V57" s="96">
        <v>0.125</v>
      </c>
    </row>
    <row r="58" spans="1:27" ht="13" x14ac:dyDescent="0.3">
      <c r="A58" s="20" t="s">
        <v>743</v>
      </c>
      <c r="B58" s="20">
        <v>39102</v>
      </c>
      <c r="C58" s="20" t="s">
        <v>761</v>
      </c>
      <c r="D58" s="77" t="s">
        <v>236</v>
      </c>
      <c r="E58" s="77" t="s">
        <v>161</v>
      </c>
      <c r="F58" s="94">
        <v>58056.599999999991</v>
      </c>
      <c r="G58" s="94">
        <v>0</v>
      </c>
      <c r="H58" s="94">
        <v>0</v>
      </c>
      <c r="I58" s="94">
        <v>0</v>
      </c>
      <c r="J58" s="94">
        <v>58056.599999999991</v>
      </c>
      <c r="K58" s="94">
        <v>58056.599999999984</v>
      </c>
      <c r="L58" s="95">
        <v>0</v>
      </c>
      <c r="M58" s="94">
        <v>-50398.4200000001</v>
      </c>
      <c r="N58" s="94">
        <v>-3889.8000000000006</v>
      </c>
      <c r="O58" s="94">
        <v>0</v>
      </c>
      <c r="P58" s="94">
        <v>0</v>
      </c>
      <c r="Q58" s="94">
        <v>0</v>
      </c>
      <c r="R58" s="94">
        <v>0</v>
      </c>
      <c r="S58" s="94">
        <v>-54288.220000000103</v>
      </c>
      <c r="T58" s="94">
        <v>-52343.320000000109</v>
      </c>
      <c r="U58" s="95">
        <v>0</v>
      </c>
      <c r="V58" s="96">
        <v>6.7000000000000004E-2</v>
      </c>
    </row>
    <row r="59" spans="1:27" ht="13" x14ac:dyDescent="0.3">
      <c r="A59" s="20" t="s">
        <v>743</v>
      </c>
      <c r="B59" s="20">
        <v>39201</v>
      </c>
      <c r="C59" s="20" t="s">
        <v>762</v>
      </c>
      <c r="D59" s="77" t="s">
        <v>237</v>
      </c>
      <c r="E59" s="77" t="s">
        <v>163</v>
      </c>
      <c r="F59" s="94">
        <v>1115907.24</v>
      </c>
      <c r="G59" s="94">
        <v>341776.94</v>
      </c>
      <c r="H59" s="94">
        <v>0</v>
      </c>
      <c r="I59" s="94">
        <v>0</v>
      </c>
      <c r="J59" s="94">
        <v>1457684.18</v>
      </c>
      <c r="K59" s="94">
        <v>1222268.1753846153</v>
      </c>
      <c r="L59" s="95">
        <v>0</v>
      </c>
      <c r="M59" s="94">
        <v>-336104.03999999986</v>
      </c>
      <c r="N59" s="94">
        <v>-134696.78999999998</v>
      </c>
      <c r="O59" s="94">
        <v>0</v>
      </c>
      <c r="P59" s="94">
        <v>141.97999999999999</v>
      </c>
      <c r="Q59" s="94">
        <v>-1336.92</v>
      </c>
      <c r="R59" s="94">
        <v>0</v>
      </c>
      <c r="S59" s="94">
        <v>-471995.76999999984</v>
      </c>
      <c r="T59" s="94">
        <v>-400654.95384615369</v>
      </c>
      <c r="U59" s="95">
        <v>0</v>
      </c>
      <c r="V59" s="96">
        <v>0.112</v>
      </c>
    </row>
    <row r="60" spans="1:27" ht="13" x14ac:dyDescent="0.3">
      <c r="A60" s="20" t="s">
        <v>743</v>
      </c>
      <c r="B60" s="20">
        <v>39202</v>
      </c>
      <c r="C60" s="20" t="s">
        <v>763</v>
      </c>
      <c r="D60" s="77" t="s">
        <v>238</v>
      </c>
      <c r="E60" s="77" t="s">
        <v>164</v>
      </c>
      <c r="F60" s="94">
        <v>583233.19000000018</v>
      </c>
      <c r="G60" s="94">
        <v>49730.299999999996</v>
      </c>
      <c r="H60" s="94">
        <v>0</v>
      </c>
      <c r="I60" s="94">
        <v>0</v>
      </c>
      <c r="J60" s="94">
        <v>632963.49000000022</v>
      </c>
      <c r="K60" s="94">
        <v>602315.33692307724</v>
      </c>
      <c r="L60" s="95">
        <v>0</v>
      </c>
      <c r="M60" s="94">
        <v>-311954.64000000019</v>
      </c>
      <c r="N60" s="94">
        <v>-76169.670000000013</v>
      </c>
      <c r="O60" s="94">
        <v>0</v>
      </c>
      <c r="P60" s="94">
        <v>61.65</v>
      </c>
      <c r="Q60" s="94">
        <v>-5308.08</v>
      </c>
      <c r="R60" s="94">
        <v>0</v>
      </c>
      <c r="S60" s="94">
        <v>-393370.74000000017</v>
      </c>
      <c r="T60" s="94">
        <v>-351751.22538461548</v>
      </c>
      <c r="U60" s="95">
        <v>0</v>
      </c>
      <c r="V60" s="96">
        <v>0.127</v>
      </c>
    </row>
    <row r="61" spans="1:27" ht="13" x14ac:dyDescent="0.3">
      <c r="A61" s="20" t="s">
        <v>743</v>
      </c>
      <c r="B61" s="20">
        <v>39204</v>
      </c>
      <c r="C61" s="20" t="s">
        <v>764</v>
      </c>
      <c r="D61" s="77" t="s">
        <v>239</v>
      </c>
      <c r="E61" s="77" t="s">
        <v>166</v>
      </c>
      <c r="F61" s="94">
        <v>79777.62000000001</v>
      </c>
      <c r="G61" s="94">
        <v>0</v>
      </c>
      <c r="H61" s="94">
        <v>0</v>
      </c>
      <c r="I61" s="94">
        <v>0</v>
      </c>
      <c r="J61" s="94">
        <v>79777.62000000001</v>
      </c>
      <c r="K61" s="94">
        <v>79777.62000000001</v>
      </c>
      <c r="L61" s="95">
        <v>0</v>
      </c>
      <c r="M61" s="94">
        <v>-12566.119999999984</v>
      </c>
      <c r="N61" s="94">
        <v>-3191.1599999999994</v>
      </c>
      <c r="O61" s="94">
        <v>0</v>
      </c>
      <c r="P61" s="94">
        <v>0</v>
      </c>
      <c r="Q61" s="94">
        <v>0</v>
      </c>
      <c r="R61" s="94">
        <v>0</v>
      </c>
      <c r="S61" s="94">
        <v>-15757.279999999984</v>
      </c>
      <c r="T61" s="94">
        <v>-14161.699999999984</v>
      </c>
      <c r="U61" s="95">
        <v>0</v>
      </c>
      <c r="V61" s="96">
        <v>0.04</v>
      </c>
    </row>
    <row r="62" spans="1:27" ht="13" x14ac:dyDescent="0.3">
      <c r="A62" s="20" t="s">
        <v>743</v>
      </c>
      <c r="B62" s="20">
        <v>39205</v>
      </c>
      <c r="C62" s="20" t="s">
        <v>765</v>
      </c>
      <c r="D62" s="77" t="s">
        <v>240</v>
      </c>
      <c r="E62" s="77" t="s">
        <v>167</v>
      </c>
      <c r="F62" s="94">
        <v>418650.57000000007</v>
      </c>
      <c r="G62" s="94">
        <v>572826.75000000012</v>
      </c>
      <c r="H62" s="94">
        <v>0</v>
      </c>
      <c r="I62" s="94">
        <v>0</v>
      </c>
      <c r="J62" s="94">
        <v>991477.32000000018</v>
      </c>
      <c r="K62" s="94">
        <v>790754.52615384618</v>
      </c>
      <c r="L62" s="95">
        <v>0</v>
      </c>
      <c r="M62" s="94">
        <v>-144066.36000000007</v>
      </c>
      <c r="N62" s="94">
        <v>-57278.039999999994</v>
      </c>
      <c r="O62" s="94">
        <v>0</v>
      </c>
      <c r="P62" s="94">
        <v>0</v>
      </c>
      <c r="Q62" s="94">
        <v>0</v>
      </c>
      <c r="R62" s="94">
        <v>0</v>
      </c>
      <c r="S62" s="94">
        <v>-201344.40000000008</v>
      </c>
      <c r="T62" s="94">
        <v>-168124.95923076925</v>
      </c>
      <c r="U62" s="95">
        <v>0</v>
      </c>
      <c r="V62" s="96">
        <v>7.3999999999999996E-2</v>
      </c>
    </row>
    <row r="63" spans="1:27" ht="13" x14ac:dyDescent="0.3">
      <c r="A63" s="20" t="s">
        <v>743</v>
      </c>
      <c r="B63" s="20">
        <v>39300</v>
      </c>
      <c r="C63" s="20" t="s">
        <v>766</v>
      </c>
      <c r="D63" s="77" t="s">
        <v>241</v>
      </c>
      <c r="E63" s="77" t="s">
        <v>168</v>
      </c>
      <c r="F63" s="94">
        <v>0</v>
      </c>
      <c r="G63" s="94">
        <v>0</v>
      </c>
      <c r="H63" s="94">
        <v>0</v>
      </c>
      <c r="I63" s="94">
        <v>0</v>
      </c>
      <c r="J63" s="94">
        <v>0</v>
      </c>
      <c r="K63" s="94">
        <v>0</v>
      </c>
      <c r="L63" s="95">
        <v>0</v>
      </c>
      <c r="M63" s="94">
        <v>-205.61000000000226</v>
      </c>
      <c r="N63" s="94">
        <v>0</v>
      </c>
      <c r="O63" s="94">
        <v>0</v>
      </c>
      <c r="P63" s="94">
        <v>0</v>
      </c>
      <c r="Q63" s="94">
        <v>0</v>
      </c>
      <c r="R63" s="94">
        <v>0</v>
      </c>
      <c r="S63" s="94">
        <v>-205.61000000000226</v>
      </c>
      <c r="T63" s="94">
        <v>-205.61000000000226</v>
      </c>
      <c r="U63" s="95">
        <v>0</v>
      </c>
      <c r="V63" s="96">
        <v>0.04</v>
      </c>
    </row>
    <row r="64" spans="1:27" ht="13" x14ac:dyDescent="0.3">
      <c r="A64" s="20" t="s">
        <v>743</v>
      </c>
      <c r="B64" s="20">
        <v>39400</v>
      </c>
      <c r="C64" s="20" t="s">
        <v>767</v>
      </c>
      <c r="D64" s="77" t="s">
        <v>242</v>
      </c>
      <c r="E64" s="77" t="s">
        <v>169</v>
      </c>
      <c r="F64" s="94">
        <v>556629.48999999987</v>
      </c>
      <c r="G64" s="94">
        <v>101142.49</v>
      </c>
      <c r="H64" s="94">
        <v>0</v>
      </c>
      <c r="I64" s="94">
        <v>0</v>
      </c>
      <c r="J64" s="94">
        <v>657771.97999999986</v>
      </c>
      <c r="K64" s="94">
        <v>590895.48538461514</v>
      </c>
      <c r="L64" s="95">
        <v>0</v>
      </c>
      <c r="M64" s="94">
        <v>-108966.02999999994</v>
      </c>
      <c r="N64" s="94">
        <v>-38631.279999999999</v>
      </c>
      <c r="O64" s="94">
        <v>0</v>
      </c>
      <c r="P64" s="94">
        <v>0</v>
      </c>
      <c r="Q64" s="94">
        <v>0</v>
      </c>
      <c r="R64" s="94">
        <v>0</v>
      </c>
      <c r="S64" s="94">
        <v>-147597.30999999994</v>
      </c>
      <c r="T64" s="94">
        <v>-127886.68615384608</v>
      </c>
      <c r="U64" s="95">
        <v>0</v>
      </c>
      <c r="V64" s="96">
        <v>6.6000000000000003E-2</v>
      </c>
    </row>
    <row r="65" spans="1:22" ht="13" x14ac:dyDescent="0.3">
      <c r="A65" s="20" t="s">
        <v>743</v>
      </c>
      <c r="B65" s="20">
        <v>39500</v>
      </c>
      <c r="C65" s="20" t="s">
        <v>768</v>
      </c>
      <c r="D65" s="77" t="s">
        <v>243</v>
      </c>
      <c r="E65" s="77" t="s">
        <v>170</v>
      </c>
      <c r="F65" s="94">
        <v>0</v>
      </c>
      <c r="G65" s="94">
        <v>0</v>
      </c>
      <c r="H65" s="94">
        <v>0</v>
      </c>
      <c r="I65" s="94">
        <v>0</v>
      </c>
      <c r="J65" s="94">
        <v>0</v>
      </c>
      <c r="K65" s="94">
        <v>0</v>
      </c>
      <c r="L65" s="95">
        <v>0</v>
      </c>
      <c r="M65" s="94">
        <v>-30004.250000000033</v>
      </c>
      <c r="N65" s="94">
        <v>0</v>
      </c>
      <c r="O65" s="94">
        <v>0</v>
      </c>
      <c r="P65" s="94">
        <v>0</v>
      </c>
      <c r="Q65" s="94">
        <v>0</v>
      </c>
      <c r="R65" s="94">
        <v>0</v>
      </c>
      <c r="S65" s="94">
        <v>-30004.250000000033</v>
      </c>
      <c r="T65" s="94">
        <v>-30004.25000000004</v>
      </c>
      <c r="U65" s="95">
        <v>0</v>
      </c>
      <c r="V65" s="96">
        <v>0.05</v>
      </c>
    </row>
    <row r="66" spans="1:22" ht="13" x14ac:dyDescent="0.3">
      <c r="A66" s="20" t="s">
        <v>743</v>
      </c>
      <c r="B66" s="20">
        <v>39600</v>
      </c>
      <c r="C66" s="20" t="s">
        <v>769</v>
      </c>
      <c r="D66" s="77" t="s">
        <v>244</v>
      </c>
      <c r="E66" s="77" t="s">
        <v>171</v>
      </c>
      <c r="F66" s="94">
        <v>341193.80000000005</v>
      </c>
      <c r="G66" s="94">
        <v>0</v>
      </c>
      <c r="H66" s="94">
        <v>0</v>
      </c>
      <c r="I66" s="94">
        <v>0</v>
      </c>
      <c r="J66" s="94">
        <v>341193.80000000005</v>
      </c>
      <c r="K66" s="94">
        <v>341193.79999999993</v>
      </c>
      <c r="L66" s="95">
        <v>0</v>
      </c>
      <c r="M66" s="94">
        <v>-136071.07999999996</v>
      </c>
      <c r="N66" s="94">
        <v>-21836.400000000005</v>
      </c>
      <c r="O66" s="94">
        <v>0</v>
      </c>
      <c r="P66" s="94">
        <v>0</v>
      </c>
      <c r="Q66" s="94">
        <v>0</v>
      </c>
      <c r="R66" s="94">
        <v>0</v>
      </c>
      <c r="S66" s="94">
        <v>-157907.47999999995</v>
      </c>
      <c r="T66" s="94">
        <v>-146989.28</v>
      </c>
      <c r="U66" s="95">
        <v>0</v>
      </c>
      <c r="V66" s="96">
        <v>6.4000000000000001E-2</v>
      </c>
    </row>
    <row r="67" spans="1:22" ht="13" x14ac:dyDescent="0.3">
      <c r="A67" s="20" t="s">
        <v>743</v>
      </c>
      <c r="B67" s="20">
        <v>39700</v>
      </c>
      <c r="C67" s="20" t="s">
        <v>770</v>
      </c>
      <c r="D67" s="77" t="s">
        <v>245</v>
      </c>
      <c r="E67" s="77" t="s">
        <v>172</v>
      </c>
      <c r="F67" s="94">
        <v>227382.98000000004</v>
      </c>
      <c r="G67" s="94">
        <v>0</v>
      </c>
      <c r="H67" s="94">
        <v>0</v>
      </c>
      <c r="I67" s="94">
        <v>0</v>
      </c>
      <c r="J67" s="94">
        <v>227382.98000000004</v>
      </c>
      <c r="K67" s="94">
        <v>227382.98</v>
      </c>
      <c r="L67" s="95">
        <v>0</v>
      </c>
      <c r="M67" s="94">
        <v>-323864.51999999833</v>
      </c>
      <c r="N67" s="94">
        <v>-19100.16</v>
      </c>
      <c r="O67" s="94">
        <v>0</v>
      </c>
      <c r="P67" s="94">
        <v>0</v>
      </c>
      <c r="Q67" s="94">
        <v>0</v>
      </c>
      <c r="R67" s="94">
        <v>0</v>
      </c>
      <c r="S67" s="94">
        <v>-342964.6799999983</v>
      </c>
      <c r="T67" s="94">
        <v>-333414.59999999829</v>
      </c>
      <c r="U67" s="95">
        <v>0</v>
      </c>
      <c r="V67" s="96">
        <v>8.4000000000000005E-2</v>
      </c>
    </row>
    <row r="68" spans="1:22" ht="13" x14ac:dyDescent="0.3">
      <c r="A68" s="20" t="s">
        <v>743</v>
      </c>
      <c r="B68" s="20">
        <v>39800</v>
      </c>
      <c r="C68" s="20" t="s">
        <v>771</v>
      </c>
      <c r="D68" s="77" t="s">
        <v>246</v>
      </c>
      <c r="E68" s="77" t="s">
        <v>173</v>
      </c>
      <c r="F68" s="94">
        <v>13937.66</v>
      </c>
      <c r="G68" s="94">
        <v>0</v>
      </c>
      <c r="H68" s="94">
        <v>0</v>
      </c>
      <c r="I68" s="94">
        <v>0</v>
      </c>
      <c r="J68" s="94">
        <v>13937.66</v>
      </c>
      <c r="K68" s="94">
        <v>13937.660000000002</v>
      </c>
      <c r="L68" s="95">
        <v>0</v>
      </c>
      <c r="M68" s="94">
        <v>-3867.0900000000074</v>
      </c>
      <c r="N68" s="94">
        <v>-822.35999999999979</v>
      </c>
      <c r="O68" s="94">
        <v>0</v>
      </c>
      <c r="P68" s="94">
        <v>0</v>
      </c>
      <c r="Q68" s="94">
        <v>0</v>
      </c>
      <c r="R68" s="94">
        <v>0</v>
      </c>
      <c r="S68" s="94">
        <v>-4689.4500000000071</v>
      </c>
      <c r="T68" s="94">
        <v>-4278.2700000000077</v>
      </c>
      <c r="U68" s="95">
        <v>0</v>
      </c>
      <c r="V68" s="96">
        <v>5.8999999999999997E-2</v>
      </c>
    </row>
    <row r="69" spans="1:22" ht="13" x14ac:dyDescent="0.3">
      <c r="A69" s="20" t="s">
        <v>772</v>
      </c>
      <c r="B69" s="20">
        <v>30100</v>
      </c>
      <c r="C69" s="20" t="s">
        <v>773</v>
      </c>
      <c r="D69" s="77" t="s">
        <v>247</v>
      </c>
      <c r="E69" s="77" t="s">
        <v>138</v>
      </c>
      <c r="F69" s="94">
        <v>8667.74</v>
      </c>
      <c r="G69" s="94">
        <v>0</v>
      </c>
      <c r="H69" s="94">
        <v>0</v>
      </c>
      <c r="I69" s="94">
        <v>0</v>
      </c>
      <c r="J69" s="94">
        <v>8667.74</v>
      </c>
      <c r="K69" s="94">
        <v>8667.7400000000016</v>
      </c>
      <c r="L69" s="95">
        <v>0</v>
      </c>
      <c r="M69" s="94">
        <v>-3111.11</v>
      </c>
      <c r="N69" s="94">
        <v>0</v>
      </c>
      <c r="O69" s="94">
        <v>0</v>
      </c>
      <c r="P69" s="94">
        <v>0</v>
      </c>
      <c r="Q69" s="94">
        <v>0</v>
      </c>
      <c r="R69" s="94">
        <v>0</v>
      </c>
      <c r="S69" s="94">
        <v>-3111.11</v>
      </c>
      <c r="T69" s="94">
        <v>-3111.11</v>
      </c>
      <c r="U69" s="95">
        <v>0</v>
      </c>
      <c r="V69" s="96">
        <v>0</v>
      </c>
    </row>
    <row r="70" spans="1:22" ht="13" x14ac:dyDescent="0.3">
      <c r="A70" s="20" t="s">
        <v>772</v>
      </c>
      <c r="B70" s="20">
        <v>30200</v>
      </c>
      <c r="C70" s="20" t="s">
        <v>774</v>
      </c>
      <c r="D70" s="77" t="s">
        <v>248</v>
      </c>
      <c r="E70" s="77" t="s">
        <v>139</v>
      </c>
      <c r="F70" s="94">
        <v>0</v>
      </c>
      <c r="G70" s="94">
        <v>0</v>
      </c>
      <c r="H70" s="94">
        <v>0</v>
      </c>
      <c r="I70" s="94">
        <v>0</v>
      </c>
      <c r="J70" s="94">
        <v>0</v>
      </c>
      <c r="K70" s="94">
        <v>0</v>
      </c>
      <c r="L70" s="95">
        <v>0</v>
      </c>
      <c r="M70" s="94">
        <v>-6.8212102632969618E-13</v>
      </c>
      <c r="N70" s="94">
        <v>0</v>
      </c>
      <c r="O70" s="94">
        <v>0</v>
      </c>
      <c r="P70" s="94">
        <v>0</v>
      </c>
      <c r="Q70" s="94">
        <v>0</v>
      </c>
      <c r="R70" s="94">
        <v>0</v>
      </c>
      <c r="S70" s="94">
        <v>-6.8212102632969618E-13</v>
      </c>
      <c r="T70" s="94">
        <v>-6.8212102632969618E-13</v>
      </c>
      <c r="U70" s="95">
        <v>0</v>
      </c>
      <c r="V70" s="96">
        <v>0.04</v>
      </c>
    </row>
    <row r="71" spans="1:22" ht="13" x14ac:dyDescent="0.3">
      <c r="A71" s="20" t="s">
        <v>772</v>
      </c>
      <c r="B71" s="20">
        <v>30301</v>
      </c>
      <c r="C71" s="20" t="s">
        <v>775</v>
      </c>
      <c r="D71" s="77" t="s">
        <v>249</v>
      </c>
      <c r="E71" s="77" t="s">
        <v>141</v>
      </c>
      <c r="F71" s="94">
        <v>0</v>
      </c>
      <c r="G71" s="94">
        <v>2160.52</v>
      </c>
      <c r="H71" s="94">
        <v>0</v>
      </c>
      <c r="I71" s="94">
        <v>0</v>
      </c>
      <c r="J71" s="94">
        <v>2160.52</v>
      </c>
      <c r="K71" s="94">
        <v>664.77538461538461</v>
      </c>
      <c r="L71" s="95">
        <v>0</v>
      </c>
      <c r="M71" s="94">
        <v>0</v>
      </c>
      <c r="N71" s="94">
        <v>-36.18</v>
      </c>
      <c r="O71" s="94">
        <v>0</v>
      </c>
      <c r="P71" s="94">
        <v>0</v>
      </c>
      <c r="Q71" s="94">
        <v>0</v>
      </c>
      <c r="R71" s="94">
        <v>0</v>
      </c>
      <c r="S71" s="94">
        <v>-36.18</v>
      </c>
      <c r="T71" s="94">
        <v>-5.5661538461538465</v>
      </c>
      <c r="U71" s="95">
        <v>0</v>
      </c>
      <c r="V71" s="96">
        <v>6.7000000000000004E-2</v>
      </c>
    </row>
    <row r="72" spans="1:22" ht="13" x14ac:dyDescent="0.3">
      <c r="A72" s="20" t="s">
        <v>772</v>
      </c>
      <c r="B72" s="20">
        <v>37400</v>
      </c>
      <c r="C72" s="20" t="s">
        <v>776</v>
      </c>
      <c r="D72" s="77" t="s">
        <v>250</v>
      </c>
      <c r="E72" s="77" t="s">
        <v>142</v>
      </c>
      <c r="F72" s="94">
        <v>66631.66</v>
      </c>
      <c r="G72" s="94">
        <v>0</v>
      </c>
      <c r="H72" s="94">
        <v>0</v>
      </c>
      <c r="I72" s="94">
        <v>0</v>
      </c>
      <c r="J72" s="94">
        <v>66631.66</v>
      </c>
      <c r="K72" s="94">
        <v>66631.660000000018</v>
      </c>
      <c r="L72" s="95">
        <v>0</v>
      </c>
      <c r="M72" s="94">
        <v>0</v>
      </c>
      <c r="N72" s="94">
        <v>0</v>
      </c>
      <c r="O72" s="94">
        <v>0</v>
      </c>
      <c r="P72" s="94">
        <v>0</v>
      </c>
      <c r="Q72" s="94">
        <v>0</v>
      </c>
      <c r="R72" s="94">
        <v>0</v>
      </c>
      <c r="S72" s="94">
        <v>0</v>
      </c>
      <c r="T72" s="94">
        <v>0</v>
      </c>
      <c r="U72" s="95">
        <v>0</v>
      </c>
      <c r="V72" s="96">
        <v>0</v>
      </c>
    </row>
    <row r="73" spans="1:22" ht="13" x14ac:dyDescent="0.3">
      <c r="A73" s="20" t="s">
        <v>772</v>
      </c>
      <c r="B73" s="20">
        <v>37402</v>
      </c>
      <c r="C73" s="20" t="s">
        <v>777</v>
      </c>
      <c r="D73" s="77" t="s">
        <v>251</v>
      </c>
      <c r="E73" s="77" t="s">
        <v>143</v>
      </c>
      <c r="F73" s="94">
        <v>144895.67000000001</v>
      </c>
      <c r="G73" s="94">
        <v>0</v>
      </c>
      <c r="H73" s="94">
        <v>0</v>
      </c>
      <c r="I73" s="94">
        <v>0</v>
      </c>
      <c r="J73" s="94">
        <v>144895.67000000001</v>
      </c>
      <c r="K73" s="94">
        <v>144895.66999999998</v>
      </c>
      <c r="L73" s="95">
        <v>0</v>
      </c>
      <c r="M73" s="94">
        <v>-114406.99000000005</v>
      </c>
      <c r="N73" s="94">
        <v>-1883.64</v>
      </c>
      <c r="O73" s="94">
        <v>0</v>
      </c>
      <c r="P73" s="94">
        <v>0</v>
      </c>
      <c r="Q73" s="94">
        <v>0</v>
      </c>
      <c r="R73" s="94">
        <v>0</v>
      </c>
      <c r="S73" s="94">
        <v>-116290.63000000005</v>
      </c>
      <c r="T73" s="94">
        <v>-115348.81000000004</v>
      </c>
      <c r="U73" s="95">
        <v>0</v>
      </c>
      <c r="V73" s="96">
        <v>1.2999999999999999E-2</v>
      </c>
    </row>
    <row r="74" spans="1:22" ht="13" x14ac:dyDescent="0.3">
      <c r="A74" s="20" t="s">
        <v>772</v>
      </c>
      <c r="B74" s="20">
        <v>37500</v>
      </c>
      <c r="C74" s="20" t="s">
        <v>778</v>
      </c>
      <c r="D74" s="77" t="s">
        <v>252</v>
      </c>
      <c r="E74" s="77" t="s">
        <v>144</v>
      </c>
      <c r="F74" s="94">
        <v>1172691.21</v>
      </c>
      <c r="G74" s="94">
        <v>122377.20999999999</v>
      </c>
      <c r="H74" s="94">
        <v>0</v>
      </c>
      <c r="I74" s="94">
        <v>0</v>
      </c>
      <c r="J74" s="94">
        <v>1295068.42</v>
      </c>
      <c r="K74" s="94">
        <v>1263956.8784615381</v>
      </c>
      <c r="L74" s="95">
        <v>0</v>
      </c>
      <c r="M74" s="94">
        <v>-775953.74000000011</v>
      </c>
      <c r="N74" s="94">
        <v>-31534.140000000007</v>
      </c>
      <c r="O74" s="94">
        <v>0</v>
      </c>
      <c r="P74" s="94">
        <v>0</v>
      </c>
      <c r="Q74" s="94">
        <v>0</v>
      </c>
      <c r="R74" s="94">
        <v>0</v>
      </c>
      <c r="S74" s="94">
        <v>-807487.88000000012</v>
      </c>
      <c r="T74" s="94">
        <v>-791209.23615384614</v>
      </c>
      <c r="U74" s="95">
        <v>0</v>
      </c>
      <c r="V74" s="96">
        <v>2.5000000000000001E-2</v>
      </c>
    </row>
    <row r="75" spans="1:22" ht="13" x14ac:dyDescent="0.3">
      <c r="A75" s="20" t="s">
        <v>772</v>
      </c>
      <c r="B75" s="20">
        <v>37600</v>
      </c>
      <c r="C75" s="20" t="s">
        <v>779</v>
      </c>
      <c r="D75" s="77" t="s">
        <v>253</v>
      </c>
      <c r="E75" s="77" t="s">
        <v>145</v>
      </c>
      <c r="F75" s="94">
        <v>17622688.459999993</v>
      </c>
      <c r="G75" s="94">
        <v>1181613.3</v>
      </c>
      <c r="H75" s="94">
        <v>-473491.36</v>
      </c>
      <c r="I75" s="94">
        <v>0</v>
      </c>
      <c r="J75" s="94">
        <v>18330810.399999995</v>
      </c>
      <c r="K75" s="94">
        <v>17977866.412307683</v>
      </c>
      <c r="L75" s="95">
        <v>0</v>
      </c>
      <c r="M75" s="94">
        <v>-12880008.809999999</v>
      </c>
      <c r="N75" s="94">
        <v>-753835.08000000007</v>
      </c>
      <c r="O75" s="94">
        <v>473491.36</v>
      </c>
      <c r="P75" s="94">
        <v>364127.42000000004</v>
      </c>
      <c r="Q75" s="94">
        <v>-436.49000000000024</v>
      </c>
      <c r="R75" s="94">
        <v>0</v>
      </c>
      <c r="S75" s="94">
        <v>-12796661.6</v>
      </c>
      <c r="T75" s="94">
        <v>-12708441.063846154</v>
      </c>
      <c r="U75" s="95">
        <v>0</v>
      </c>
      <c r="V75" s="96">
        <v>4.2000000000000003E-2</v>
      </c>
    </row>
    <row r="76" spans="1:22" ht="13" x14ac:dyDescent="0.3">
      <c r="A76" s="20" t="s">
        <v>772</v>
      </c>
      <c r="B76" s="20">
        <v>37602</v>
      </c>
      <c r="C76" s="20" t="s">
        <v>780</v>
      </c>
      <c r="D76" s="77" t="s">
        <v>254</v>
      </c>
      <c r="E76" s="77" t="s">
        <v>146</v>
      </c>
      <c r="F76" s="94">
        <v>24000782.599999994</v>
      </c>
      <c r="G76" s="94">
        <v>2743620.0199999996</v>
      </c>
      <c r="H76" s="94">
        <v>-40113.35</v>
      </c>
      <c r="I76" s="94">
        <v>0</v>
      </c>
      <c r="J76" s="94">
        <v>26704289.269999992</v>
      </c>
      <c r="K76" s="94">
        <v>25462900.177692302</v>
      </c>
      <c r="L76" s="95">
        <v>0</v>
      </c>
      <c r="M76" s="94">
        <v>-9911413.7799999956</v>
      </c>
      <c r="N76" s="94">
        <v>-786142.97</v>
      </c>
      <c r="O76" s="94">
        <v>40113.35</v>
      </c>
      <c r="P76" s="94">
        <v>3433.4700000000266</v>
      </c>
      <c r="Q76" s="94">
        <v>-916.43000000000029</v>
      </c>
      <c r="R76" s="94">
        <v>0</v>
      </c>
      <c r="S76" s="94">
        <v>-10654926.359999996</v>
      </c>
      <c r="T76" s="94">
        <v>-10243182.760769229</v>
      </c>
      <c r="U76" s="95">
        <v>0</v>
      </c>
      <c r="V76" s="96">
        <v>3.1E-2</v>
      </c>
    </row>
    <row r="77" spans="1:22" ht="13" x14ac:dyDescent="0.3">
      <c r="A77" s="20" t="s">
        <v>772</v>
      </c>
      <c r="B77" s="20">
        <v>37602</v>
      </c>
      <c r="C77" s="20" t="s">
        <v>780</v>
      </c>
      <c r="D77" s="77" t="s">
        <v>255</v>
      </c>
      <c r="E77" s="77" t="s">
        <v>146</v>
      </c>
      <c r="F77" s="94">
        <v>0</v>
      </c>
      <c r="G77" s="94">
        <v>0</v>
      </c>
      <c r="H77" s="94">
        <v>0</v>
      </c>
      <c r="I77" s="94">
        <v>0</v>
      </c>
      <c r="J77" s="94">
        <v>0</v>
      </c>
      <c r="K77" s="94">
        <v>0</v>
      </c>
      <c r="L77" s="95">
        <v>0</v>
      </c>
      <c r="M77" s="94">
        <v>-26513.310000000016</v>
      </c>
      <c r="N77" s="94">
        <v>0</v>
      </c>
      <c r="O77" s="94">
        <v>0</v>
      </c>
      <c r="P77" s="94">
        <v>0</v>
      </c>
      <c r="Q77" s="94">
        <v>0</v>
      </c>
      <c r="R77" s="94">
        <v>0</v>
      </c>
      <c r="S77" s="94">
        <v>-26513.310000000016</v>
      </c>
      <c r="T77" s="94">
        <v>-26513.310000000016</v>
      </c>
      <c r="U77" s="95">
        <v>0</v>
      </c>
      <c r="V77" s="96">
        <v>3.1E-2</v>
      </c>
    </row>
    <row r="78" spans="1:22" ht="13" x14ac:dyDescent="0.3">
      <c r="A78" s="20" t="s">
        <v>772</v>
      </c>
      <c r="B78" s="20">
        <v>37602</v>
      </c>
      <c r="C78" s="20" t="s">
        <v>780</v>
      </c>
      <c r="D78" s="77" t="s">
        <v>256</v>
      </c>
      <c r="E78" s="77" t="s">
        <v>146</v>
      </c>
      <c r="F78" s="94">
        <v>0</v>
      </c>
      <c r="G78" s="94">
        <v>0</v>
      </c>
      <c r="H78" s="94">
        <v>0</v>
      </c>
      <c r="I78" s="94">
        <v>0</v>
      </c>
      <c r="J78" s="94">
        <v>0</v>
      </c>
      <c r="K78" s="94">
        <v>0</v>
      </c>
      <c r="L78" s="95">
        <v>0</v>
      </c>
      <c r="M78" s="94">
        <v>0</v>
      </c>
      <c r="N78" s="94">
        <v>0</v>
      </c>
      <c r="O78" s="94">
        <v>0</v>
      </c>
      <c r="P78" s="94">
        <v>0</v>
      </c>
      <c r="Q78" s="94">
        <v>0</v>
      </c>
      <c r="R78" s="94">
        <v>0</v>
      </c>
      <c r="S78" s="94">
        <v>0</v>
      </c>
      <c r="T78" s="94">
        <v>0</v>
      </c>
      <c r="U78" s="95">
        <v>0</v>
      </c>
      <c r="V78" s="96">
        <v>3.1E-2</v>
      </c>
    </row>
    <row r="79" spans="1:22" ht="13" x14ac:dyDescent="0.3">
      <c r="A79" s="20" t="s">
        <v>772</v>
      </c>
      <c r="B79" s="20">
        <v>37800</v>
      </c>
      <c r="C79" s="20" t="s">
        <v>781</v>
      </c>
      <c r="D79" s="77" t="s">
        <v>257</v>
      </c>
      <c r="E79" s="77" t="s">
        <v>147</v>
      </c>
      <c r="F79" s="94">
        <v>256641.99000000002</v>
      </c>
      <c r="G79" s="94">
        <v>63530.03</v>
      </c>
      <c r="H79" s="94">
        <v>-2132.3000000000002</v>
      </c>
      <c r="I79" s="94">
        <v>0</v>
      </c>
      <c r="J79" s="94">
        <v>318039.72000000003</v>
      </c>
      <c r="K79" s="94">
        <v>282868.27307692316</v>
      </c>
      <c r="L79" s="95">
        <v>0</v>
      </c>
      <c r="M79" s="94">
        <v>-102382.80999999987</v>
      </c>
      <c r="N79" s="94">
        <v>-9517.869999999999</v>
      </c>
      <c r="O79" s="94">
        <v>2132.3000000000002</v>
      </c>
      <c r="P79" s="94">
        <v>273.45</v>
      </c>
      <c r="Q79" s="94">
        <v>0</v>
      </c>
      <c r="R79" s="94">
        <v>0</v>
      </c>
      <c r="S79" s="94">
        <v>-109494.92999999986</v>
      </c>
      <c r="T79" s="94">
        <v>-105279.17461538446</v>
      </c>
      <c r="U79" s="95">
        <v>0</v>
      </c>
      <c r="V79" s="96">
        <v>3.4000000000000002E-2</v>
      </c>
    </row>
    <row r="80" spans="1:22" ht="13" x14ac:dyDescent="0.3">
      <c r="A80" s="20" t="s">
        <v>772</v>
      </c>
      <c r="B80" s="20">
        <v>37900</v>
      </c>
      <c r="C80" s="20" t="s">
        <v>782</v>
      </c>
      <c r="D80" s="77" t="s">
        <v>258</v>
      </c>
      <c r="E80" s="77" t="s">
        <v>148</v>
      </c>
      <c r="F80" s="94">
        <v>3256859.4099999992</v>
      </c>
      <c r="G80" s="94">
        <v>98078.2</v>
      </c>
      <c r="H80" s="94">
        <v>-6130.88</v>
      </c>
      <c r="I80" s="94">
        <v>0</v>
      </c>
      <c r="J80" s="94">
        <v>3348806.7299999995</v>
      </c>
      <c r="K80" s="94">
        <v>3309199.1423076913</v>
      </c>
      <c r="L80" s="95">
        <v>0</v>
      </c>
      <c r="M80" s="94">
        <v>-454810.68000000011</v>
      </c>
      <c r="N80" s="94">
        <v>-112400.51999999999</v>
      </c>
      <c r="O80" s="94">
        <v>6130.88</v>
      </c>
      <c r="P80" s="94">
        <v>5882.36</v>
      </c>
      <c r="Q80" s="94">
        <v>0</v>
      </c>
      <c r="R80" s="94">
        <v>0</v>
      </c>
      <c r="S80" s="94">
        <v>-555197.96000000008</v>
      </c>
      <c r="T80" s="94">
        <v>-509702.08769230783</v>
      </c>
      <c r="U80" s="95">
        <v>0</v>
      </c>
      <c r="V80" s="96">
        <v>3.4000000000000002E-2</v>
      </c>
    </row>
    <row r="81" spans="1:22" ht="13" x14ac:dyDescent="0.3">
      <c r="A81" s="20" t="s">
        <v>772</v>
      </c>
      <c r="B81" s="20">
        <v>38000</v>
      </c>
      <c r="C81" s="20" t="s">
        <v>783</v>
      </c>
      <c r="D81" s="77" t="s">
        <v>259</v>
      </c>
      <c r="E81" s="77" t="s">
        <v>149</v>
      </c>
      <c r="F81" s="94">
        <v>2396365.46</v>
      </c>
      <c r="G81" s="94">
        <v>116216.60999999999</v>
      </c>
      <c r="H81" s="94">
        <v>-18130.830000000002</v>
      </c>
      <c r="I81" s="94">
        <v>0</v>
      </c>
      <c r="J81" s="94">
        <v>2494451.2399999998</v>
      </c>
      <c r="K81" s="94">
        <v>2443749.3361538453</v>
      </c>
      <c r="L81" s="95">
        <v>0</v>
      </c>
      <c r="M81" s="94">
        <v>-1894407.7599999995</v>
      </c>
      <c r="N81" s="94">
        <v>-161008.61000000002</v>
      </c>
      <c r="O81" s="94">
        <v>18130.830000000002</v>
      </c>
      <c r="P81" s="94">
        <v>144201.66999999998</v>
      </c>
      <c r="Q81" s="94">
        <v>-59.69</v>
      </c>
      <c r="R81" s="94">
        <v>0</v>
      </c>
      <c r="S81" s="94">
        <v>-1893143.5599999996</v>
      </c>
      <c r="T81" s="94">
        <v>-1905627.8230769227</v>
      </c>
      <c r="U81" s="95">
        <v>0</v>
      </c>
      <c r="V81" s="96">
        <v>6.5999999999999989E-2</v>
      </c>
    </row>
    <row r="82" spans="1:22" ht="13" x14ac:dyDescent="0.3">
      <c r="A82" s="20" t="s">
        <v>772</v>
      </c>
      <c r="B82" s="20">
        <v>38002</v>
      </c>
      <c r="C82" s="20" t="s">
        <v>784</v>
      </c>
      <c r="D82" s="77" t="s">
        <v>260</v>
      </c>
      <c r="E82" s="77" t="s">
        <v>150</v>
      </c>
      <c r="F82" s="94">
        <v>17426024.550000004</v>
      </c>
      <c r="G82" s="94">
        <v>2483610.46</v>
      </c>
      <c r="H82" s="94">
        <v>-23819.279999999999</v>
      </c>
      <c r="I82" s="94">
        <v>0</v>
      </c>
      <c r="J82" s="94">
        <v>19885815.730000004</v>
      </c>
      <c r="K82" s="94">
        <v>18143291.35461539</v>
      </c>
      <c r="L82" s="95">
        <v>0</v>
      </c>
      <c r="M82" s="94">
        <v>-10695330.759999998</v>
      </c>
      <c r="N82" s="94">
        <v>-899904.04</v>
      </c>
      <c r="O82" s="94">
        <v>23819.279999999999</v>
      </c>
      <c r="P82" s="94">
        <v>154154.56</v>
      </c>
      <c r="Q82" s="94">
        <v>-757.38999999999987</v>
      </c>
      <c r="R82" s="94">
        <v>0</v>
      </c>
      <c r="S82" s="94">
        <v>-11418018.349999998</v>
      </c>
      <c r="T82" s="94">
        <v>-11081674.453076921</v>
      </c>
      <c r="U82" s="95">
        <v>0</v>
      </c>
      <c r="V82" s="96">
        <v>0.05</v>
      </c>
    </row>
    <row r="83" spans="1:22" ht="13" x14ac:dyDescent="0.3">
      <c r="A83" s="20" t="s">
        <v>772</v>
      </c>
      <c r="B83" s="20">
        <v>38200</v>
      </c>
      <c r="C83" s="20" t="s">
        <v>785</v>
      </c>
      <c r="D83" s="77" t="s">
        <v>261</v>
      </c>
      <c r="E83" s="77" t="s">
        <v>152</v>
      </c>
      <c r="F83" s="94">
        <v>2800775.6000000015</v>
      </c>
      <c r="G83" s="94">
        <v>185154.57</v>
      </c>
      <c r="H83" s="94">
        <v>-24220.21</v>
      </c>
      <c r="I83" s="94">
        <v>0</v>
      </c>
      <c r="J83" s="94">
        <v>2961709.9600000014</v>
      </c>
      <c r="K83" s="94">
        <v>2878664.5861538472</v>
      </c>
      <c r="L83" s="95">
        <v>0</v>
      </c>
      <c r="M83" s="94">
        <v>-2220349.5100000007</v>
      </c>
      <c r="N83" s="94">
        <v>-129228.48999999999</v>
      </c>
      <c r="O83" s="94">
        <v>24220.21</v>
      </c>
      <c r="P83" s="94">
        <v>9266.9299999999985</v>
      </c>
      <c r="Q83" s="94">
        <v>0</v>
      </c>
      <c r="R83" s="94">
        <v>0</v>
      </c>
      <c r="S83" s="94">
        <v>-2316090.8600000008</v>
      </c>
      <c r="T83" s="94">
        <v>-2278803.8792307698</v>
      </c>
      <c r="U83" s="95">
        <v>0</v>
      </c>
      <c r="V83" s="96">
        <v>4.4999999999999998E-2</v>
      </c>
    </row>
    <row r="84" spans="1:22" ht="13" x14ac:dyDescent="0.3">
      <c r="A84" s="20" t="s">
        <v>772</v>
      </c>
      <c r="B84" s="20">
        <v>38300</v>
      </c>
      <c r="C84" s="20" t="s">
        <v>786</v>
      </c>
      <c r="D84" s="77" t="s">
        <v>262</v>
      </c>
      <c r="E84" s="77" t="s">
        <v>153</v>
      </c>
      <c r="F84" s="94">
        <v>1096004.7100000002</v>
      </c>
      <c r="G84" s="94">
        <v>42819.67</v>
      </c>
      <c r="H84" s="94">
        <v>-2866.51</v>
      </c>
      <c r="I84" s="94">
        <v>0</v>
      </c>
      <c r="J84" s="94">
        <v>1135957.8700000001</v>
      </c>
      <c r="K84" s="94">
        <v>1113320.2661538462</v>
      </c>
      <c r="L84" s="95">
        <v>0</v>
      </c>
      <c r="M84" s="94">
        <v>-673381.5</v>
      </c>
      <c r="N84" s="94">
        <v>-40011.620000000003</v>
      </c>
      <c r="O84" s="94">
        <v>2866.51</v>
      </c>
      <c r="P84" s="94">
        <v>0</v>
      </c>
      <c r="Q84" s="94">
        <v>0</v>
      </c>
      <c r="R84" s="94">
        <v>0</v>
      </c>
      <c r="S84" s="94">
        <v>-710526.61</v>
      </c>
      <c r="T84" s="94">
        <v>-693069.00000000012</v>
      </c>
      <c r="U84" s="95">
        <v>0</v>
      </c>
      <c r="V84" s="96">
        <v>3.5999999999999997E-2</v>
      </c>
    </row>
    <row r="85" spans="1:22" ht="13" x14ac:dyDescent="0.3">
      <c r="A85" s="20" t="s">
        <v>772</v>
      </c>
      <c r="B85" s="20">
        <v>38400</v>
      </c>
      <c r="C85" s="20" t="s">
        <v>787</v>
      </c>
      <c r="D85" s="77" t="s">
        <v>263</v>
      </c>
      <c r="E85" s="77" t="s">
        <v>154</v>
      </c>
      <c r="F85" s="94">
        <v>935922.18</v>
      </c>
      <c r="G85" s="94">
        <v>101312.62</v>
      </c>
      <c r="H85" s="94">
        <v>-5100.88</v>
      </c>
      <c r="I85" s="94">
        <v>0</v>
      </c>
      <c r="J85" s="94">
        <v>1032133.92</v>
      </c>
      <c r="K85" s="94">
        <v>973950.2</v>
      </c>
      <c r="L85" s="95">
        <v>0</v>
      </c>
      <c r="M85" s="94">
        <v>-562373.21999999962</v>
      </c>
      <c r="N85" s="94">
        <v>-43609.58</v>
      </c>
      <c r="O85" s="94">
        <v>5100.88</v>
      </c>
      <c r="P85" s="94">
        <v>9315.6299999999992</v>
      </c>
      <c r="Q85" s="94">
        <v>0</v>
      </c>
      <c r="R85" s="94">
        <v>0</v>
      </c>
      <c r="S85" s="94">
        <v>-591566.28999999957</v>
      </c>
      <c r="T85" s="94">
        <v>-581984.80538461509</v>
      </c>
      <c r="U85" s="95">
        <v>0</v>
      </c>
      <c r="V85" s="96">
        <v>4.4999999999999998E-2</v>
      </c>
    </row>
    <row r="86" spans="1:22" ht="13" x14ac:dyDescent="0.3">
      <c r="A86" s="20" t="s">
        <v>772</v>
      </c>
      <c r="B86" s="20">
        <v>38500</v>
      </c>
      <c r="C86" s="20" t="s">
        <v>788</v>
      </c>
      <c r="D86" s="77" t="s">
        <v>264</v>
      </c>
      <c r="E86" s="77" t="s">
        <v>155</v>
      </c>
      <c r="F86" s="94">
        <v>666325.48</v>
      </c>
      <c r="G86" s="94">
        <v>0</v>
      </c>
      <c r="H86" s="94">
        <v>-1926.67</v>
      </c>
      <c r="I86" s="94">
        <v>0</v>
      </c>
      <c r="J86" s="94">
        <v>664398.80999999994</v>
      </c>
      <c r="K86" s="94">
        <v>666177.27461538475</v>
      </c>
      <c r="L86" s="95">
        <v>0</v>
      </c>
      <c r="M86" s="94">
        <v>-335904.61000000028</v>
      </c>
      <c r="N86" s="94">
        <v>-20656.079999999998</v>
      </c>
      <c r="O86" s="94">
        <v>1926.67</v>
      </c>
      <c r="P86" s="94">
        <v>60.23</v>
      </c>
      <c r="Q86" s="94">
        <v>0</v>
      </c>
      <c r="R86" s="94">
        <v>0</v>
      </c>
      <c r="S86" s="94">
        <v>-354573.79000000033</v>
      </c>
      <c r="T86" s="94">
        <v>-346079.811538462</v>
      </c>
      <c r="U86" s="95">
        <v>0</v>
      </c>
      <c r="V86" s="96">
        <v>3.1E-2</v>
      </c>
    </row>
    <row r="87" spans="1:22" ht="13" x14ac:dyDescent="0.3">
      <c r="A87" s="20" t="s">
        <v>772</v>
      </c>
      <c r="B87" s="20">
        <v>38700</v>
      </c>
      <c r="C87" s="20" t="s">
        <v>789</v>
      </c>
      <c r="D87" s="77" t="s">
        <v>265</v>
      </c>
      <c r="E87" s="77" t="s">
        <v>156</v>
      </c>
      <c r="F87" s="94">
        <v>214449.01</v>
      </c>
      <c r="G87" s="94">
        <v>138551.16999999998</v>
      </c>
      <c r="H87" s="94">
        <v>0</v>
      </c>
      <c r="I87" s="94">
        <v>0</v>
      </c>
      <c r="J87" s="94">
        <v>353000.18</v>
      </c>
      <c r="K87" s="94">
        <v>324484.68230769236</v>
      </c>
      <c r="L87" s="95">
        <v>0</v>
      </c>
      <c r="M87" s="94">
        <v>-90710.189999999988</v>
      </c>
      <c r="N87" s="94">
        <v>-20292.809999999998</v>
      </c>
      <c r="O87" s="94">
        <v>0</v>
      </c>
      <c r="P87" s="94">
        <v>0</v>
      </c>
      <c r="Q87" s="94">
        <v>0</v>
      </c>
      <c r="R87" s="94">
        <v>0</v>
      </c>
      <c r="S87" s="94">
        <v>-111002.99999999999</v>
      </c>
      <c r="T87" s="94">
        <v>-100314.46846153846</v>
      </c>
      <c r="U87" s="95">
        <v>0</v>
      </c>
      <c r="V87" s="96">
        <v>6.3E-2</v>
      </c>
    </row>
    <row r="88" spans="1:22" ht="13" x14ac:dyDescent="0.3">
      <c r="A88" s="20" t="s">
        <v>772</v>
      </c>
      <c r="B88" s="20">
        <v>39100</v>
      </c>
      <c r="C88" s="20" t="s">
        <v>790</v>
      </c>
      <c r="D88" s="77" t="s">
        <v>266</v>
      </c>
      <c r="E88" s="77" t="s">
        <v>159</v>
      </c>
      <c r="F88" s="94">
        <v>58507.809999999983</v>
      </c>
      <c r="G88" s="94">
        <v>0</v>
      </c>
      <c r="H88" s="94">
        <v>0</v>
      </c>
      <c r="I88" s="94">
        <v>0</v>
      </c>
      <c r="J88" s="94">
        <v>58507.809999999983</v>
      </c>
      <c r="K88" s="94">
        <v>58507.809999999976</v>
      </c>
      <c r="L88" s="95">
        <v>0</v>
      </c>
      <c r="M88" s="94">
        <v>-89873.669999999955</v>
      </c>
      <c r="N88" s="94">
        <v>-3920.0400000000004</v>
      </c>
      <c r="O88" s="94">
        <v>0</v>
      </c>
      <c r="P88" s="94">
        <v>0</v>
      </c>
      <c r="Q88" s="94">
        <v>0</v>
      </c>
      <c r="R88" s="94">
        <v>0</v>
      </c>
      <c r="S88" s="94">
        <v>-93793.709999999948</v>
      </c>
      <c r="T88" s="94">
        <v>-91833.689999999944</v>
      </c>
      <c r="U88" s="95">
        <v>0</v>
      </c>
      <c r="V88" s="96">
        <v>6.7000000000000004E-2</v>
      </c>
    </row>
    <row r="89" spans="1:22" ht="13" x14ac:dyDescent="0.3">
      <c r="A89" s="20" t="s">
        <v>772</v>
      </c>
      <c r="B89" s="20">
        <v>39101</v>
      </c>
      <c r="C89" s="20" t="s">
        <v>791</v>
      </c>
      <c r="D89" s="77" t="s">
        <v>267</v>
      </c>
      <c r="E89" s="77" t="s">
        <v>160</v>
      </c>
      <c r="F89" s="94">
        <v>39105.340000000018</v>
      </c>
      <c r="G89" s="94">
        <v>26128.23</v>
      </c>
      <c r="H89" s="94">
        <v>0</v>
      </c>
      <c r="I89" s="94">
        <v>0</v>
      </c>
      <c r="J89" s="94">
        <v>65233.570000000022</v>
      </c>
      <c r="K89" s="94">
        <v>58317.813846153869</v>
      </c>
      <c r="L89" s="95">
        <v>0</v>
      </c>
      <c r="M89" s="94">
        <v>-84013.449999999939</v>
      </c>
      <c r="N89" s="94">
        <v>-7217.7200000000012</v>
      </c>
      <c r="O89" s="94">
        <v>0</v>
      </c>
      <c r="P89" s="94">
        <v>0</v>
      </c>
      <c r="Q89" s="94">
        <v>0</v>
      </c>
      <c r="R89" s="94">
        <v>0</v>
      </c>
      <c r="S89" s="94">
        <v>-91231.16999999994</v>
      </c>
      <c r="T89" s="94">
        <v>-87379.401538461461</v>
      </c>
      <c r="U89" s="95">
        <v>0</v>
      </c>
      <c r="V89" s="96">
        <v>0.125</v>
      </c>
    </row>
    <row r="90" spans="1:22" ht="13" x14ac:dyDescent="0.3">
      <c r="A90" s="20" t="s">
        <v>772</v>
      </c>
      <c r="B90" s="20">
        <v>39102</v>
      </c>
      <c r="C90" s="20" t="s">
        <v>792</v>
      </c>
      <c r="D90" s="77" t="s">
        <v>268</v>
      </c>
      <c r="E90" s="77" t="s">
        <v>161</v>
      </c>
      <c r="F90" s="94">
        <v>45218.59</v>
      </c>
      <c r="G90" s="94">
        <v>-8538.6</v>
      </c>
      <c r="H90" s="94">
        <v>0</v>
      </c>
      <c r="I90" s="94">
        <v>0</v>
      </c>
      <c r="J90" s="94">
        <v>36679.99</v>
      </c>
      <c r="K90" s="94">
        <v>43904.959230769222</v>
      </c>
      <c r="L90" s="95">
        <v>0</v>
      </c>
      <c r="M90" s="94">
        <v>-2913.5499999999902</v>
      </c>
      <c r="N90" s="94">
        <v>-2981.97</v>
      </c>
      <c r="O90" s="94">
        <v>0</v>
      </c>
      <c r="P90" s="94">
        <v>0</v>
      </c>
      <c r="Q90" s="94">
        <v>0</v>
      </c>
      <c r="R90" s="94">
        <v>0</v>
      </c>
      <c r="S90" s="94">
        <v>-5895.5199999999895</v>
      </c>
      <c r="T90" s="94">
        <v>-4424.7030769230678</v>
      </c>
      <c r="U90" s="95">
        <v>0</v>
      </c>
      <c r="V90" s="96">
        <v>6.7000000000000004E-2</v>
      </c>
    </row>
    <row r="91" spans="1:22" ht="13" x14ac:dyDescent="0.3">
      <c r="A91" s="20" t="s">
        <v>772</v>
      </c>
      <c r="B91" s="20">
        <v>39201</v>
      </c>
      <c r="C91" s="20" t="s">
        <v>793</v>
      </c>
      <c r="D91" s="77" t="s">
        <v>269</v>
      </c>
      <c r="E91" s="77" t="s">
        <v>163</v>
      </c>
      <c r="F91" s="94">
        <v>367067.6999999999</v>
      </c>
      <c r="G91" s="94">
        <v>237.02</v>
      </c>
      <c r="H91" s="94">
        <v>-86753.45</v>
      </c>
      <c r="I91" s="94">
        <v>0</v>
      </c>
      <c r="J91" s="94">
        <v>280551.2699999999</v>
      </c>
      <c r="K91" s="94">
        <v>308630.97230769228</v>
      </c>
      <c r="L91" s="95">
        <v>0</v>
      </c>
      <c r="M91" s="94">
        <v>-280144.67</v>
      </c>
      <c r="N91" s="94">
        <v>-34828.790000000008</v>
      </c>
      <c r="O91" s="94">
        <v>86753.45</v>
      </c>
      <c r="P91" s="94">
        <v>682.97</v>
      </c>
      <c r="Q91" s="94">
        <v>-10565</v>
      </c>
      <c r="R91" s="94">
        <v>0</v>
      </c>
      <c r="S91" s="94">
        <v>-238102.03999999995</v>
      </c>
      <c r="T91" s="94">
        <v>-247218.41769230756</v>
      </c>
      <c r="U91" s="95">
        <v>0</v>
      </c>
      <c r="V91" s="96">
        <v>0.112</v>
      </c>
    </row>
    <row r="92" spans="1:22" ht="13" x14ac:dyDescent="0.3">
      <c r="A92" s="20" t="s">
        <v>772</v>
      </c>
      <c r="B92" s="20">
        <v>39202</v>
      </c>
      <c r="C92" s="20" t="s">
        <v>794</v>
      </c>
      <c r="D92" s="77" t="s">
        <v>270</v>
      </c>
      <c r="E92" s="77" t="s">
        <v>164</v>
      </c>
      <c r="F92" s="94">
        <v>629293.50999999989</v>
      </c>
      <c r="G92" s="94">
        <v>139959.71</v>
      </c>
      <c r="H92" s="94">
        <v>-71386</v>
      </c>
      <c r="I92" s="94">
        <v>0</v>
      </c>
      <c r="J92" s="94">
        <v>697867.21999999986</v>
      </c>
      <c r="K92" s="94">
        <v>620881.68692307686</v>
      </c>
      <c r="L92" s="95">
        <v>0</v>
      </c>
      <c r="M92" s="94">
        <v>-445225.41999999993</v>
      </c>
      <c r="N92" s="94">
        <v>-78037.180000000022</v>
      </c>
      <c r="O92" s="94">
        <v>71386</v>
      </c>
      <c r="P92" s="94">
        <v>1435.81</v>
      </c>
      <c r="Q92" s="94">
        <v>-16670</v>
      </c>
      <c r="R92" s="94">
        <v>0</v>
      </c>
      <c r="S92" s="94">
        <v>-467110.79</v>
      </c>
      <c r="T92" s="94">
        <v>-457442.80153846147</v>
      </c>
      <c r="U92" s="95">
        <v>0</v>
      </c>
      <c r="V92" s="96">
        <v>0.127</v>
      </c>
    </row>
    <row r="93" spans="1:22" ht="13" x14ac:dyDescent="0.3">
      <c r="A93" s="20" t="s">
        <v>772</v>
      </c>
      <c r="B93" s="20">
        <v>39204</v>
      </c>
      <c r="C93" s="20" t="s">
        <v>795</v>
      </c>
      <c r="D93" s="77" t="s">
        <v>271</v>
      </c>
      <c r="E93" s="77" t="s">
        <v>166</v>
      </c>
      <c r="F93" s="94">
        <v>14939.24</v>
      </c>
      <c r="G93" s="94">
        <v>0</v>
      </c>
      <c r="H93" s="94">
        <v>0</v>
      </c>
      <c r="I93" s="94">
        <v>0</v>
      </c>
      <c r="J93" s="94">
        <v>14939.24</v>
      </c>
      <c r="K93" s="94">
        <v>14939.239999999998</v>
      </c>
      <c r="L93" s="95">
        <v>0</v>
      </c>
      <c r="M93" s="94">
        <v>-3347.560000000004</v>
      </c>
      <c r="N93" s="94">
        <v>-597.6</v>
      </c>
      <c r="O93" s="94">
        <v>0</v>
      </c>
      <c r="P93" s="94">
        <v>0</v>
      </c>
      <c r="Q93" s="94">
        <v>0</v>
      </c>
      <c r="R93" s="94">
        <v>0</v>
      </c>
      <c r="S93" s="94">
        <v>-3945.1600000000039</v>
      </c>
      <c r="T93" s="94">
        <v>-3646.3600000000051</v>
      </c>
      <c r="U93" s="95">
        <v>0</v>
      </c>
      <c r="V93" s="96">
        <v>0.04</v>
      </c>
    </row>
    <row r="94" spans="1:22" ht="13" x14ac:dyDescent="0.3">
      <c r="A94" s="20" t="s">
        <v>772</v>
      </c>
      <c r="B94" s="20">
        <v>39205</v>
      </c>
      <c r="C94" s="20" t="s">
        <v>796</v>
      </c>
      <c r="D94" s="77" t="s">
        <v>272</v>
      </c>
      <c r="E94" s="77" t="s">
        <v>167</v>
      </c>
      <c r="F94" s="94">
        <v>32788.949999999997</v>
      </c>
      <c r="G94" s="94">
        <v>0</v>
      </c>
      <c r="H94" s="94">
        <v>-32788.949999999997</v>
      </c>
      <c r="I94" s="94">
        <v>0</v>
      </c>
      <c r="J94" s="94">
        <v>0</v>
      </c>
      <c r="K94" s="94">
        <v>17655.588461538464</v>
      </c>
      <c r="L94" s="95">
        <v>0</v>
      </c>
      <c r="M94" s="94">
        <v>-36118.199999999801</v>
      </c>
      <c r="N94" s="94">
        <v>-1415.4</v>
      </c>
      <c r="O94" s="94">
        <v>32788.949999999997</v>
      </c>
      <c r="P94" s="94">
        <v>0</v>
      </c>
      <c r="Q94" s="94">
        <v>-515</v>
      </c>
      <c r="R94" s="94">
        <v>0</v>
      </c>
      <c r="S94" s="94">
        <v>-5259.649999999805</v>
      </c>
      <c r="T94" s="94">
        <v>-22202.423076922867</v>
      </c>
      <c r="U94" s="95">
        <v>1.9099388737231493E-11</v>
      </c>
      <c r="V94" s="96">
        <v>7.3999999999999996E-2</v>
      </c>
    </row>
    <row r="95" spans="1:22" ht="13" x14ac:dyDescent="0.3">
      <c r="A95" s="20" t="s">
        <v>772</v>
      </c>
      <c r="B95" s="20">
        <v>39300</v>
      </c>
      <c r="C95" s="20" t="s">
        <v>797</v>
      </c>
      <c r="D95" s="77" t="s">
        <v>273</v>
      </c>
      <c r="E95" s="77" t="s">
        <v>168</v>
      </c>
      <c r="F95" s="94">
        <v>0</v>
      </c>
      <c r="G95" s="94">
        <v>0</v>
      </c>
      <c r="H95" s="94">
        <v>0</v>
      </c>
      <c r="I95" s="94">
        <v>0</v>
      </c>
      <c r="J95" s="94">
        <v>0</v>
      </c>
      <c r="K95" s="94">
        <v>0</v>
      </c>
      <c r="L95" s="95">
        <v>0</v>
      </c>
      <c r="M95" s="94">
        <v>0</v>
      </c>
      <c r="N95" s="94">
        <v>0</v>
      </c>
      <c r="O95" s="94">
        <v>0</v>
      </c>
      <c r="P95" s="94">
        <v>0</v>
      </c>
      <c r="Q95" s="94">
        <v>0</v>
      </c>
      <c r="R95" s="94">
        <v>0</v>
      </c>
      <c r="S95" s="94">
        <v>0</v>
      </c>
      <c r="T95" s="94">
        <v>0</v>
      </c>
      <c r="U95" s="95">
        <v>0</v>
      </c>
      <c r="V95" s="96">
        <v>0.04</v>
      </c>
    </row>
    <row r="96" spans="1:22" ht="13" x14ac:dyDescent="0.3">
      <c r="A96" s="20" t="s">
        <v>772</v>
      </c>
      <c r="B96" s="20">
        <v>39400</v>
      </c>
      <c r="C96" s="20" t="s">
        <v>798</v>
      </c>
      <c r="D96" s="77" t="s">
        <v>274</v>
      </c>
      <c r="E96" s="77" t="s">
        <v>169</v>
      </c>
      <c r="F96" s="94">
        <v>98629.790000000037</v>
      </c>
      <c r="G96" s="94">
        <v>7468.42</v>
      </c>
      <c r="H96" s="94">
        <v>0</v>
      </c>
      <c r="I96" s="94">
        <v>0</v>
      </c>
      <c r="J96" s="94">
        <v>106098.21000000004</v>
      </c>
      <c r="K96" s="94">
        <v>101805.54615384618</v>
      </c>
      <c r="L96" s="95">
        <v>0</v>
      </c>
      <c r="M96" s="94">
        <v>-69561.740000000311</v>
      </c>
      <c r="N96" s="94">
        <v>-6695.54</v>
      </c>
      <c r="O96" s="94">
        <v>0</v>
      </c>
      <c r="P96" s="94">
        <v>0</v>
      </c>
      <c r="Q96" s="94">
        <v>0</v>
      </c>
      <c r="R96" s="94">
        <v>0</v>
      </c>
      <c r="S96" s="94">
        <v>-76257.280000000304</v>
      </c>
      <c r="T96" s="94">
        <v>-72871.179230769543</v>
      </c>
      <c r="U96" s="95">
        <v>0</v>
      </c>
      <c r="V96" s="96">
        <v>6.6000000000000003E-2</v>
      </c>
    </row>
    <row r="97" spans="1:22" ht="13" x14ac:dyDescent="0.3">
      <c r="A97" s="20" t="s">
        <v>772</v>
      </c>
      <c r="B97" s="20">
        <v>39600</v>
      </c>
      <c r="C97" s="20" t="s">
        <v>799</v>
      </c>
      <c r="D97" s="77" t="s">
        <v>275</v>
      </c>
      <c r="E97" s="77" t="s">
        <v>171</v>
      </c>
      <c r="F97" s="94">
        <v>170034.37</v>
      </c>
      <c r="G97" s="94">
        <v>20782.62</v>
      </c>
      <c r="H97" s="94">
        <v>0</v>
      </c>
      <c r="I97" s="94">
        <v>0</v>
      </c>
      <c r="J97" s="94">
        <v>190816.99</v>
      </c>
      <c r="K97" s="94">
        <v>181225.01153846158</v>
      </c>
      <c r="L97" s="95">
        <v>0</v>
      </c>
      <c r="M97" s="94">
        <v>-109949.54000000007</v>
      </c>
      <c r="N97" s="94">
        <v>-11547.240000000003</v>
      </c>
      <c r="O97" s="94">
        <v>0</v>
      </c>
      <c r="P97" s="94">
        <v>0</v>
      </c>
      <c r="Q97" s="94">
        <v>0</v>
      </c>
      <c r="R97" s="94">
        <v>0</v>
      </c>
      <c r="S97" s="94">
        <v>-121496.78000000007</v>
      </c>
      <c r="T97" s="94">
        <v>-115569.68923076932</v>
      </c>
      <c r="U97" s="95">
        <v>0</v>
      </c>
      <c r="V97" s="96">
        <v>6.4000000000000001E-2</v>
      </c>
    </row>
    <row r="98" spans="1:22" ht="13" x14ac:dyDescent="0.3">
      <c r="A98" s="20" t="s">
        <v>772</v>
      </c>
      <c r="B98" s="20">
        <v>39700</v>
      </c>
      <c r="C98" s="20" t="s">
        <v>800</v>
      </c>
      <c r="D98" s="77" t="s">
        <v>276</v>
      </c>
      <c r="E98" s="77" t="s">
        <v>172</v>
      </c>
      <c r="F98" s="94">
        <v>32214.939999999995</v>
      </c>
      <c r="G98" s="94">
        <v>0</v>
      </c>
      <c r="H98" s="94">
        <v>0</v>
      </c>
      <c r="I98" s="94">
        <v>0</v>
      </c>
      <c r="J98" s="94">
        <v>32214.939999999995</v>
      </c>
      <c r="K98" s="94">
        <v>32214.94</v>
      </c>
      <c r="L98" s="95">
        <v>0</v>
      </c>
      <c r="M98" s="94">
        <v>-29495.609999999986</v>
      </c>
      <c r="N98" s="94">
        <v>-2706</v>
      </c>
      <c r="O98" s="94">
        <v>0</v>
      </c>
      <c r="P98" s="94">
        <v>0</v>
      </c>
      <c r="Q98" s="94">
        <v>0</v>
      </c>
      <c r="R98" s="94">
        <v>0</v>
      </c>
      <c r="S98" s="94">
        <v>-32201.609999999986</v>
      </c>
      <c r="T98" s="94">
        <v>-30848.609999999986</v>
      </c>
      <c r="U98" s="95">
        <v>0</v>
      </c>
      <c r="V98" s="96">
        <v>8.4000000000000005E-2</v>
      </c>
    </row>
    <row r="99" spans="1:22" ht="13" x14ac:dyDescent="0.3">
      <c r="A99" s="20" t="s">
        <v>772</v>
      </c>
      <c r="B99" s="20">
        <v>39800</v>
      </c>
      <c r="C99" s="20" t="s">
        <v>801</v>
      </c>
      <c r="D99" s="77" t="s">
        <v>277</v>
      </c>
      <c r="E99" s="77" t="s">
        <v>173</v>
      </c>
      <c r="F99" s="94">
        <v>8095.7100000000009</v>
      </c>
      <c r="G99" s="94">
        <v>59.569999999999936</v>
      </c>
      <c r="H99" s="94">
        <v>0</v>
      </c>
      <c r="I99" s="94">
        <v>0</v>
      </c>
      <c r="J99" s="94">
        <v>8155.2800000000007</v>
      </c>
      <c r="K99" s="94">
        <v>8413.6315384615391</v>
      </c>
      <c r="L99" s="95">
        <v>0</v>
      </c>
      <c r="M99" s="94">
        <v>-4925.8500000000113</v>
      </c>
      <c r="N99" s="94">
        <v>-497.65000000000009</v>
      </c>
      <c r="O99" s="94">
        <v>0</v>
      </c>
      <c r="P99" s="94">
        <v>0</v>
      </c>
      <c r="Q99" s="94">
        <v>0</v>
      </c>
      <c r="R99" s="94">
        <v>0</v>
      </c>
      <c r="S99" s="94">
        <v>-5423.5000000000109</v>
      </c>
      <c r="T99" s="94">
        <v>-5172.1315384615509</v>
      </c>
      <c r="U99" s="95">
        <v>0</v>
      </c>
      <c r="V99" s="96">
        <v>5.8999999999999997E-2</v>
      </c>
    </row>
    <row r="100" spans="1:22" ht="13" x14ac:dyDescent="0.3">
      <c r="A100" s="20" t="s">
        <v>802</v>
      </c>
      <c r="B100" s="20">
        <v>30301</v>
      </c>
      <c r="C100" s="20" t="s">
        <v>803</v>
      </c>
      <c r="D100" s="77" t="s">
        <v>278</v>
      </c>
      <c r="E100" s="77" t="s">
        <v>141</v>
      </c>
      <c r="F100" s="94">
        <v>9519.64</v>
      </c>
      <c r="G100" s="94">
        <v>9940.75</v>
      </c>
      <c r="H100" s="94">
        <v>0</v>
      </c>
      <c r="I100" s="94">
        <v>0</v>
      </c>
      <c r="J100" s="94">
        <v>19460.39</v>
      </c>
      <c r="K100" s="94">
        <v>12578.332307692308</v>
      </c>
      <c r="L100" s="95">
        <v>0</v>
      </c>
      <c r="M100" s="94">
        <v>-9519.64</v>
      </c>
      <c r="N100" s="94">
        <v>-379.1</v>
      </c>
      <c r="O100" s="94">
        <v>0</v>
      </c>
      <c r="P100" s="94">
        <v>0</v>
      </c>
      <c r="Q100" s="94">
        <v>0</v>
      </c>
      <c r="R100" s="94">
        <v>0</v>
      </c>
      <c r="S100" s="94">
        <v>-9898.74</v>
      </c>
      <c r="T100" s="94">
        <v>-9586.1399999999976</v>
      </c>
      <c r="U100" s="95">
        <v>0</v>
      </c>
      <c r="V100" s="96">
        <v>6.7000000000000004E-2</v>
      </c>
    </row>
    <row r="101" spans="1:22" ht="13" x14ac:dyDescent="0.3">
      <c r="A101" s="20" t="s">
        <v>802</v>
      </c>
      <c r="B101" s="20">
        <v>37400</v>
      </c>
      <c r="C101" s="20" t="s">
        <v>804</v>
      </c>
      <c r="D101" s="77" t="s">
        <v>279</v>
      </c>
      <c r="E101" s="77" t="s">
        <v>142</v>
      </c>
      <c r="F101" s="94">
        <v>93005.66</v>
      </c>
      <c r="G101" s="94">
        <v>0</v>
      </c>
      <c r="H101" s="94">
        <v>0</v>
      </c>
      <c r="I101" s="94">
        <v>0</v>
      </c>
      <c r="J101" s="94">
        <v>93005.66</v>
      </c>
      <c r="K101" s="94">
        <v>93005.66</v>
      </c>
      <c r="L101" s="95">
        <v>0</v>
      </c>
      <c r="M101" s="94">
        <v>0</v>
      </c>
      <c r="N101" s="94">
        <v>0</v>
      </c>
      <c r="O101" s="94">
        <v>0</v>
      </c>
      <c r="P101" s="94">
        <v>0</v>
      </c>
      <c r="Q101" s="94">
        <v>0</v>
      </c>
      <c r="R101" s="94">
        <v>0</v>
      </c>
      <c r="S101" s="94">
        <v>0</v>
      </c>
      <c r="T101" s="94">
        <v>0</v>
      </c>
      <c r="U101" s="95">
        <v>0</v>
      </c>
      <c r="V101" s="96">
        <v>0</v>
      </c>
    </row>
    <row r="102" spans="1:22" ht="13" x14ac:dyDescent="0.3">
      <c r="A102" s="20" t="s">
        <v>802</v>
      </c>
      <c r="B102" s="20">
        <v>37402</v>
      </c>
      <c r="C102" s="20" t="s">
        <v>805</v>
      </c>
      <c r="D102" s="77" t="s">
        <v>280</v>
      </c>
      <c r="E102" s="77" t="s">
        <v>143</v>
      </c>
      <c r="F102" s="94">
        <v>408205.28</v>
      </c>
      <c r="G102" s="94">
        <v>0</v>
      </c>
      <c r="H102" s="94">
        <v>0</v>
      </c>
      <c r="I102" s="94">
        <v>0</v>
      </c>
      <c r="J102" s="94">
        <v>408205.28</v>
      </c>
      <c r="K102" s="94">
        <v>408205.28000000014</v>
      </c>
      <c r="L102" s="95">
        <v>0</v>
      </c>
      <c r="M102" s="94">
        <v>-309947.38999999978</v>
      </c>
      <c r="N102" s="94">
        <v>-5306.6400000000021</v>
      </c>
      <c r="O102" s="94">
        <v>0</v>
      </c>
      <c r="P102" s="94">
        <v>0</v>
      </c>
      <c r="Q102" s="94">
        <v>0</v>
      </c>
      <c r="R102" s="94">
        <v>0</v>
      </c>
      <c r="S102" s="94">
        <v>-315254.0299999998</v>
      </c>
      <c r="T102" s="94">
        <v>-312600.70999999961</v>
      </c>
      <c r="U102" s="95">
        <v>0</v>
      </c>
      <c r="V102" s="96">
        <v>1.2999999999999999E-2</v>
      </c>
    </row>
    <row r="103" spans="1:22" ht="13" x14ac:dyDescent="0.3">
      <c r="A103" s="20" t="s">
        <v>802</v>
      </c>
      <c r="B103" s="20">
        <v>37500</v>
      </c>
      <c r="C103" s="20" t="s">
        <v>806</v>
      </c>
      <c r="D103" s="77" t="s">
        <v>281</v>
      </c>
      <c r="E103" s="77" t="s">
        <v>144</v>
      </c>
      <c r="F103" s="94">
        <v>1957949.0900000003</v>
      </c>
      <c r="G103" s="94">
        <v>37850.19</v>
      </c>
      <c r="H103" s="94">
        <v>0</v>
      </c>
      <c r="I103" s="94">
        <v>0</v>
      </c>
      <c r="J103" s="94">
        <v>1995799.2800000003</v>
      </c>
      <c r="K103" s="94">
        <v>1973546.6992307699</v>
      </c>
      <c r="L103" s="95">
        <v>0</v>
      </c>
      <c r="M103" s="94">
        <v>-834361.65000000072</v>
      </c>
      <c r="N103" s="94">
        <v>-49292.31</v>
      </c>
      <c r="O103" s="94">
        <v>0</v>
      </c>
      <c r="P103" s="94">
        <v>0</v>
      </c>
      <c r="Q103" s="94">
        <v>0</v>
      </c>
      <c r="R103" s="94">
        <v>0</v>
      </c>
      <c r="S103" s="94">
        <v>-883653.96000000066</v>
      </c>
      <c r="T103" s="94">
        <v>-858913.56461538549</v>
      </c>
      <c r="U103" s="95">
        <v>0</v>
      </c>
      <c r="V103" s="96">
        <v>2.5000000000000001E-2</v>
      </c>
    </row>
    <row r="104" spans="1:22" ht="13" x14ac:dyDescent="0.3">
      <c r="A104" s="20" t="s">
        <v>802</v>
      </c>
      <c r="B104" s="20">
        <v>37600</v>
      </c>
      <c r="C104" s="20" t="s">
        <v>807</v>
      </c>
      <c r="D104" s="77" t="s">
        <v>282</v>
      </c>
      <c r="E104" s="77" t="s">
        <v>145</v>
      </c>
      <c r="F104" s="94">
        <v>55080843.68</v>
      </c>
      <c r="G104" s="94">
        <v>2451845.6599999997</v>
      </c>
      <c r="H104" s="94">
        <v>-1049262.54</v>
      </c>
      <c r="I104" s="94">
        <v>0</v>
      </c>
      <c r="J104" s="94">
        <v>56483426.799999997</v>
      </c>
      <c r="K104" s="94">
        <v>55682992.798461519</v>
      </c>
      <c r="L104" s="95">
        <v>0</v>
      </c>
      <c r="M104" s="94">
        <v>-24270950.400000002</v>
      </c>
      <c r="N104" s="94">
        <v>-2335884.1800000002</v>
      </c>
      <c r="O104" s="94">
        <v>1049262.54</v>
      </c>
      <c r="P104" s="94">
        <v>235632.44</v>
      </c>
      <c r="Q104" s="94">
        <v>0</v>
      </c>
      <c r="R104" s="94">
        <v>0</v>
      </c>
      <c r="S104" s="94">
        <v>-25321939.600000001</v>
      </c>
      <c r="T104" s="94">
        <v>-24563053.030000005</v>
      </c>
      <c r="U104" s="95">
        <v>0</v>
      </c>
      <c r="V104" s="96">
        <v>4.2000000000000003E-2</v>
      </c>
    </row>
    <row r="105" spans="1:22" ht="13" x14ac:dyDescent="0.3">
      <c r="A105" s="20" t="s">
        <v>802</v>
      </c>
      <c r="B105" s="20">
        <v>37602</v>
      </c>
      <c r="C105" s="20" t="s">
        <v>808</v>
      </c>
      <c r="D105" s="77" t="s">
        <v>283</v>
      </c>
      <c r="E105" s="77" t="s">
        <v>146</v>
      </c>
      <c r="F105" s="94">
        <v>25086351.080000009</v>
      </c>
      <c r="G105" s="94">
        <v>1682093.27</v>
      </c>
      <c r="H105" s="94">
        <v>-136604.13</v>
      </c>
      <c r="I105" s="94">
        <v>0</v>
      </c>
      <c r="J105" s="94">
        <v>26631840.22000001</v>
      </c>
      <c r="K105" s="94">
        <v>26140394.373846166</v>
      </c>
      <c r="L105" s="95">
        <v>0</v>
      </c>
      <c r="M105" s="94">
        <v>-10203094.91</v>
      </c>
      <c r="N105" s="94">
        <v>-809082.64</v>
      </c>
      <c r="O105" s="94">
        <v>136604.13</v>
      </c>
      <c r="P105" s="94">
        <v>-16296.609999999995</v>
      </c>
      <c r="Q105" s="94">
        <v>0</v>
      </c>
      <c r="R105" s="94">
        <v>0</v>
      </c>
      <c r="S105" s="94">
        <v>-10891870.029999999</v>
      </c>
      <c r="T105" s="94">
        <v>-10510637.524615387</v>
      </c>
      <c r="U105" s="95">
        <v>0</v>
      </c>
      <c r="V105" s="96">
        <v>3.1E-2</v>
      </c>
    </row>
    <row r="106" spans="1:22" ht="13" x14ac:dyDescent="0.3">
      <c r="A106" s="20" t="s">
        <v>802</v>
      </c>
      <c r="B106" s="20">
        <v>37602</v>
      </c>
      <c r="C106" s="20" t="s">
        <v>808</v>
      </c>
      <c r="D106" s="77" t="s">
        <v>284</v>
      </c>
      <c r="E106" s="77" t="s">
        <v>146</v>
      </c>
      <c r="F106" s="94">
        <v>0</v>
      </c>
      <c r="G106" s="94">
        <v>0</v>
      </c>
      <c r="H106" s="94">
        <v>0</v>
      </c>
      <c r="I106" s="94">
        <v>0</v>
      </c>
      <c r="J106" s="94">
        <v>0</v>
      </c>
      <c r="K106" s="94">
        <v>0</v>
      </c>
      <c r="L106" s="95">
        <v>0</v>
      </c>
      <c r="M106" s="94">
        <v>-10475.08</v>
      </c>
      <c r="N106" s="94">
        <v>0</v>
      </c>
      <c r="O106" s="94">
        <v>0</v>
      </c>
      <c r="P106" s="94">
        <v>0</v>
      </c>
      <c r="Q106" s="94">
        <v>0</v>
      </c>
      <c r="R106" s="94">
        <v>0</v>
      </c>
      <c r="S106" s="94">
        <v>-10475.08</v>
      </c>
      <c r="T106" s="94">
        <v>-10475.08</v>
      </c>
      <c r="U106" s="95">
        <v>0</v>
      </c>
      <c r="V106" s="96">
        <v>3.1E-2</v>
      </c>
    </row>
    <row r="107" spans="1:22" ht="13" x14ac:dyDescent="0.3">
      <c r="A107" s="20" t="s">
        <v>802</v>
      </c>
      <c r="B107" s="20">
        <v>37602</v>
      </c>
      <c r="C107" s="20" t="s">
        <v>808</v>
      </c>
      <c r="D107" s="77" t="s">
        <v>285</v>
      </c>
      <c r="E107" s="77" t="s">
        <v>146</v>
      </c>
      <c r="F107" s="94">
        <v>0</v>
      </c>
      <c r="G107" s="94">
        <v>0</v>
      </c>
      <c r="H107" s="94">
        <v>0</v>
      </c>
      <c r="I107" s="94">
        <v>0</v>
      </c>
      <c r="J107" s="94">
        <v>0</v>
      </c>
      <c r="K107" s="94">
        <v>0</v>
      </c>
      <c r="L107" s="95">
        <v>0</v>
      </c>
      <c r="M107" s="94">
        <v>5061.7299999999996</v>
      </c>
      <c r="N107" s="94">
        <v>0</v>
      </c>
      <c r="O107" s="94">
        <v>0</v>
      </c>
      <c r="P107" s="94">
        <v>0</v>
      </c>
      <c r="Q107" s="94">
        <v>0</v>
      </c>
      <c r="R107" s="94">
        <v>0</v>
      </c>
      <c r="S107" s="94">
        <v>5061.7299999999996</v>
      </c>
      <c r="T107" s="94">
        <v>5061.7299999999977</v>
      </c>
      <c r="U107" s="95">
        <v>0</v>
      </c>
      <c r="V107" s="96">
        <v>3.1E-2</v>
      </c>
    </row>
    <row r="108" spans="1:22" ht="13" x14ac:dyDescent="0.3">
      <c r="A108" s="20" t="s">
        <v>802</v>
      </c>
      <c r="B108" s="20">
        <v>37800</v>
      </c>
      <c r="C108" s="20" t="s">
        <v>809</v>
      </c>
      <c r="D108" s="77" t="s">
        <v>286</v>
      </c>
      <c r="E108" s="77" t="s">
        <v>147</v>
      </c>
      <c r="F108" s="94">
        <v>1198691.76</v>
      </c>
      <c r="G108" s="94">
        <v>86930.36</v>
      </c>
      <c r="H108" s="94">
        <v>-1206.75</v>
      </c>
      <c r="I108" s="94">
        <v>0</v>
      </c>
      <c r="J108" s="94">
        <v>1284415.3700000001</v>
      </c>
      <c r="K108" s="94">
        <v>1219062.0784615381</v>
      </c>
      <c r="L108" s="95">
        <v>0</v>
      </c>
      <c r="M108" s="94">
        <v>-557461.48999999929</v>
      </c>
      <c r="N108" s="94">
        <v>-41262.949999999997</v>
      </c>
      <c r="O108" s="94">
        <v>1206.75</v>
      </c>
      <c r="P108" s="94">
        <v>11297.369999999999</v>
      </c>
      <c r="Q108" s="94">
        <v>0</v>
      </c>
      <c r="R108" s="94">
        <v>0</v>
      </c>
      <c r="S108" s="94">
        <v>-586220.31999999925</v>
      </c>
      <c r="T108" s="94">
        <v>-571057.05692307639</v>
      </c>
      <c r="U108" s="95">
        <v>0</v>
      </c>
      <c r="V108" s="96">
        <v>3.4000000000000002E-2</v>
      </c>
    </row>
    <row r="109" spans="1:22" ht="13" x14ac:dyDescent="0.3">
      <c r="A109" s="20" t="s">
        <v>802</v>
      </c>
      <c r="B109" s="20">
        <v>37900</v>
      </c>
      <c r="C109" s="20" t="s">
        <v>810</v>
      </c>
      <c r="D109" s="77" t="s">
        <v>287</v>
      </c>
      <c r="E109" s="77" t="s">
        <v>148</v>
      </c>
      <c r="F109" s="94">
        <v>1681782.19</v>
      </c>
      <c r="G109" s="94">
        <v>23443.879999999997</v>
      </c>
      <c r="H109" s="94">
        <v>0</v>
      </c>
      <c r="I109" s="94">
        <v>0</v>
      </c>
      <c r="J109" s="94">
        <v>1705226.0699999998</v>
      </c>
      <c r="K109" s="94">
        <v>1710967.3223076921</v>
      </c>
      <c r="L109" s="95">
        <v>0</v>
      </c>
      <c r="M109" s="94">
        <v>-545086.50999999978</v>
      </c>
      <c r="N109" s="94">
        <v>-58189.139999999992</v>
      </c>
      <c r="O109" s="94">
        <v>0</v>
      </c>
      <c r="P109" s="94">
        <v>0</v>
      </c>
      <c r="Q109" s="94">
        <v>0</v>
      </c>
      <c r="R109" s="94">
        <v>0</v>
      </c>
      <c r="S109" s="94">
        <v>-603275.64999999979</v>
      </c>
      <c r="T109" s="94">
        <v>-574002.57769230765</v>
      </c>
      <c r="U109" s="95">
        <v>0</v>
      </c>
      <c r="V109" s="96">
        <v>3.4000000000000002E-2</v>
      </c>
    </row>
    <row r="110" spans="1:22" ht="13" x14ac:dyDescent="0.3">
      <c r="A110" s="20" t="s">
        <v>802</v>
      </c>
      <c r="B110" s="20">
        <v>38000</v>
      </c>
      <c r="C110" s="20" t="s">
        <v>811</v>
      </c>
      <c r="D110" s="77" t="s">
        <v>288</v>
      </c>
      <c r="E110" s="77" t="s">
        <v>149</v>
      </c>
      <c r="F110" s="94">
        <v>13494039.660000009</v>
      </c>
      <c r="G110" s="94">
        <v>821590.72</v>
      </c>
      <c r="H110" s="94">
        <v>-55230.869999999995</v>
      </c>
      <c r="I110" s="94">
        <v>0</v>
      </c>
      <c r="J110" s="94">
        <v>14260399.510000011</v>
      </c>
      <c r="K110" s="94">
        <v>13833820.240769245</v>
      </c>
      <c r="L110" s="95">
        <v>0</v>
      </c>
      <c r="M110" s="94">
        <v>-13323381.220000001</v>
      </c>
      <c r="N110" s="94">
        <v>-910685.94000000006</v>
      </c>
      <c r="O110" s="94">
        <v>55230.869999999995</v>
      </c>
      <c r="P110" s="94">
        <v>128490.67</v>
      </c>
      <c r="Q110" s="94">
        <v>0</v>
      </c>
      <c r="R110" s="94">
        <v>0</v>
      </c>
      <c r="S110" s="94">
        <v>-14050345.620000001</v>
      </c>
      <c r="T110" s="94">
        <v>-13681283.197692309</v>
      </c>
      <c r="U110" s="95">
        <v>0</v>
      </c>
      <c r="V110" s="96">
        <v>6.5999999999999989E-2</v>
      </c>
    </row>
    <row r="111" spans="1:22" ht="13" x14ac:dyDescent="0.3">
      <c r="A111" s="20" t="s">
        <v>802</v>
      </c>
      <c r="B111" s="20">
        <v>38002</v>
      </c>
      <c r="C111" s="20" t="s">
        <v>812</v>
      </c>
      <c r="D111" s="77" t="s">
        <v>289</v>
      </c>
      <c r="E111" s="77" t="s">
        <v>150</v>
      </c>
      <c r="F111" s="94">
        <v>22753069.079999998</v>
      </c>
      <c r="G111" s="94">
        <v>1476760.6</v>
      </c>
      <c r="H111" s="94">
        <v>-33884.259999999995</v>
      </c>
      <c r="I111" s="94">
        <v>0</v>
      </c>
      <c r="J111" s="94">
        <v>24195945.419999998</v>
      </c>
      <c r="K111" s="94">
        <v>23399266.920000002</v>
      </c>
      <c r="L111" s="95">
        <v>0</v>
      </c>
      <c r="M111" s="94">
        <v>-15011178.239999991</v>
      </c>
      <c r="N111" s="94">
        <v>-1166643.8500000001</v>
      </c>
      <c r="O111" s="94">
        <v>33884.259999999995</v>
      </c>
      <c r="P111" s="94">
        <v>137592.99000000002</v>
      </c>
      <c r="Q111" s="94">
        <v>0</v>
      </c>
      <c r="R111" s="94">
        <v>0</v>
      </c>
      <c r="S111" s="94">
        <v>-16006344.839999991</v>
      </c>
      <c r="T111" s="94">
        <v>-15539736.498461526</v>
      </c>
      <c r="U111" s="95">
        <v>0</v>
      </c>
      <c r="V111" s="96">
        <v>0.05</v>
      </c>
    </row>
    <row r="112" spans="1:22" ht="13" x14ac:dyDescent="0.3">
      <c r="A112" s="20" t="s">
        <v>802</v>
      </c>
      <c r="B112" s="20">
        <v>38200</v>
      </c>
      <c r="C112" s="20" t="s">
        <v>813</v>
      </c>
      <c r="D112" s="77" t="s">
        <v>290</v>
      </c>
      <c r="E112" s="77" t="s">
        <v>152</v>
      </c>
      <c r="F112" s="94">
        <v>7065788.0700000031</v>
      </c>
      <c r="G112" s="94">
        <v>356295.66000000003</v>
      </c>
      <c r="H112" s="94">
        <v>-85516.09</v>
      </c>
      <c r="I112" s="94">
        <v>0</v>
      </c>
      <c r="J112" s="94">
        <v>7336567.6400000034</v>
      </c>
      <c r="K112" s="94">
        <v>7212414.2315384652</v>
      </c>
      <c r="L112" s="95">
        <v>0</v>
      </c>
      <c r="M112" s="94">
        <v>-5471762.290000001</v>
      </c>
      <c r="N112" s="94">
        <v>-324093.05000000005</v>
      </c>
      <c r="O112" s="94">
        <v>85516.09</v>
      </c>
      <c r="P112" s="94">
        <v>18570.29</v>
      </c>
      <c r="Q112" s="94">
        <v>0</v>
      </c>
      <c r="R112" s="94">
        <v>0</v>
      </c>
      <c r="S112" s="94">
        <v>-5691768.9600000009</v>
      </c>
      <c r="T112" s="94">
        <v>-5616714.0299999993</v>
      </c>
      <c r="U112" s="95">
        <v>0</v>
      </c>
      <c r="V112" s="96">
        <v>4.4999999999999998E-2</v>
      </c>
    </row>
    <row r="113" spans="1:22" ht="13" x14ac:dyDescent="0.3">
      <c r="A113" s="20" t="s">
        <v>802</v>
      </c>
      <c r="B113" s="20">
        <v>38300</v>
      </c>
      <c r="C113" s="20" t="s">
        <v>814</v>
      </c>
      <c r="D113" s="77" t="s">
        <v>291</v>
      </c>
      <c r="E113" s="77" t="s">
        <v>153</v>
      </c>
      <c r="F113" s="94">
        <v>2086858.9399999997</v>
      </c>
      <c r="G113" s="94">
        <v>56074.76</v>
      </c>
      <c r="H113" s="94">
        <v>-3900.35</v>
      </c>
      <c r="I113" s="94">
        <v>0</v>
      </c>
      <c r="J113" s="94">
        <v>2139033.3499999996</v>
      </c>
      <c r="K113" s="94">
        <v>2099552.7653846154</v>
      </c>
      <c r="L113" s="95">
        <v>0</v>
      </c>
      <c r="M113" s="94">
        <v>-1129830.9100000004</v>
      </c>
      <c r="N113" s="94">
        <v>-75465.469999999987</v>
      </c>
      <c r="O113" s="94">
        <v>3900.35</v>
      </c>
      <c r="P113" s="94">
        <v>0</v>
      </c>
      <c r="Q113" s="94">
        <v>0</v>
      </c>
      <c r="R113" s="94">
        <v>0</v>
      </c>
      <c r="S113" s="94">
        <v>-1201396.0300000003</v>
      </c>
      <c r="T113" s="94">
        <v>-1167171.9169230775</v>
      </c>
      <c r="U113" s="95">
        <v>0</v>
      </c>
      <c r="V113" s="96">
        <v>3.5999999999999997E-2</v>
      </c>
    </row>
    <row r="114" spans="1:22" ht="13" x14ac:dyDescent="0.3">
      <c r="A114" s="20" t="s">
        <v>802</v>
      </c>
      <c r="B114" s="20">
        <v>38400</v>
      </c>
      <c r="C114" s="20" t="s">
        <v>815</v>
      </c>
      <c r="D114" s="77" t="s">
        <v>292</v>
      </c>
      <c r="E114" s="77" t="s">
        <v>154</v>
      </c>
      <c r="F114" s="94">
        <v>2636134.9899999998</v>
      </c>
      <c r="G114" s="94">
        <v>118765.23999999999</v>
      </c>
      <c r="H114" s="94">
        <v>-7554.8</v>
      </c>
      <c r="I114" s="94">
        <v>0</v>
      </c>
      <c r="J114" s="94">
        <v>2747345.4299999997</v>
      </c>
      <c r="K114" s="94">
        <v>2700247.366153846</v>
      </c>
      <c r="L114" s="95">
        <v>0</v>
      </c>
      <c r="M114" s="94">
        <v>-1422672.169999999</v>
      </c>
      <c r="N114" s="94">
        <v>-121334.5</v>
      </c>
      <c r="O114" s="94">
        <v>7554.8</v>
      </c>
      <c r="P114" s="94">
        <v>298.85000000000002</v>
      </c>
      <c r="Q114" s="94">
        <v>0</v>
      </c>
      <c r="R114" s="94">
        <v>0</v>
      </c>
      <c r="S114" s="94">
        <v>-1536153.0199999989</v>
      </c>
      <c r="T114" s="94">
        <v>-1475706.37076923</v>
      </c>
      <c r="U114" s="95">
        <v>0</v>
      </c>
      <c r="V114" s="96">
        <v>4.4999999999999998E-2</v>
      </c>
    </row>
    <row r="115" spans="1:22" ht="13" x14ac:dyDescent="0.3">
      <c r="A115" s="20" t="s">
        <v>802</v>
      </c>
      <c r="B115" s="20">
        <v>38500</v>
      </c>
      <c r="C115" s="20" t="s">
        <v>816</v>
      </c>
      <c r="D115" s="77" t="s">
        <v>293</v>
      </c>
      <c r="E115" s="77" t="s">
        <v>155</v>
      </c>
      <c r="F115" s="94">
        <v>2153954.4900000007</v>
      </c>
      <c r="G115" s="94">
        <v>0</v>
      </c>
      <c r="H115" s="94">
        <v>-1131.1300000000001</v>
      </c>
      <c r="I115" s="94">
        <v>0</v>
      </c>
      <c r="J115" s="94">
        <v>2152823.3600000008</v>
      </c>
      <c r="K115" s="94">
        <v>2152910.3700000006</v>
      </c>
      <c r="L115" s="95">
        <v>0</v>
      </c>
      <c r="M115" s="94">
        <v>-1183820.8599999992</v>
      </c>
      <c r="N115" s="94">
        <v>-66740.44</v>
      </c>
      <c r="O115" s="94">
        <v>1131.1300000000001</v>
      </c>
      <c r="P115" s="94">
        <v>10.07</v>
      </c>
      <c r="Q115" s="94">
        <v>0</v>
      </c>
      <c r="R115" s="94">
        <v>0</v>
      </c>
      <c r="S115" s="94">
        <v>-1249420.0999999992</v>
      </c>
      <c r="T115" s="94">
        <v>-1216138.899999999</v>
      </c>
      <c r="U115" s="95">
        <v>0</v>
      </c>
      <c r="V115" s="96">
        <v>3.1E-2</v>
      </c>
    </row>
    <row r="116" spans="1:22" ht="13" x14ac:dyDescent="0.3">
      <c r="A116" s="20" t="s">
        <v>802</v>
      </c>
      <c r="B116" s="20">
        <v>38700</v>
      </c>
      <c r="C116" s="20" t="s">
        <v>817</v>
      </c>
      <c r="D116" s="77" t="s">
        <v>294</v>
      </c>
      <c r="E116" s="77" t="s">
        <v>156</v>
      </c>
      <c r="F116" s="94">
        <v>494507.76999999996</v>
      </c>
      <c r="G116" s="94">
        <v>80187.12</v>
      </c>
      <c r="H116" s="94">
        <v>0</v>
      </c>
      <c r="I116" s="94">
        <v>0</v>
      </c>
      <c r="J116" s="94">
        <v>574694.8899999999</v>
      </c>
      <c r="K116" s="94">
        <v>510684.85846153833</v>
      </c>
      <c r="L116" s="95">
        <v>0</v>
      </c>
      <c r="M116" s="94">
        <v>-204631.48999999964</v>
      </c>
      <c r="N116" s="94">
        <v>-31837.129999999997</v>
      </c>
      <c r="O116" s="94">
        <v>0</v>
      </c>
      <c r="P116" s="94">
        <v>0</v>
      </c>
      <c r="Q116" s="94">
        <v>0</v>
      </c>
      <c r="R116" s="94">
        <v>0</v>
      </c>
      <c r="S116" s="94">
        <v>-236468.61999999965</v>
      </c>
      <c r="T116" s="94">
        <v>-220285.92923076896</v>
      </c>
      <c r="U116" s="95">
        <v>0</v>
      </c>
      <c r="V116" s="96">
        <v>6.3E-2</v>
      </c>
    </row>
    <row r="117" spans="1:22" ht="13" x14ac:dyDescent="0.3">
      <c r="A117" s="20" t="s">
        <v>802</v>
      </c>
      <c r="B117" s="20">
        <v>39002</v>
      </c>
      <c r="C117" s="20" t="s">
        <v>818</v>
      </c>
      <c r="D117" s="77" t="s">
        <v>295</v>
      </c>
      <c r="E117" s="77" t="s">
        <v>158</v>
      </c>
      <c r="F117" s="94">
        <v>0</v>
      </c>
      <c r="G117" s="94">
        <v>0</v>
      </c>
      <c r="H117" s="94">
        <v>0</v>
      </c>
      <c r="I117" s="94">
        <v>0</v>
      </c>
      <c r="J117" s="94">
        <v>0</v>
      </c>
      <c r="K117" s="94">
        <v>0</v>
      </c>
      <c r="L117" s="95">
        <v>0</v>
      </c>
      <c r="M117" s="94">
        <v>0</v>
      </c>
      <c r="N117" s="94">
        <v>0</v>
      </c>
      <c r="O117" s="94">
        <v>0</v>
      </c>
      <c r="P117" s="94">
        <v>0</v>
      </c>
      <c r="Q117" s="94">
        <v>0</v>
      </c>
      <c r="R117" s="94">
        <v>0</v>
      </c>
      <c r="S117" s="94">
        <v>0</v>
      </c>
      <c r="T117" s="94">
        <v>0</v>
      </c>
      <c r="U117" s="95">
        <v>0</v>
      </c>
      <c r="V117" s="96">
        <v>2.5000000000000001E-2</v>
      </c>
    </row>
    <row r="118" spans="1:22" ht="13" x14ac:dyDescent="0.3">
      <c r="A118" s="20" t="s">
        <v>802</v>
      </c>
      <c r="B118" s="20">
        <v>39100</v>
      </c>
      <c r="C118" s="20" t="s">
        <v>819</v>
      </c>
      <c r="D118" s="77" t="s">
        <v>296</v>
      </c>
      <c r="E118" s="77" t="s">
        <v>159</v>
      </c>
      <c r="F118" s="94">
        <v>51200.880000000005</v>
      </c>
      <c r="G118" s="94">
        <v>18066.239999999998</v>
      </c>
      <c r="H118" s="94">
        <v>0</v>
      </c>
      <c r="I118" s="94">
        <v>0</v>
      </c>
      <c r="J118" s="94">
        <v>69267.12</v>
      </c>
      <c r="K118" s="94">
        <v>60878.498461538467</v>
      </c>
      <c r="L118" s="95">
        <v>0</v>
      </c>
      <c r="M118" s="94">
        <v>-102222.71</v>
      </c>
      <c r="N118" s="94">
        <v>-4032.0099999999993</v>
      </c>
      <c r="O118" s="94">
        <v>0</v>
      </c>
      <c r="P118" s="94">
        <v>0</v>
      </c>
      <c r="Q118" s="94">
        <v>0</v>
      </c>
      <c r="R118" s="94">
        <v>0</v>
      </c>
      <c r="S118" s="94">
        <v>-106254.72</v>
      </c>
      <c r="T118" s="94">
        <v>-104103.45846153844</v>
      </c>
      <c r="U118" s="95">
        <v>0</v>
      </c>
      <c r="V118" s="96">
        <v>6.7000000000000004E-2</v>
      </c>
    </row>
    <row r="119" spans="1:22" ht="13" x14ac:dyDescent="0.3">
      <c r="A119" s="20" t="s">
        <v>802</v>
      </c>
      <c r="B119" s="20">
        <v>39101</v>
      </c>
      <c r="C119" s="20" t="s">
        <v>820</v>
      </c>
      <c r="D119" s="77" t="s">
        <v>297</v>
      </c>
      <c r="E119" s="77" t="s">
        <v>160</v>
      </c>
      <c r="F119" s="94">
        <v>355534.37999999995</v>
      </c>
      <c r="G119" s="94">
        <v>19230.939999999999</v>
      </c>
      <c r="H119" s="94">
        <v>-232825.11</v>
      </c>
      <c r="I119" s="94">
        <v>0</v>
      </c>
      <c r="J119" s="94">
        <v>141940.20999999996</v>
      </c>
      <c r="K119" s="94">
        <v>161487.12384615385</v>
      </c>
      <c r="L119" s="95">
        <v>0</v>
      </c>
      <c r="M119" s="94">
        <v>-197998.27000000002</v>
      </c>
      <c r="N119" s="94">
        <v>-20389.48</v>
      </c>
      <c r="O119" s="94">
        <v>232825.11</v>
      </c>
      <c r="P119" s="94">
        <v>0</v>
      </c>
      <c r="Q119" s="94">
        <v>0</v>
      </c>
      <c r="R119" s="94">
        <v>0</v>
      </c>
      <c r="S119" s="94">
        <v>14437.359999999957</v>
      </c>
      <c r="T119" s="94">
        <v>-12967.981538461583</v>
      </c>
      <c r="U119" s="95">
        <v>0</v>
      </c>
      <c r="V119" s="96">
        <v>0.125</v>
      </c>
    </row>
    <row r="120" spans="1:22" ht="13" x14ac:dyDescent="0.3">
      <c r="A120" s="20" t="s">
        <v>802</v>
      </c>
      <c r="B120" s="20">
        <v>39102</v>
      </c>
      <c r="C120" s="20" t="s">
        <v>821</v>
      </c>
      <c r="D120" s="77" t="s">
        <v>298</v>
      </c>
      <c r="E120" s="77" t="s">
        <v>161</v>
      </c>
      <c r="F120" s="94">
        <v>6408.9800000000005</v>
      </c>
      <c r="G120" s="94">
        <v>9286.1299999999992</v>
      </c>
      <c r="H120" s="94">
        <v>0</v>
      </c>
      <c r="I120" s="94">
        <v>0</v>
      </c>
      <c r="J120" s="94">
        <v>15695.11</v>
      </c>
      <c r="K120" s="94">
        <v>10694.886153846155</v>
      </c>
      <c r="L120" s="95">
        <v>0</v>
      </c>
      <c r="M120" s="94">
        <v>12377.339999999989</v>
      </c>
      <c r="N120" s="94">
        <v>-688.61</v>
      </c>
      <c r="O120" s="94">
        <v>0</v>
      </c>
      <c r="P120" s="94">
        <v>0</v>
      </c>
      <c r="Q120" s="94">
        <v>0</v>
      </c>
      <c r="R120" s="94">
        <v>0</v>
      </c>
      <c r="S120" s="94">
        <v>11688.729999999989</v>
      </c>
      <c r="T120" s="94">
        <v>12102.833076923063</v>
      </c>
      <c r="U120" s="95">
        <v>0</v>
      </c>
      <c r="V120" s="96">
        <v>6.7000000000000004E-2</v>
      </c>
    </row>
    <row r="121" spans="1:22" ht="13" x14ac:dyDescent="0.3">
      <c r="A121" s="20" t="s">
        <v>802</v>
      </c>
      <c r="B121" s="20">
        <v>39201</v>
      </c>
      <c r="C121" s="20" t="s">
        <v>822</v>
      </c>
      <c r="D121" s="77" t="s">
        <v>299</v>
      </c>
      <c r="E121" s="77" t="s">
        <v>163</v>
      </c>
      <c r="F121" s="94">
        <v>978760.2300000001</v>
      </c>
      <c r="G121" s="94">
        <v>257162.82</v>
      </c>
      <c r="H121" s="94">
        <v>0</v>
      </c>
      <c r="I121" s="94">
        <v>0</v>
      </c>
      <c r="J121" s="94">
        <v>1235923.05</v>
      </c>
      <c r="K121" s="94">
        <v>1052675.7476923079</v>
      </c>
      <c r="L121" s="95">
        <v>0</v>
      </c>
      <c r="M121" s="94">
        <v>-172053.13999999998</v>
      </c>
      <c r="N121" s="94">
        <v>-116189.41</v>
      </c>
      <c r="O121" s="94">
        <v>0</v>
      </c>
      <c r="P121" s="94">
        <v>424.45000000000005</v>
      </c>
      <c r="Q121" s="94">
        <v>-3634.45</v>
      </c>
      <c r="R121" s="94">
        <v>0</v>
      </c>
      <c r="S121" s="94">
        <v>-291452.55</v>
      </c>
      <c r="T121" s="94">
        <v>-228415.2276923077</v>
      </c>
      <c r="U121" s="95">
        <v>0</v>
      </c>
      <c r="V121" s="96">
        <v>0.112</v>
      </c>
    </row>
    <row r="122" spans="1:22" ht="13" x14ac:dyDescent="0.3">
      <c r="A122" s="20" t="s">
        <v>802</v>
      </c>
      <c r="B122" s="20">
        <v>39202</v>
      </c>
      <c r="C122" s="20" t="s">
        <v>823</v>
      </c>
      <c r="D122" s="77" t="s">
        <v>300</v>
      </c>
      <c r="E122" s="77" t="s">
        <v>164</v>
      </c>
      <c r="F122" s="94">
        <v>661441.60999999987</v>
      </c>
      <c r="G122" s="94">
        <v>0</v>
      </c>
      <c r="H122" s="94">
        <v>0</v>
      </c>
      <c r="I122" s="94">
        <v>0</v>
      </c>
      <c r="J122" s="94">
        <v>661441.60999999987</v>
      </c>
      <c r="K122" s="94">
        <v>661441.60999999964</v>
      </c>
      <c r="L122" s="95">
        <v>0</v>
      </c>
      <c r="M122" s="94">
        <v>-400018.88999999949</v>
      </c>
      <c r="N122" s="94">
        <v>-84003.12</v>
      </c>
      <c r="O122" s="94">
        <v>0</v>
      </c>
      <c r="P122" s="94">
        <v>209.48</v>
      </c>
      <c r="Q122" s="94">
        <v>-1890.5500000000002</v>
      </c>
      <c r="R122" s="94">
        <v>0</v>
      </c>
      <c r="S122" s="94">
        <v>-485703.07999999949</v>
      </c>
      <c r="T122" s="94">
        <v>-442261.17538461491</v>
      </c>
      <c r="U122" s="95">
        <v>0</v>
      </c>
      <c r="V122" s="96">
        <v>0.127</v>
      </c>
    </row>
    <row r="123" spans="1:22" ht="13" x14ac:dyDescent="0.3">
      <c r="A123" s="20" t="s">
        <v>802</v>
      </c>
      <c r="B123" s="20">
        <v>39204</v>
      </c>
      <c r="C123" s="20" t="s">
        <v>824</v>
      </c>
      <c r="D123" s="77" t="s">
        <v>301</v>
      </c>
      <c r="E123" s="77" t="s">
        <v>166</v>
      </c>
      <c r="F123" s="94">
        <v>11370</v>
      </c>
      <c r="G123" s="94">
        <v>5738.84</v>
      </c>
      <c r="H123" s="94">
        <v>0</v>
      </c>
      <c r="I123" s="94">
        <v>0</v>
      </c>
      <c r="J123" s="94">
        <v>17108.84</v>
      </c>
      <c r="K123" s="94">
        <v>12694.347692307692</v>
      </c>
      <c r="L123" s="95">
        <v>0</v>
      </c>
      <c r="M123" s="94">
        <v>-11843.470000000005</v>
      </c>
      <c r="N123" s="94">
        <v>-493.05999999999995</v>
      </c>
      <c r="O123" s="94">
        <v>0</v>
      </c>
      <c r="P123" s="94">
        <v>0</v>
      </c>
      <c r="Q123" s="94">
        <v>0</v>
      </c>
      <c r="R123" s="94">
        <v>0</v>
      </c>
      <c r="S123" s="94">
        <v>-12336.530000000004</v>
      </c>
      <c r="T123" s="94">
        <v>-12075.284615384619</v>
      </c>
      <c r="U123" s="95">
        <v>0</v>
      </c>
      <c r="V123" s="96">
        <v>0.04</v>
      </c>
    </row>
    <row r="124" spans="1:22" ht="13" x14ac:dyDescent="0.3">
      <c r="A124" s="20" t="s">
        <v>802</v>
      </c>
      <c r="B124" s="20">
        <v>39205</v>
      </c>
      <c r="C124" s="20" t="s">
        <v>825</v>
      </c>
      <c r="D124" s="77" t="s">
        <v>302</v>
      </c>
      <c r="E124" s="77" t="s">
        <v>167</v>
      </c>
      <c r="F124" s="94">
        <v>142064.82999999999</v>
      </c>
      <c r="G124" s="94">
        <v>0</v>
      </c>
      <c r="H124" s="94">
        <v>0</v>
      </c>
      <c r="I124" s="94">
        <v>0</v>
      </c>
      <c r="J124" s="94">
        <v>142064.82999999999</v>
      </c>
      <c r="K124" s="94">
        <v>142064.83000000002</v>
      </c>
      <c r="L124" s="95">
        <v>0</v>
      </c>
      <c r="M124" s="94">
        <v>-120505.94000000018</v>
      </c>
      <c r="N124" s="94">
        <v>-10512.839999999998</v>
      </c>
      <c r="O124" s="94">
        <v>0</v>
      </c>
      <c r="P124" s="94">
        <v>0</v>
      </c>
      <c r="Q124" s="94">
        <v>0</v>
      </c>
      <c r="R124" s="94">
        <v>0</v>
      </c>
      <c r="S124" s="94">
        <v>-131018.78000000017</v>
      </c>
      <c r="T124" s="94">
        <v>-125762.3600000002</v>
      </c>
      <c r="U124" s="95">
        <v>0</v>
      </c>
      <c r="V124" s="96">
        <v>7.3999999999999996E-2</v>
      </c>
    </row>
    <row r="125" spans="1:22" ht="13" x14ac:dyDescent="0.3">
      <c r="A125" s="20" t="s">
        <v>802</v>
      </c>
      <c r="B125" s="20">
        <v>39300</v>
      </c>
      <c r="C125" s="20" t="s">
        <v>826</v>
      </c>
      <c r="D125" s="77" t="s">
        <v>303</v>
      </c>
      <c r="E125" s="77" t="s">
        <v>168</v>
      </c>
      <c r="F125" s="94">
        <v>0</v>
      </c>
      <c r="G125" s="94">
        <v>0</v>
      </c>
      <c r="H125" s="94">
        <v>0</v>
      </c>
      <c r="I125" s="94">
        <v>0</v>
      </c>
      <c r="J125" s="94">
        <v>0</v>
      </c>
      <c r="K125" s="94">
        <v>0</v>
      </c>
      <c r="L125" s="95">
        <v>0</v>
      </c>
      <c r="M125" s="94">
        <v>-28.800000000000601</v>
      </c>
      <c r="N125" s="94">
        <v>0</v>
      </c>
      <c r="O125" s="94">
        <v>0</v>
      </c>
      <c r="P125" s="94">
        <v>0</v>
      </c>
      <c r="Q125" s="94">
        <v>0</v>
      </c>
      <c r="R125" s="94">
        <v>0</v>
      </c>
      <c r="S125" s="94">
        <v>-28.800000000000601</v>
      </c>
      <c r="T125" s="94">
        <v>-28.800000000000598</v>
      </c>
      <c r="U125" s="95">
        <v>0</v>
      </c>
      <c r="V125" s="96">
        <v>0.04</v>
      </c>
    </row>
    <row r="126" spans="1:22" ht="13" x14ac:dyDescent="0.3">
      <c r="A126" s="20" t="s">
        <v>802</v>
      </c>
      <c r="B126" s="20">
        <v>39400</v>
      </c>
      <c r="C126" s="20" t="s">
        <v>827</v>
      </c>
      <c r="D126" s="77" t="s">
        <v>304</v>
      </c>
      <c r="E126" s="77" t="s">
        <v>169</v>
      </c>
      <c r="F126" s="94">
        <v>131356.64999999997</v>
      </c>
      <c r="G126" s="94">
        <v>57362.71</v>
      </c>
      <c r="H126" s="94">
        <v>0</v>
      </c>
      <c r="I126" s="94">
        <v>0</v>
      </c>
      <c r="J126" s="94">
        <v>188719.35999999996</v>
      </c>
      <c r="K126" s="94">
        <v>147280.26615384608</v>
      </c>
      <c r="L126" s="95">
        <v>0</v>
      </c>
      <c r="M126" s="94">
        <v>-93636.319999999745</v>
      </c>
      <c r="N126" s="94">
        <v>-9492.5799999999981</v>
      </c>
      <c r="O126" s="94">
        <v>0</v>
      </c>
      <c r="P126" s="94">
        <v>0</v>
      </c>
      <c r="Q126" s="94">
        <v>0</v>
      </c>
      <c r="R126" s="94">
        <v>0</v>
      </c>
      <c r="S126" s="94">
        <v>-103128.89999999975</v>
      </c>
      <c r="T126" s="94">
        <v>-98088.209230769018</v>
      </c>
      <c r="U126" s="95">
        <v>0</v>
      </c>
      <c r="V126" s="96">
        <v>6.6000000000000003E-2</v>
      </c>
    </row>
    <row r="127" spans="1:22" ht="13" x14ac:dyDescent="0.3">
      <c r="A127" s="20" t="s">
        <v>802</v>
      </c>
      <c r="B127" s="20">
        <v>39600</v>
      </c>
      <c r="C127" s="20" t="s">
        <v>828</v>
      </c>
      <c r="D127" s="77" t="s">
        <v>305</v>
      </c>
      <c r="E127" s="77" t="s">
        <v>171</v>
      </c>
      <c r="F127" s="94">
        <v>158681.34</v>
      </c>
      <c r="G127" s="94">
        <v>0</v>
      </c>
      <c r="H127" s="94">
        <v>0</v>
      </c>
      <c r="I127" s="94">
        <v>0</v>
      </c>
      <c r="J127" s="94">
        <v>158681.34</v>
      </c>
      <c r="K127" s="94">
        <v>158681.34000000003</v>
      </c>
      <c r="L127" s="95">
        <v>0</v>
      </c>
      <c r="M127" s="94">
        <v>-151608.85</v>
      </c>
      <c r="N127" s="94">
        <v>-10155.599999999999</v>
      </c>
      <c r="O127" s="94">
        <v>0</v>
      </c>
      <c r="P127" s="94">
        <v>0</v>
      </c>
      <c r="Q127" s="94">
        <v>0</v>
      </c>
      <c r="R127" s="94">
        <v>0</v>
      </c>
      <c r="S127" s="94">
        <v>-161764.45000000001</v>
      </c>
      <c r="T127" s="94">
        <v>-156686.64999999994</v>
      </c>
      <c r="U127" s="95">
        <v>0</v>
      </c>
      <c r="V127" s="96">
        <v>6.4000000000000001E-2</v>
      </c>
    </row>
    <row r="128" spans="1:22" ht="13" x14ac:dyDescent="0.3">
      <c r="A128" s="20" t="s">
        <v>802</v>
      </c>
      <c r="B128" s="20">
        <v>39700</v>
      </c>
      <c r="C128" s="20" t="s">
        <v>829</v>
      </c>
      <c r="D128" s="77" t="s">
        <v>306</v>
      </c>
      <c r="E128" s="77" t="s">
        <v>172</v>
      </c>
      <c r="F128" s="94">
        <v>170844.71000000002</v>
      </c>
      <c r="G128" s="94">
        <v>0</v>
      </c>
      <c r="H128" s="94">
        <v>0</v>
      </c>
      <c r="I128" s="94">
        <v>0</v>
      </c>
      <c r="J128" s="94">
        <v>170844.71000000002</v>
      </c>
      <c r="K128" s="94">
        <v>170844.71</v>
      </c>
      <c r="L128" s="95">
        <v>0</v>
      </c>
      <c r="M128" s="94">
        <v>-8416.1799999999967</v>
      </c>
      <c r="N128" s="94">
        <v>-14350.92</v>
      </c>
      <c r="O128" s="94">
        <v>0</v>
      </c>
      <c r="P128" s="94">
        <v>0</v>
      </c>
      <c r="Q128" s="94">
        <v>0</v>
      </c>
      <c r="R128" s="94">
        <v>0</v>
      </c>
      <c r="S128" s="94">
        <v>-22767.1</v>
      </c>
      <c r="T128" s="94">
        <v>-15591.639999999998</v>
      </c>
      <c r="U128" s="95">
        <v>0</v>
      </c>
      <c r="V128" s="96">
        <v>8.4000000000000005E-2</v>
      </c>
    </row>
    <row r="129" spans="1:22" ht="13" x14ac:dyDescent="0.3">
      <c r="A129" s="20" t="s">
        <v>802</v>
      </c>
      <c r="B129" s="20">
        <v>39800</v>
      </c>
      <c r="C129" s="20" t="s">
        <v>830</v>
      </c>
      <c r="D129" s="77" t="s">
        <v>307</v>
      </c>
      <c r="E129" s="77" t="s">
        <v>173</v>
      </c>
      <c r="F129" s="94">
        <v>11711.39</v>
      </c>
      <c r="G129" s="94">
        <v>0</v>
      </c>
      <c r="H129" s="94">
        <v>0</v>
      </c>
      <c r="I129" s="94">
        <v>0</v>
      </c>
      <c r="J129" s="94">
        <v>11711.39</v>
      </c>
      <c r="K129" s="94">
        <v>11711.390000000001</v>
      </c>
      <c r="L129" s="95">
        <v>0</v>
      </c>
      <c r="M129" s="94">
        <v>30069.869999999912</v>
      </c>
      <c r="N129" s="94">
        <v>-690.96</v>
      </c>
      <c r="O129" s="94">
        <v>0</v>
      </c>
      <c r="P129" s="94">
        <v>0</v>
      </c>
      <c r="Q129" s="94">
        <v>0</v>
      </c>
      <c r="R129" s="94">
        <v>0</v>
      </c>
      <c r="S129" s="94">
        <v>29378.909999999913</v>
      </c>
      <c r="T129" s="94">
        <v>29724.389999999905</v>
      </c>
      <c r="U129" s="95">
        <v>0</v>
      </c>
      <c r="V129" s="96">
        <v>5.8999999999999997E-2</v>
      </c>
    </row>
    <row r="130" spans="1:22" ht="13" x14ac:dyDescent="0.3">
      <c r="A130" s="20" t="s">
        <v>831</v>
      </c>
      <c r="B130" s="20">
        <v>30200</v>
      </c>
      <c r="C130" s="20" t="s">
        <v>832</v>
      </c>
      <c r="D130" s="77" t="s">
        <v>308</v>
      </c>
      <c r="E130" s="77" t="s">
        <v>139</v>
      </c>
      <c r="F130" s="94">
        <v>0</v>
      </c>
      <c r="G130" s="94">
        <v>0</v>
      </c>
      <c r="H130" s="94">
        <v>0</v>
      </c>
      <c r="I130" s="94">
        <v>0</v>
      </c>
      <c r="J130" s="94">
        <v>0</v>
      </c>
      <c r="K130" s="94">
        <v>0</v>
      </c>
      <c r="L130" s="95">
        <v>0</v>
      </c>
      <c r="M130" s="94">
        <v>0</v>
      </c>
      <c r="N130" s="94">
        <v>0</v>
      </c>
      <c r="O130" s="94">
        <v>0</v>
      </c>
      <c r="P130" s="94">
        <v>0</v>
      </c>
      <c r="Q130" s="94">
        <v>0</v>
      </c>
      <c r="R130" s="94">
        <v>0</v>
      </c>
      <c r="S130" s="94">
        <v>0</v>
      </c>
      <c r="T130" s="94">
        <v>0</v>
      </c>
      <c r="U130" s="95">
        <v>0</v>
      </c>
      <c r="V130" s="96">
        <v>0.04</v>
      </c>
    </row>
    <row r="131" spans="1:22" ht="13" x14ac:dyDescent="0.3">
      <c r="A131" s="20" t="s">
        <v>831</v>
      </c>
      <c r="B131" s="20">
        <v>30301</v>
      </c>
      <c r="C131" s="20" t="s">
        <v>833</v>
      </c>
      <c r="D131" s="77" t="s">
        <v>309</v>
      </c>
      <c r="E131" s="77" t="s">
        <v>141</v>
      </c>
      <c r="F131" s="94">
        <v>20203.53</v>
      </c>
      <c r="G131" s="94">
        <v>3247.07</v>
      </c>
      <c r="H131" s="94">
        <v>-20203.53</v>
      </c>
      <c r="I131" s="94">
        <v>0</v>
      </c>
      <c r="J131" s="94">
        <v>3247.0699999999997</v>
      </c>
      <c r="K131" s="94">
        <v>4107.333846153846</v>
      </c>
      <c r="L131" s="95">
        <v>0</v>
      </c>
      <c r="M131" s="94">
        <v>-20203.53</v>
      </c>
      <c r="N131" s="94">
        <v>-54.39</v>
      </c>
      <c r="O131" s="94">
        <v>20203.53</v>
      </c>
      <c r="P131" s="94">
        <v>0</v>
      </c>
      <c r="Q131" s="94">
        <v>0</v>
      </c>
      <c r="R131" s="94">
        <v>0</v>
      </c>
      <c r="S131" s="94">
        <v>-54.389999999999418</v>
      </c>
      <c r="T131" s="94">
        <v>-3116.6030769230765</v>
      </c>
      <c r="U131" s="95">
        <v>-5.8264504332328215E-13</v>
      </c>
      <c r="V131" s="96">
        <v>6.7000000000000004E-2</v>
      </c>
    </row>
    <row r="132" spans="1:22" ht="13" x14ac:dyDescent="0.3">
      <c r="A132" s="20" t="s">
        <v>831</v>
      </c>
      <c r="B132" s="20">
        <v>37400</v>
      </c>
      <c r="C132" s="20" t="s">
        <v>834</v>
      </c>
      <c r="D132" s="77" t="s">
        <v>310</v>
      </c>
      <c r="E132" s="77" t="s">
        <v>142</v>
      </c>
      <c r="F132" s="94">
        <v>18016.41</v>
      </c>
      <c r="G132" s="94">
        <v>0</v>
      </c>
      <c r="H132" s="94">
        <v>0</v>
      </c>
      <c r="I132" s="94">
        <v>0</v>
      </c>
      <c r="J132" s="94">
        <v>18016.41</v>
      </c>
      <c r="K132" s="94">
        <v>18016.41</v>
      </c>
      <c r="L132" s="95">
        <v>0</v>
      </c>
      <c r="M132" s="94">
        <v>0</v>
      </c>
      <c r="N132" s="94">
        <v>0</v>
      </c>
      <c r="O132" s="94">
        <v>0</v>
      </c>
      <c r="P132" s="94">
        <v>0</v>
      </c>
      <c r="Q132" s="94">
        <v>0</v>
      </c>
      <c r="R132" s="94">
        <v>0</v>
      </c>
      <c r="S132" s="94">
        <v>0</v>
      </c>
      <c r="T132" s="94">
        <v>0</v>
      </c>
      <c r="U132" s="95">
        <v>0</v>
      </c>
      <c r="V132" s="96">
        <v>0</v>
      </c>
    </row>
    <row r="133" spans="1:22" ht="13" x14ac:dyDescent="0.3">
      <c r="A133" s="20" t="s">
        <v>831</v>
      </c>
      <c r="B133" s="20">
        <v>37402</v>
      </c>
      <c r="C133" s="20" t="s">
        <v>835</v>
      </c>
      <c r="D133" s="77" t="s">
        <v>311</v>
      </c>
      <c r="E133" s="77" t="s">
        <v>143</v>
      </c>
      <c r="F133" s="94">
        <v>7508.65</v>
      </c>
      <c r="G133" s="94">
        <v>0</v>
      </c>
      <c r="H133" s="94">
        <v>0</v>
      </c>
      <c r="I133" s="94">
        <v>0</v>
      </c>
      <c r="J133" s="94">
        <v>7508.65</v>
      </c>
      <c r="K133" s="94">
        <v>7508.6499999999987</v>
      </c>
      <c r="L133" s="95">
        <v>0</v>
      </c>
      <c r="M133" s="94">
        <v>-5919.7700000000032</v>
      </c>
      <c r="N133" s="94">
        <v>-97.559999999999988</v>
      </c>
      <c r="O133" s="94">
        <v>0</v>
      </c>
      <c r="P133" s="94">
        <v>0</v>
      </c>
      <c r="Q133" s="94">
        <v>0</v>
      </c>
      <c r="R133" s="94">
        <v>0</v>
      </c>
      <c r="S133" s="94">
        <v>-6017.3300000000036</v>
      </c>
      <c r="T133" s="94">
        <v>-5968.5500000000029</v>
      </c>
      <c r="U133" s="95">
        <v>0</v>
      </c>
      <c r="V133" s="96">
        <v>1.2999999999999999E-2</v>
      </c>
    </row>
    <row r="134" spans="1:22" ht="13" x14ac:dyDescent="0.3">
      <c r="A134" s="20" t="s">
        <v>831</v>
      </c>
      <c r="B134" s="20">
        <v>37500</v>
      </c>
      <c r="C134" s="20" t="s">
        <v>836</v>
      </c>
      <c r="D134" s="77" t="s">
        <v>312</v>
      </c>
      <c r="E134" s="77" t="s">
        <v>144</v>
      </c>
      <c r="F134" s="94">
        <v>661724.6</v>
      </c>
      <c r="G134" s="94">
        <v>16241.05</v>
      </c>
      <c r="H134" s="94">
        <v>0</v>
      </c>
      <c r="I134" s="94">
        <v>0</v>
      </c>
      <c r="J134" s="94">
        <v>677965.65</v>
      </c>
      <c r="K134" s="94">
        <v>667438.71538461547</v>
      </c>
      <c r="L134" s="95">
        <v>0</v>
      </c>
      <c r="M134" s="94">
        <v>-257104.31000000008</v>
      </c>
      <c r="N134" s="94">
        <v>-16664.019999999997</v>
      </c>
      <c r="O134" s="94">
        <v>0</v>
      </c>
      <c r="P134" s="94">
        <v>0</v>
      </c>
      <c r="Q134" s="94">
        <v>0</v>
      </c>
      <c r="R134" s="94">
        <v>0</v>
      </c>
      <c r="S134" s="94">
        <v>-273768.33000000007</v>
      </c>
      <c r="T134" s="94">
        <v>-265398.19076923089</v>
      </c>
      <c r="U134" s="95">
        <v>0</v>
      </c>
      <c r="V134" s="96">
        <v>2.5000000000000001E-2</v>
      </c>
    </row>
    <row r="135" spans="1:22" ht="13" x14ac:dyDescent="0.3">
      <c r="A135" s="20" t="s">
        <v>831</v>
      </c>
      <c r="B135" s="20">
        <v>37600</v>
      </c>
      <c r="C135" s="20" t="s">
        <v>837</v>
      </c>
      <c r="D135" s="77" t="s">
        <v>313</v>
      </c>
      <c r="E135" s="77" t="s">
        <v>145</v>
      </c>
      <c r="F135" s="94">
        <v>3036168.7499999986</v>
      </c>
      <c r="G135" s="94">
        <v>47609.37</v>
      </c>
      <c r="H135" s="94">
        <v>-37290.86</v>
      </c>
      <c r="I135" s="94">
        <v>0</v>
      </c>
      <c r="J135" s="94">
        <v>3046487.2599999988</v>
      </c>
      <c r="K135" s="94">
        <v>3045993.9130769204</v>
      </c>
      <c r="L135" s="95">
        <v>0</v>
      </c>
      <c r="M135" s="94">
        <v>-2163611.8600000003</v>
      </c>
      <c r="N135" s="94">
        <v>-127930.00999999998</v>
      </c>
      <c r="O135" s="94">
        <v>37290.86</v>
      </c>
      <c r="P135" s="94">
        <v>47518.879999999997</v>
      </c>
      <c r="Q135" s="94">
        <v>34.470000000000027</v>
      </c>
      <c r="R135" s="94">
        <v>0</v>
      </c>
      <c r="S135" s="94">
        <v>-2206697.66</v>
      </c>
      <c r="T135" s="94">
        <v>-2181801.30923077</v>
      </c>
      <c r="U135" s="95">
        <v>0</v>
      </c>
      <c r="V135" s="96">
        <v>4.2000000000000003E-2</v>
      </c>
    </row>
    <row r="136" spans="1:22" ht="13" x14ac:dyDescent="0.3">
      <c r="A136" s="20" t="s">
        <v>831</v>
      </c>
      <c r="B136" s="20">
        <v>37602</v>
      </c>
      <c r="C136" s="20" t="s">
        <v>838</v>
      </c>
      <c r="D136" s="77" t="s">
        <v>314</v>
      </c>
      <c r="E136" s="77" t="s">
        <v>146</v>
      </c>
      <c r="F136" s="94">
        <v>5301134.2200000044</v>
      </c>
      <c r="G136" s="94">
        <v>990773.61</v>
      </c>
      <c r="H136" s="94">
        <v>-31710.280000000002</v>
      </c>
      <c r="I136" s="94">
        <v>0</v>
      </c>
      <c r="J136" s="94">
        <v>6260197.5500000045</v>
      </c>
      <c r="K136" s="94">
        <v>5781787.2438461576</v>
      </c>
      <c r="L136" s="95">
        <v>0</v>
      </c>
      <c r="M136" s="94">
        <v>-1449485.949999999</v>
      </c>
      <c r="N136" s="94">
        <v>-177999.48999999996</v>
      </c>
      <c r="O136" s="94">
        <v>31710.280000000002</v>
      </c>
      <c r="P136" s="94">
        <v>8828.2899999999972</v>
      </c>
      <c r="Q136" s="94">
        <v>-76.049999999999955</v>
      </c>
      <c r="R136" s="94">
        <v>0</v>
      </c>
      <c r="S136" s="94">
        <v>-1587022.919999999</v>
      </c>
      <c r="T136" s="94">
        <v>-1514272.5192307683</v>
      </c>
      <c r="U136" s="95">
        <v>0</v>
      </c>
      <c r="V136" s="96">
        <v>3.1E-2</v>
      </c>
    </row>
    <row r="137" spans="1:22" ht="13" x14ac:dyDescent="0.3">
      <c r="A137" s="20" t="s">
        <v>831</v>
      </c>
      <c r="B137" s="20">
        <v>37602</v>
      </c>
      <c r="C137" s="20" t="s">
        <v>838</v>
      </c>
      <c r="D137" s="77" t="s">
        <v>315</v>
      </c>
      <c r="E137" s="77" t="s">
        <v>146</v>
      </c>
      <c r="F137" s="94">
        <v>0</v>
      </c>
      <c r="G137" s="94">
        <v>0</v>
      </c>
      <c r="H137" s="94">
        <v>0</v>
      </c>
      <c r="I137" s="94">
        <v>0</v>
      </c>
      <c r="J137" s="94">
        <v>0</v>
      </c>
      <c r="K137" s="94">
        <v>0</v>
      </c>
      <c r="L137" s="95">
        <v>0</v>
      </c>
      <c r="M137" s="94">
        <v>0</v>
      </c>
      <c r="N137" s="94">
        <v>0</v>
      </c>
      <c r="O137" s="94">
        <v>0</v>
      </c>
      <c r="P137" s="94">
        <v>0</v>
      </c>
      <c r="Q137" s="94">
        <v>0</v>
      </c>
      <c r="R137" s="94">
        <v>0</v>
      </c>
      <c r="S137" s="94">
        <v>0</v>
      </c>
      <c r="T137" s="94">
        <v>0</v>
      </c>
      <c r="U137" s="95">
        <v>0</v>
      </c>
      <c r="V137" s="96">
        <v>3.1E-2</v>
      </c>
    </row>
    <row r="138" spans="1:22" ht="13" x14ac:dyDescent="0.3">
      <c r="A138" s="20" t="s">
        <v>831</v>
      </c>
      <c r="B138" s="20">
        <v>37800</v>
      </c>
      <c r="C138" s="20" t="s">
        <v>839</v>
      </c>
      <c r="D138" s="77" t="s">
        <v>316</v>
      </c>
      <c r="E138" s="77" t="s">
        <v>147</v>
      </c>
      <c r="F138" s="94">
        <v>108510.17</v>
      </c>
      <c r="G138" s="94">
        <v>8546.56</v>
      </c>
      <c r="H138" s="94">
        <v>0</v>
      </c>
      <c r="I138" s="94">
        <v>0</v>
      </c>
      <c r="J138" s="94">
        <v>117056.73</v>
      </c>
      <c r="K138" s="94">
        <v>113915.17</v>
      </c>
      <c r="L138" s="95">
        <v>0</v>
      </c>
      <c r="M138" s="94">
        <v>-24871.960000000036</v>
      </c>
      <c r="N138" s="94">
        <v>-3864.2199999999993</v>
      </c>
      <c r="O138" s="94">
        <v>0</v>
      </c>
      <c r="P138" s="94">
        <v>0</v>
      </c>
      <c r="Q138" s="94">
        <v>0</v>
      </c>
      <c r="R138" s="94">
        <v>0</v>
      </c>
      <c r="S138" s="94">
        <v>-28736.180000000037</v>
      </c>
      <c r="T138" s="94">
        <v>-26772.822307692342</v>
      </c>
      <c r="U138" s="95">
        <v>0</v>
      </c>
      <c r="V138" s="96">
        <v>3.4000000000000002E-2</v>
      </c>
    </row>
    <row r="139" spans="1:22" ht="13" x14ac:dyDescent="0.3">
      <c r="A139" s="20" t="s">
        <v>831</v>
      </c>
      <c r="B139" s="20">
        <v>37900</v>
      </c>
      <c r="C139" s="20" t="s">
        <v>840</v>
      </c>
      <c r="D139" s="77" t="s">
        <v>317</v>
      </c>
      <c r="E139" s="77" t="s">
        <v>148</v>
      </c>
      <c r="F139" s="94">
        <v>817921.21</v>
      </c>
      <c r="G139" s="94">
        <v>33423.32</v>
      </c>
      <c r="H139" s="94">
        <v>0</v>
      </c>
      <c r="I139" s="94">
        <v>0</v>
      </c>
      <c r="J139" s="94">
        <v>851344.52999999991</v>
      </c>
      <c r="K139" s="94">
        <v>829261.98538461525</v>
      </c>
      <c r="L139" s="95">
        <v>0</v>
      </c>
      <c r="M139" s="94">
        <v>-341558.75000000047</v>
      </c>
      <c r="N139" s="94">
        <v>-28132.37</v>
      </c>
      <c r="O139" s="94">
        <v>0</v>
      </c>
      <c r="P139" s="94">
        <v>0</v>
      </c>
      <c r="Q139" s="94">
        <v>0</v>
      </c>
      <c r="R139" s="94">
        <v>0</v>
      </c>
      <c r="S139" s="94">
        <v>-369691.12000000046</v>
      </c>
      <c r="T139" s="94">
        <v>-355522.31000000058</v>
      </c>
      <c r="U139" s="95">
        <v>0</v>
      </c>
      <c r="V139" s="96">
        <v>3.4000000000000002E-2</v>
      </c>
    </row>
    <row r="140" spans="1:22" ht="13" x14ac:dyDescent="0.3">
      <c r="A140" s="20" t="s">
        <v>831</v>
      </c>
      <c r="B140" s="20">
        <v>38000</v>
      </c>
      <c r="C140" s="20" t="s">
        <v>841</v>
      </c>
      <c r="D140" s="77" t="s">
        <v>318</v>
      </c>
      <c r="E140" s="77" t="s">
        <v>149</v>
      </c>
      <c r="F140" s="94">
        <v>495243.44999999984</v>
      </c>
      <c r="G140" s="94">
        <v>12638.77</v>
      </c>
      <c r="H140" s="94">
        <v>-4255.3899999999994</v>
      </c>
      <c r="I140" s="94">
        <v>0</v>
      </c>
      <c r="J140" s="94">
        <v>503626.82999999984</v>
      </c>
      <c r="K140" s="94">
        <v>499051.11615384597</v>
      </c>
      <c r="L140" s="95">
        <v>0</v>
      </c>
      <c r="M140" s="94">
        <v>-610090.33000000054</v>
      </c>
      <c r="N140" s="94">
        <v>-32912.210000000006</v>
      </c>
      <c r="O140" s="94">
        <v>4255.3899999999994</v>
      </c>
      <c r="P140" s="94">
        <v>20048.140000000003</v>
      </c>
      <c r="Q140" s="94">
        <v>4.6500000000000057</v>
      </c>
      <c r="R140" s="94">
        <v>0</v>
      </c>
      <c r="S140" s="94">
        <v>-618694.36000000045</v>
      </c>
      <c r="T140" s="94">
        <v>-605238.22769230849</v>
      </c>
      <c r="U140" s="95">
        <v>0</v>
      </c>
      <c r="V140" s="96">
        <v>6.5999999999999989E-2</v>
      </c>
    </row>
    <row r="141" spans="1:22" ht="13" x14ac:dyDescent="0.3">
      <c r="A141" s="20" t="s">
        <v>831</v>
      </c>
      <c r="B141" s="20">
        <v>38002</v>
      </c>
      <c r="C141" s="20" t="s">
        <v>842</v>
      </c>
      <c r="D141" s="77" t="s">
        <v>319</v>
      </c>
      <c r="E141" s="77" t="s">
        <v>150</v>
      </c>
      <c r="F141" s="94">
        <v>3938146.7299999995</v>
      </c>
      <c r="G141" s="94">
        <v>84066.48000000001</v>
      </c>
      <c r="H141" s="94">
        <v>-16906.52</v>
      </c>
      <c r="I141" s="94">
        <v>0</v>
      </c>
      <c r="J141" s="94">
        <v>4005306.6899999995</v>
      </c>
      <c r="K141" s="94">
        <v>3961992.5261538452</v>
      </c>
      <c r="L141" s="95">
        <v>0</v>
      </c>
      <c r="M141" s="94">
        <v>-2251361.8400000008</v>
      </c>
      <c r="N141" s="94">
        <v>-197919.14999999997</v>
      </c>
      <c r="O141" s="94">
        <v>16906.52</v>
      </c>
      <c r="P141" s="94">
        <v>46095.659999999996</v>
      </c>
      <c r="Q141" s="94">
        <v>36.92999999999995</v>
      </c>
      <c r="R141" s="94">
        <v>0</v>
      </c>
      <c r="S141" s="94">
        <v>-2386241.8800000004</v>
      </c>
      <c r="T141" s="94">
        <v>-2297223.486153848</v>
      </c>
      <c r="U141" s="95">
        <v>0</v>
      </c>
      <c r="V141" s="96">
        <v>0.05</v>
      </c>
    </row>
    <row r="142" spans="1:22" ht="13" x14ac:dyDescent="0.3">
      <c r="A142" s="20" t="s">
        <v>831</v>
      </c>
      <c r="B142" s="20">
        <v>38200</v>
      </c>
      <c r="C142" s="20" t="s">
        <v>843</v>
      </c>
      <c r="D142" s="77" t="s">
        <v>320</v>
      </c>
      <c r="E142" s="77" t="s">
        <v>152</v>
      </c>
      <c r="F142" s="94">
        <v>633141.56999999995</v>
      </c>
      <c r="G142" s="94">
        <v>19681.080000000002</v>
      </c>
      <c r="H142" s="94">
        <v>-233.97</v>
      </c>
      <c r="I142" s="94">
        <v>0</v>
      </c>
      <c r="J142" s="94">
        <v>652588.67999999993</v>
      </c>
      <c r="K142" s="94">
        <v>643468.12846153835</v>
      </c>
      <c r="L142" s="95">
        <v>0</v>
      </c>
      <c r="M142" s="94">
        <v>-336342.16999999987</v>
      </c>
      <c r="N142" s="94">
        <v>-28921.870000000003</v>
      </c>
      <c r="O142" s="94">
        <v>233.97</v>
      </c>
      <c r="P142" s="94">
        <v>20.41</v>
      </c>
      <c r="Q142" s="94">
        <v>0</v>
      </c>
      <c r="R142" s="94">
        <v>0</v>
      </c>
      <c r="S142" s="94">
        <v>-365009.65999999992</v>
      </c>
      <c r="T142" s="94">
        <v>-350506.97769230761</v>
      </c>
      <c r="U142" s="95">
        <v>0</v>
      </c>
      <c r="V142" s="96">
        <v>4.4999999999999998E-2</v>
      </c>
    </row>
    <row r="143" spans="1:22" ht="13" x14ac:dyDescent="0.3">
      <c r="A143" s="20" t="s">
        <v>831</v>
      </c>
      <c r="B143" s="20">
        <v>38300</v>
      </c>
      <c r="C143" s="20" t="s">
        <v>844</v>
      </c>
      <c r="D143" s="77" t="s">
        <v>321</v>
      </c>
      <c r="E143" s="77" t="s">
        <v>153</v>
      </c>
      <c r="F143" s="94">
        <v>282297.39000000019</v>
      </c>
      <c r="G143" s="94">
        <v>0</v>
      </c>
      <c r="H143" s="94">
        <v>0</v>
      </c>
      <c r="I143" s="94">
        <v>0</v>
      </c>
      <c r="J143" s="94">
        <v>282297.39000000019</v>
      </c>
      <c r="K143" s="94">
        <v>282297.39000000019</v>
      </c>
      <c r="L143" s="95">
        <v>0</v>
      </c>
      <c r="M143" s="94">
        <v>-171406.67000000016</v>
      </c>
      <c r="N143" s="94">
        <v>-10162.68</v>
      </c>
      <c r="O143" s="94">
        <v>0</v>
      </c>
      <c r="P143" s="94">
        <v>0</v>
      </c>
      <c r="Q143" s="94">
        <v>0</v>
      </c>
      <c r="R143" s="94">
        <v>0</v>
      </c>
      <c r="S143" s="94">
        <v>-181569.35000000015</v>
      </c>
      <c r="T143" s="94">
        <v>-176488.01000000027</v>
      </c>
      <c r="U143" s="95">
        <v>0</v>
      </c>
      <c r="V143" s="96">
        <v>3.5999999999999997E-2</v>
      </c>
    </row>
    <row r="144" spans="1:22" ht="13" x14ac:dyDescent="0.3">
      <c r="A144" s="20" t="s">
        <v>831</v>
      </c>
      <c r="B144" s="20">
        <v>38400</v>
      </c>
      <c r="C144" s="20" t="s">
        <v>845</v>
      </c>
      <c r="D144" s="77" t="s">
        <v>322</v>
      </c>
      <c r="E144" s="77" t="s">
        <v>154</v>
      </c>
      <c r="F144" s="94">
        <v>275414.15999999986</v>
      </c>
      <c r="G144" s="94">
        <v>10662.76</v>
      </c>
      <c r="H144" s="94">
        <v>-477.8</v>
      </c>
      <c r="I144" s="94">
        <v>0</v>
      </c>
      <c r="J144" s="94">
        <v>285599.11999999988</v>
      </c>
      <c r="K144" s="94">
        <v>279270.16615384596</v>
      </c>
      <c r="L144" s="95">
        <v>0</v>
      </c>
      <c r="M144" s="94">
        <v>-139364.86999999997</v>
      </c>
      <c r="N144" s="94">
        <v>-12543.43</v>
      </c>
      <c r="O144" s="94">
        <v>477.8</v>
      </c>
      <c r="P144" s="94">
        <v>20.399999999999999</v>
      </c>
      <c r="Q144" s="94">
        <v>0</v>
      </c>
      <c r="R144" s="94">
        <v>0</v>
      </c>
      <c r="S144" s="94">
        <v>-151410.09999999998</v>
      </c>
      <c r="T144" s="94">
        <v>-145152.14769230766</v>
      </c>
      <c r="U144" s="95">
        <v>0</v>
      </c>
      <c r="V144" s="96">
        <v>4.4999999999999998E-2</v>
      </c>
    </row>
    <row r="145" spans="1:22" ht="13" x14ac:dyDescent="0.3">
      <c r="A145" s="20" t="s">
        <v>831</v>
      </c>
      <c r="B145" s="20">
        <v>38500</v>
      </c>
      <c r="C145" s="20" t="s">
        <v>846</v>
      </c>
      <c r="D145" s="77" t="s">
        <v>323</v>
      </c>
      <c r="E145" s="77" t="s">
        <v>155</v>
      </c>
      <c r="F145" s="94">
        <v>233682.26</v>
      </c>
      <c r="G145" s="94">
        <v>0</v>
      </c>
      <c r="H145" s="94">
        <v>-2599.19</v>
      </c>
      <c r="I145" s="94">
        <v>0</v>
      </c>
      <c r="J145" s="94">
        <v>231083.07</v>
      </c>
      <c r="K145" s="94">
        <v>231283.00769230767</v>
      </c>
      <c r="L145" s="95">
        <v>0</v>
      </c>
      <c r="M145" s="94">
        <v>-113135.29999999993</v>
      </c>
      <c r="N145" s="94">
        <v>-7170.2400000000007</v>
      </c>
      <c r="O145" s="94">
        <v>2599.19</v>
      </c>
      <c r="P145" s="94">
        <v>16.059999999999999</v>
      </c>
      <c r="Q145" s="94">
        <v>0</v>
      </c>
      <c r="R145" s="94">
        <v>0</v>
      </c>
      <c r="S145" s="94">
        <v>-117690.28999999994</v>
      </c>
      <c r="T145" s="94">
        <v>-114309.18615384611</v>
      </c>
      <c r="U145" s="95">
        <v>0</v>
      </c>
      <c r="V145" s="96">
        <v>3.1E-2</v>
      </c>
    </row>
    <row r="146" spans="1:22" ht="13" x14ac:dyDescent="0.3">
      <c r="A146" s="20" t="s">
        <v>831</v>
      </c>
      <c r="B146" s="20">
        <v>38700</v>
      </c>
      <c r="C146" s="20" t="s">
        <v>847</v>
      </c>
      <c r="D146" s="77" t="s">
        <v>324</v>
      </c>
      <c r="E146" s="77" t="s">
        <v>156</v>
      </c>
      <c r="F146" s="94">
        <v>192309.34999999998</v>
      </c>
      <c r="G146" s="94">
        <v>12979.73</v>
      </c>
      <c r="H146" s="94">
        <v>0</v>
      </c>
      <c r="I146" s="94">
        <v>0</v>
      </c>
      <c r="J146" s="94">
        <v>205289.08</v>
      </c>
      <c r="K146" s="94">
        <v>196004.85692307694</v>
      </c>
      <c r="L146" s="95">
        <v>0</v>
      </c>
      <c r="M146" s="94">
        <v>-99570.889999999883</v>
      </c>
      <c r="N146" s="94">
        <v>-12299.53</v>
      </c>
      <c r="O146" s="94">
        <v>0</v>
      </c>
      <c r="P146" s="94">
        <v>0</v>
      </c>
      <c r="Q146" s="94">
        <v>0</v>
      </c>
      <c r="R146" s="94">
        <v>0</v>
      </c>
      <c r="S146" s="94">
        <v>-111870.41999999988</v>
      </c>
      <c r="T146" s="94">
        <v>-105655.36538461526</v>
      </c>
      <c r="U146" s="95">
        <v>0</v>
      </c>
      <c r="V146" s="96">
        <v>6.3E-2</v>
      </c>
    </row>
    <row r="147" spans="1:22" ht="13" x14ac:dyDescent="0.3">
      <c r="A147" s="20" t="s">
        <v>831</v>
      </c>
      <c r="B147" s="20">
        <v>39000</v>
      </c>
      <c r="C147" s="20" t="s">
        <v>848</v>
      </c>
      <c r="D147" s="77" t="s">
        <v>325</v>
      </c>
      <c r="E147" s="77" t="s">
        <v>157</v>
      </c>
      <c r="F147" s="94">
        <v>0</v>
      </c>
      <c r="G147" s="94">
        <v>6208.5</v>
      </c>
      <c r="H147" s="94">
        <v>0</v>
      </c>
      <c r="I147" s="94">
        <v>0</v>
      </c>
      <c r="J147" s="94">
        <v>6208.5</v>
      </c>
      <c r="K147" s="94">
        <v>2564.1346153846152</v>
      </c>
      <c r="L147" s="95">
        <v>0</v>
      </c>
      <c r="M147" s="94">
        <v>0</v>
      </c>
      <c r="N147" s="94">
        <v>-56.49</v>
      </c>
      <c r="O147" s="94">
        <v>0</v>
      </c>
      <c r="P147" s="94">
        <v>0</v>
      </c>
      <c r="Q147" s="94">
        <v>0</v>
      </c>
      <c r="R147" s="94">
        <v>0</v>
      </c>
      <c r="S147" s="94">
        <v>-56.49</v>
      </c>
      <c r="T147" s="94">
        <v>-12.775384615384617</v>
      </c>
      <c r="U147" s="95">
        <v>0</v>
      </c>
      <c r="V147" s="96">
        <v>2.5000000000000001E-2</v>
      </c>
    </row>
    <row r="148" spans="1:22" ht="13" x14ac:dyDescent="0.3">
      <c r="A148" s="20" t="s">
        <v>831</v>
      </c>
      <c r="B148" s="20">
        <v>39100</v>
      </c>
      <c r="C148" s="20" t="s">
        <v>849</v>
      </c>
      <c r="D148" s="77" t="s">
        <v>326</v>
      </c>
      <c r="E148" s="77" t="s">
        <v>159</v>
      </c>
      <c r="F148" s="94">
        <v>8236.07</v>
      </c>
      <c r="G148" s="94">
        <v>4173.04</v>
      </c>
      <c r="H148" s="94">
        <v>0</v>
      </c>
      <c r="I148" s="94">
        <v>0</v>
      </c>
      <c r="J148" s="94">
        <v>12409.11</v>
      </c>
      <c r="K148" s="94">
        <v>10233.316153846154</v>
      </c>
      <c r="L148" s="95">
        <v>0</v>
      </c>
      <c r="M148" s="94">
        <v>-11853.070000000011</v>
      </c>
      <c r="N148" s="94">
        <v>-673.43999999999994</v>
      </c>
      <c r="O148" s="94">
        <v>0</v>
      </c>
      <c r="P148" s="94">
        <v>0</v>
      </c>
      <c r="Q148" s="94">
        <v>0</v>
      </c>
      <c r="R148" s="94">
        <v>0</v>
      </c>
      <c r="S148" s="94">
        <v>-12526.510000000011</v>
      </c>
      <c r="T148" s="94">
        <v>-12159.619230769238</v>
      </c>
      <c r="U148" s="95">
        <v>0</v>
      </c>
      <c r="V148" s="96">
        <v>6.7000000000000004E-2</v>
      </c>
    </row>
    <row r="149" spans="1:22" ht="13" x14ac:dyDescent="0.3">
      <c r="A149" s="20" t="s">
        <v>831</v>
      </c>
      <c r="B149" s="20">
        <v>39101</v>
      </c>
      <c r="C149" s="20" t="s">
        <v>850</v>
      </c>
      <c r="D149" s="77" t="s">
        <v>327</v>
      </c>
      <c r="E149" s="77" t="s">
        <v>160</v>
      </c>
      <c r="F149" s="94">
        <v>21803.62</v>
      </c>
      <c r="G149" s="94">
        <v>2160.52</v>
      </c>
      <c r="H149" s="94">
        <v>0</v>
      </c>
      <c r="I149" s="94">
        <v>0</v>
      </c>
      <c r="J149" s="94">
        <v>23964.14</v>
      </c>
      <c r="K149" s="94">
        <v>22468.395384615385</v>
      </c>
      <c r="L149" s="95">
        <v>0</v>
      </c>
      <c r="M149" s="94">
        <v>23438.320000000025</v>
      </c>
      <c r="N149" s="94">
        <v>-2792.97</v>
      </c>
      <c r="O149" s="94">
        <v>0</v>
      </c>
      <c r="P149" s="94">
        <v>0</v>
      </c>
      <c r="Q149" s="94">
        <v>0</v>
      </c>
      <c r="R149" s="94">
        <v>0</v>
      </c>
      <c r="S149" s="94">
        <v>20645.350000000024</v>
      </c>
      <c r="T149" s="94">
        <v>22065.210769230805</v>
      </c>
      <c r="U149" s="95">
        <v>0</v>
      </c>
      <c r="V149" s="96">
        <v>0.125</v>
      </c>
    </row>
    <row r="150" spans="1:22" ht="13" x14ac:dyDescent="0.3">
      <c r="A150" s="20" t="s">
        <v>831</v>
      </c>
      <c r="B150" s="20">
        <v>39102</v>
      </c>
      <c r="C150" s="20" t="s">
        <v>851</v>
      </c>
      <c r="D150" s="77" t="s">
        <v>328</v>
      </c>
      <c r="E150" s="77" t="s">
        <v>161</v>
      </c>
      <c r="F150" s="94">
        <v>9420.7900000000009</v>
      </c>
      <c r="G150" s="94">
        <v>0</v>
      </c>
      <c r="H150" s="94">
        <v>0</v>
      </c>
      <c r="I150" s="94">
        <v>0</v>
      </c>
      <c r="J150" s="94">
        <v>9420.7900000000009</v>
      </c>
      <c r="K150" s="94">
        <v>9420.7900000000045</v>
      </c>
      <c r="L150" s="95">
        <v>0</v>
      </c>
      <c r="M150" s="94">
        <v>-2282.4099999999985</v>
      </c>
      <c r="N150" s="94">
        <v>-631.20000000000016</v>
      </c>
      <c r="O150" s="94">
        <v>0</v>
      </c>
      <c r="P150" s="94">
        <v>0</v>
      </c>
      <c r="Q150" s="94">
        <v>0</v>
      </c>
      <c r="R150" s="94">
        <v>0</v>
      </c>
      <c r="S150" s="94">
        <v>-2913.6099999999988</v>
      </c>
      <c r="T150" s="94">
        <v>-2598.0099999999979</v>
      </c>
      <c r="U150" s="95">
        <v>0</v>
      </c>
      <c r="V150" s="96">
        <v>6.7000000000000004E-2</v>
      </c>
    </row>
    <row r="151" spans="1:22" ht="13" x14ac:dyDescent="0.3">
      <c r="A151" s="20" t="s">
        <v>831</v>
      </c>
      <c r="B151" s="20">
        <v>39201</v>
      </c>
      <c r="C151" s="20" t="s">
        <v>852</v>
      </c>
      <c r="D151" s="77" t="s">
        <v>329</v>
      </c>
      <c r="E151" s="77" t="s">
        <v>163</v>
      </c>
      <c r="F151" s="94">
        <v>79605.609999999986</v>
      </c>
      <c r="G151" s="94">
        <v>34518.379999999997</v>
      </c>
      <c r="H151" s="94">
        <v>0</v>
      </c>
      <c r="I151" s="94">
        <v>0</v>
      </c>
      <c r="J151" s="94">
        <v>114123.98999999999</v>
      </c>
      <c r="K151" s="94">
        <v>95491.320769230748</v>
      </c>
      <c r="L151" s="95">
        <v>0</v>
      </c>
      <c r="M151" s="94">
        <v>-67524.259999999878</v>
      </c>
      <c r="N151" s="94">
        <v>-10521.17</v>
      </c>
      <c r="O151" s="94">
        <v>0</v>
      </c>
      <c r="P151" s="94">
        <v>0</v>
      </c>
      <c r="Q151" s="94">
        <v>-1388.94</v>
      </c>
      <c r="R151" s="94">
        <v>0</v>
      </c>
      <c r="S151" s="94">
        <v>-79434.369999999879</v>
      </c>
      <c r="T151" s="94">
        <v>-72561.854615384538</v>
      </c>
      <c r="U151" s="95">
        <v>0</v>
      </c>
      <c r="V151" s="96">
        <v>0.112</v>
      </c>
    </row>
    <row r="152" spans="1:22" ht="13" x14ac:dyDescent="0.3">
      <c r="A152" s="20" t="s">
        <v>831</v>
      </c>
      <c r="B152" s="20">
        <v>39202</v>
      </c>
      <c r="C152" s="20" t="s">
        <v>853</v>
      </c>
      <c r="D152" s="77" t="s">
        <v>330</v>
      </c>
      <c r="E152" s="77" t="s">
        <v>164</v>
      </c>
      <c r="F152" s="94">
        <v>319066.75</v>
      </c>
      <c r="G152" s="94">
        <v>0</v>
      </c>
      <c r="H152" s="94">
        <v>0</v>
      </c>
      <c r="I152" s="94">
        <v>0</v>
      </c>
      <c r="J152" s="94">
        <v>319066.75</v>
      </c>
      <c r="K152" s="94">
        <v>319066.75</v>
      </c>
      <c r="L152" s="95">
        <v>0</v>
      </c>
      <c r="M152" s="94">
        <v>-233027.25000000044</v>
      </c>
      <c r="N152" s="94">
        <v>-40521.480000000003</v>
      </c>
      <c r="O152" s="94">
        <v>0</v>
      </c>
      <c r="P152" s="94">
        <v>0</v>
      </c>
      <c r="Q152" s="94">
        <v>-3871.06</v>
      </c>
      <c r="R152" s="94">
        <v>0</v>
      </c>
      <c r="S152" s="94">
        <v>-277419.79000000044</v>
      </c>
      <c r="T152" s="94">
        <v>-253871.99153846197</v>
      </c>
      <c r="U152" s="95">
        <v>0</v>
      </c>
      <c r="V152" s="96">
        <v>0.127</v>
      </c>
    </row>
    <row r="153" spans="1:22" ht="13" x14ac:dyDescent="0.3">
      <c r="A153" s="20" t="s">
        <v>831</v>
      </c>
      <c r="B153" s="20">
        <v>39204</v>
      </c>
      <c r="C153" s="20" t="s">
        <v>854</v>
      </c>
      <c r="D153" s="77" t="s">
        <v>331</v>
      </c>
      <c r="E153" s="77" t="s">
        <v>166</v>
      </c>
      <c r="F153" s="94">
        <v>9560.57</v>
      </c>
      <c r="G153" s="94">
        <v>0</v>
      </c>
      <c r="H153" s="94">
        <v>-2292.7399999999998</v>
      </c>
      <c r="I153" s="94">
        <v>0</v>
      </c>
      <c r="J153" s="94">
        <v>7267.83</v>
      </c>
      <c r="K153" s="94">
        <v>8502.3823076923072</v>
      </c>
      <c r="L153" s="95">
        <v>0</v>
      </c>
      <c r="M153" s="94">
        <v>-9557.2600000000257</v>
      </c>
      <c r="N153" s="94">
        <v>-344.24000000000007</v>
      </c>
      <c r="O153" s="94">
        <v>2292.7399999999998</v>
      </c>
      <c r="P153" s="94">
        <v>0</v>
      </c>
      <c r="Q153" s="94">
        <v>-50</v>
      </c>
      <c r="R153" s="94">
        <v>0</v>
      </c>
      <c r="S153" s="94">
        <v>-7658.7600000000257</v>
      </c>
      <c r="T153" s="94">
        <v>-8704.5538461538745</v>
      </c>
      <c r="U153" s="95">
        <v>0</v>
      </c>
      <c r="V153" s="96">
        <v>0.04</v>
      </c>
    </row>
    <row r="154" spans="1:22" ht="13" x14ac:dyDescent="0.3">
      <c r="A154" s="20" t="s">
        <v>831</v>
      </c>
      <c r="B154" s="20">
        <v>39205</v>
      </c>
      <c r="C154" s="20" t="s">
        <v>855</v>
      </c>
      <c r="D154" s="77" t="s">
        <v>332</v>
      </c>
      <c r="E154" s="77" t="s">
        <v>167</v>
      </c>
      <c r="F154" s="94">
        <v>0</v>
      </c>
      <c r="G154" s="94">
        <v>0</v>
      </c>
      <c r="H154" s="94">
        <v>0</v>
      </c>
      <c r="I154" s="94">
        <v>0</v>
      </c>
      <c r="J154" s="94">
        <v>0</v>
      </c>
      <c r="K154" s="94">
        <v>0</v>
      </c>
      <c r="L154" s="95">
        <v>0</v>
      </c>
      <c r="M154" s="94">
        <v>-5966.7400000000116</v>
      </c>
      <c r="N154" s="94">
        <v>0</v>
      </c>
      <c r="O154" s="94">
        <v>0</v>
      </c>
      <c r="P154" s="94">
        <v>0</v>
      </c>
      <c r="Q154" s="94">
        <v>0</v>
      </c>
      <c r="R154" s="94">
        <v>0</v>
      </c>
      <c r="S154" s="94">
        <v>-5966.7400000000116</v>
      </c>
      <c r="T154" s="94">
        <v>-5966.7400000000107</v>
      </c>
      <c r="U154" s="95">
        <v>0</v>
      </c>
      <c r="V154" s="96">
        <v>7.3999999999999996E-2</v>
      </c>
    </row>
    <row r="155" spans="1:22" ht="13" x14ac:dyDescent="0.3">
      <c r="A155" s="20" t="s">
        <v>831</v>
      </c>
      <c r="B155" s="20">
        <v>39300</v>
      </c>
      <c r="C155" s="20" t="s">
        <v>856</v>
      </c>
      <c r="D155" s="77" t="s">
        <v>333</v>
      </c>
      <c r="E155" s="77" t="s">
        <v>168</v>
      </c>
      <c r="F155" s="94">
        <v>0</v>
      </c>
      <c r="G155" s="94">
        <v>0</v>
      </c>
      <c r="H155" s="94">
        <v>0</v>
      </c>
      <c r="I155" s="94">
        <v>0</v>
      </c>
      <c r="J155" s="94">
        <v>0</v>
      </c>
      <c r="K155" s="94">
        <v>0</v>
      </c>
      <c r="L155" s="95">
        <v>0</v>
      </c>
      <c r="M155" s="94">
        <v>879.7199999999998</v>
      </c>
      <c r="N155" s="94">
        <v>0</v>
      </c>
      <c r="O155" s="94">
        <v>0</v>
      </c>
      <c r="P155" s="94">
        <v>0</v>
      </c>
      <c r="Q155" s="94">
        <v>0</v>
      </c>
      <c r="R155" s="94">
        <v>0</v>
      </c>
      <c r="S155" s="94">
        <v>879.7199999999998</v>
      </c>
      <c r="T155" s="94">
        <v>879.71999999999946</v>
      </c>
      <c r="U155" s="95">
        <v>0</v>
      </c>
      <c r="V155" s="96">
        <v>0.04</v>
      </c>
    </row>
    <row r="156" spans="1:22" ht="13" x14ac:dyDescent="0.3">
      <c r="A156" s="20" t="s">
        <v>831</v>
      </c>
      <c r="B156" s="20">
        <v>39400</v>
      </c>
      <c r="C156" s="20" t="s">
        <v>857</v>
      </c>
      <c r="D156" s="77" t="s">
        <v>334</v>
      </c>
      <c r="E156" s="77" t="s">
        <v>169</v>
      </c>
      <c r="F156" s="94">
        <v>52965.62</v>
      </c>
      <c r="G156" s="94">
        <v>24532.71</v>
      </c>
      <c r="H156" s="94">
        <v>0</v>
      </c>
      <c r="I156" s="94">
        <v>0</v>
      </c>
      <c r="J156" s="94">
        <v>77498.33</v>
      </c>
      <c r="K156" s="94">
        <v>60514.146153846144</v>
      </c>
      <c r="L156" s="95">
        <v>0</v>
      </c>
      <c r="M156" s="94">
        <v>-36966.499999999898</v>
      </c>
      <c r="N156" s="94">
        <v>-3900.5099999999993</v>
      </c>
      <c r="O156" s="94">
        <v>0</v>
      </c>
      <c r="P156" s="94">
        <v>0</v>
      </c>
      <c r="Q156" s="94">
        <v>0</v>
      </c>
      <c r="R156" s="94">
        <v>0</v>
      </c>
      <c r="S156" s="94">
        <v>-40867.0099999999</v>
      </c>
      <c r="T156" s="94">
        <v>-38776.635384615263</v>
      </c>
      <c r="U156" s="95">
        <v>0</v>
      </c>
      <c r="V156" s="96">
        <v>6.6000000000000003E-2</v>
      </c>
    </row>
    <row r="157" spans="1:22" ht="13" x14ac:dyDescent="0.3">
      <c r="A157" s="20" t="s">
        <v>831</v>
      </c>
      <c r="B157" s="20">
        <v>39600</v>
      </c>
      <c r="C157" s="20" t="s">
        <v>858</v>
      </c>
      <c r="D157" s="77" t="s">
        <v>335</v>
      </c>
      <c r="E157" s="77" t="s">
        <v>171</v>
      </c>
      <c r="F157" s="94">
        <v>86702.18</v>
      </c>
      <c r="G157" s="94">
        <v>30650.080000000002</v>
      </c>
      <c r="H157" s="94">
        <v>0</v>
      </c>
      <c r="I157" s="94">
        <v>0</v>
      </c>
      <c r="J157" s="94">
        <v>117352.26</v>
      </c>
      <c r="K157" s="94">
        <v>96132.973846153836</v>
      </c>
      <c r="L157" s="95">
        <v>0</v>
      </c>
      <c r="M157" s="94">
        <v>-68737.230000000098</v>
      </c>
      <c r="N157" s="94">
        <v>-6039.33</v>
      </c>
      <c r="O157" s="94">
        <v>0</v>
      </c>
      <c r="P157" s="94">
        <v>0</v>
      </c>
      <c r="Q157" s="94">
        <v>0</v>
      </c>
      <c r="R157" s="94">
        <v>0</v>
      </c>
      <c r="S157" s="94">
        <v>-74776.5600000001</v>
      </c>
      <c r="T157" s="94">
        <v>-71587.137692307821</v>
      </c>
      <c r="U157" s="95">
        <v>0</v>
      </c>
      <c r="V157" s="96">
        <v>6.4000000000000001E-2</v>
      </c>
    </row>
    <row r="158" spans="1:22" ht="13" x14ac:dyDescent="0.3">
      <c r="A158" s="20" t="s">
        <v>831</v>
      </c>
      <c r="B158" s="20">
        <v>39700</v>
      </c>
      <c r="C158" s="20" t="s">
        <v>859</v>
      </c>
      <c r="D158" s="77" t="s">
        <v>336</v>
      </c>
      <c r="E158" s="77" t="s">
        <v>172</v>
      </c>
      <c r="F158" s="94">
        <v>25153.41</v>
      </c>
      <c r="G158" s="94">
        <v>0</v>
      </c>
      <c r="H158" s="94">
        <v>0</v>
      </c>
      <c r="I158" s="94">
        <v>0</v>
      </c>
      <c r="J158" s="94">
        <v>25153.41</v>
      </c>
      <c r="K158" s="94">
        <v>25153.409999999996</v>
      </c>
      <c r="L158" s="95">
        <v>0</v>
      </c>
      <c r="M158" s="94">
        <v>-15231.459999999972</v>
      </c>
      <c r="N158" s="94">
        <v>-2112.8399999999997</v>
      </c>
      <c r="O158" s="94">
        <v>0</v>
      </c>
      <c r="P158" s="94">
        <v>0</v>
      </c>
      <c r="Q158" s="94">
        <v>0</v>
      </c>
      <c r="R158" s="94">
        <v>0</v>
      </c>
      <c r="S158" s="94">
        <v>-17344.29999999997</v>
      </c>
      <c r="T158" s="94">
        <v>-16287.879999999972</v>
      </c>
      <c r="U158" s="95">
        <v>0</v>
      </c>
      <c r="V158" s="96">
        <v>8.4000000000000005E-2</v>
      </c>
    </row>
    <row r="159" spans="1:22" ht="13" x14ac:dyDescent="0.3">
      <c r="A159" s="20" t="s">
        <v>831</v>
      </c>
      <c r="B159" s="20">
        <v>39800</v>
      </c>
      <c r="C159" s="20" t="s">
        <v>860</v>
      </c>
      <c r="D159" s="77" t="s">
        <v>337</v>
      </c>
      <c r="E159" s="77" t="s">
        <v>173</v>
      </c>
      <c r="F159" s="94">
        <v>2987.25</v>
      </c>
      <c r="G159" s="94">
        <v>5729.96</v>
      </c>
      <c r="H159" s="94">
        <v>0</v>
      </c>
      <c r="I159" s="94">
        <v>0</v>
      </c>
      <c r="J159" s="94">
        <v>8717.2099999999991</v>
      </c>
      <c r="K159" s="94">
        <v>5163.8807692307682</v>
      </c>
      <c r="L159" s="95">
        <v>0</v>
      </c>
      <c r="M159" s="94">
        <v>-822.5800000000022</v>
      </c>
      <c r="N159" s="94">
        <v>-287.22000000000003</v>
      </c>
      <c r="O159" s="94">
        <v>0</v>
      </c>
      <c r="P159" s="94">
        <v>0</v>
      </c>
      <c r="Q159" s="94">
        <v>0</v>
      </c>
      <c r="R159" s="94">
        <v>0</v>
      </c>
      <c r="S159" s="94">
        <v>-1109.8000000000022</v>
      </c>
      <c r="T159" s="94">
        <v>-933.88692307692565</v>
      </c>
      <c r="U159" s="95">
        <v>0</v>
      </c>
      <c r="V159" s="96">
        <v>5.8999999999999997E-2</v>
      </c>
    </row>
    <row r="160" spans="1:22" ht="13" x14ac:dyDescent="0.3">
      <c r="A160" s="20" t="s">
        <v>861</v>
      </c>
      <c r="B160" s="20">
        <v>30301</v>
      </c>
      <c r="C160" s="20" t="s">
        <v>862</v>
      </c>
      <c r="D160" s="77" t="s">
        <v>338</v>
      </c>
      <c r="E160" s="77" t="s">
        <v>141</v>
      </c>
      <c r="F160" s="94">
        <v>0</v>
      </c>
      <c r="G160" s="94">
        <v>0</v>
      </c>
      <c r="H160" s="94">
        <v>0</v>
      </c>
      <c r="I160" s="94">
        <v>0</v>
      </c>
      <c r="J160" s="94">
        <v>0</v>
      </c>
      <c r="K160" s="94">
        <v>0</v>
      </c>
      <c r="L160" s="95">
        <v>0</v>
      </c>
      <c r="M160" s="94">
        <v>0</v>
      </c>
      <c r="N160" s="94">
        <v>0</v>
      </c>
      <c r="O160" s="94">
        <v>0</v>
      </c>
      <c r="P160" s="94">
        <v>0</v>
      </c>
      <c r="Q160" s="94">
        <v>0</v>
      </c>
      <c r="R160" s="94">
        <v>0</v>
      </c>
      <c r="S160" s="94">
        <v>0</v>
      </c>
      <c r="T160" s="94">
        <v>0</v>
      </c>
      <c r="U160" s="95">
        <v>0</v>
      </c>
      <c r="V160" s="96">
        <v>6.7000000000000004E-2</v>
      </c>
    </row>
    <row r="161" spans="1:22" ht="13" x14ac:dyDescent="0.3">
      <c r="A161" s="20" t="s">
        <v>861</v>
      </c>
      <c r="B161" s="20">
        <v>37400</v>
      </c>
      <c r="C161" s="20" t="s">
        <v>863</v>
      </c>
      <c r="D161" s="77" t="s">
        <v>339</v>
      </c>
      <c r="E161" s="77" t="s">
        <v>142</v>
      </c>
      <c r="F161" s="94">
        <v>674938.15</v>
      </c>
      <c r="G161" s="94">
        <v>0</v>
      </c>
      <c r="H161" s="94">
        <v>0</v>
      </c>
      <c r="I161" s="94">
        <v>0</v>
      </c>
      <c r="J161" s="94">
        <v>674938.15</v>
      </c>
      <c r="K161" s="94">
        <v>674938.15000000014</v>
      </c>
      <c r="L161" s="95">
        <v>0</v>
      </c>
      <c r="M161" s="94">
        <v>0</v>
      </c>
      <c r="N161" s="94">
        <v>0</v>
      </c>
      <c r="O161" s="94">
        <v>0</v>
      </c>
      <c r="P161" s="94">
        <v>0</v>
      </c>
      <c r="Q161" s="94">
        <v>0</v>
      </c>
      <c r="R161" s="94">
        <v>0</v>
      </c>
      <c r="S161" s="94">
        <v>0</v>
      </c>
      <c r="T161" s="94">
        <v>0</v>
      </c>
      <c r="U161" s="95">
        <v>0</v>
      </c>
      <c r="V161" s="96">
        <v>0</v>
      </c>
    </row>
    <row r="162" spans="1:22" ht="13" x14ac:dyDescent="0.3">
      <c r="A162" s="20" t="s">
        <v>861</v>
      </c>
      <c r="B162" s="20">
        <v>37402</v>
      </c>
      <c r="C162" s="20" t="s">
        <v>864</v>
      </c>
      <c r="D162" s="77" t="s">
        <v>340</v>
      </c>
      <c r="E162" s="77" t="s">
        <v>143</v>
      </c>
      <c r="F162" s="94">
        <v>130141.27</v>
      </c>
      <c r="G162" s="94">
        <v>9419.3099999999977</v>
      </c>
      <c r="H162" s="94">
        <v>0</v>
      </c>
      <c r="I162" s="94">
        <v>0</v>
      </c>
      <c r="J162" s="94">
        <v>139560.58000000002</v>
      </c>
      <c r="K162" s="94">
        <v>136767.48076923078</v>
      </c>
      <c r="L162" s="95">
        <v>0</v>
      </c>
      <c r="M162" s="94">
        <v>-68355.859999999957</v>
      </c>
      <c r="N162" s="94">
        <v>-1774.9399999999998</v>
      </c>
      <c r="O162" s="94">
        <v>0</v>
      </c>
      <c r="P162" s="94">
        <v>0</v>
      </c>
      <c r="Q162" s="94">
        <v>0</v>
      </c>
      <c r="R162" s="94">
        <v>0</v>
      </c>
      <c r="S162" s="94">
        <v>-70130.799999999959</v>
      </c>
      <c r="T162" s="94">
        <v>-69231.424615384574</v>
      </c>
      <c r="U162" s="95">
        <v>0</v>
      </c>
      <c r="V162" s="96">
        <v>1.2999999999999999E-2</v>
      </c>
    </row>
    <row r="163" spans="1:22" ht="13" x14ac:dyDescent="0.3">
      <c r="A163" s="20" t="s">
        <v>861</v>
      </c>
      <c r="B163" s="20">
        <v>37500</v>
      </c>
      <c r="C163" s="20" t="s">
        <v>865</v>
      </c>
      <c r="D163" s="77" t="s">
        <v>341</v>
      </c>
      <c r="E163" s="77" t="s">
        <v>144</v>
      </c>
      <c r="F163" s="94">
        <v>3891502.6900000004</v>
      </c>
      <c r="G163" s="94">
        <v>197400.8</v>
      </c>
      <c r="H163" s="94">
        <v>0</v>
      </c>
      <c r="I163" s="94">
        <v>0</v>
      </c>
      <c r="J163" s="94">
        <v>4088903.49</v>
      </c>
      <c r="K163" s="94">
        <v>3950771.4915384627</v>
      </c>
      <c r="L163" s="95">
        <v>0</v>
      </c>
      <c r="M163" s="94">
        <v>-2027632.0000000007</v>
      </c>
      <c r="N163" s="94">
        <v>-98481.540000000023</v>
      </c>
      <c r="O163" s="94">
        <v>0</v>
      </c>
      <c r="P163" s="94">
        <v>0</v>
      </c>
      <c r="Q163" s="94">
        <v>0</v>
      </c>
      <c r="R163" s="94">
        <v>0</v>
      </c>
      <c r="S163" s="94">
        <v>-2126113.5400000005</v>
      </c>
      <c r="T163" s="94">
        <v>-2076456.4207692319</v>
      </c>
      <c r="U163" s="95">
        <v>0</v>
      </c>
      <c r="V163" s="96">
        <v>2.5000000000000001E-2</v>
      </c>
    </row>
    <row r="164" spans="1:22" ht="13" x14ac:dyDescent="0.3">
      <c r="A164" s="20" t="s">
        <v>861</v>
      </c>
      <c r="B164" s="20">
        <v>37600</v>
      </c>
      <c r="C164" s="20" t="s">
        <v>866</v>
      </c>
      <c r="D164" s="77" t="s">
        <v>342</v>
      </c>
      <c r="E164" s="77" t="s">
        <v>145</v>
      </c>
      <c r="F164" s="94">
        <v>71059770.019999981</v>
      </c>
      <c r="G164" s="94">
        <v>2117618.67</v>
      </c>
      <c r="H164" s="94">
        <v>-115243.33</v>
      </c>
      <c r="I164" s="94">
        <v>0</v>
      </c>
      <c r="J164" s="94">
        <v>73062145.359999985</v>
      </c>
      <c r="K164" s="94">
        <v>71851706.013846129</v>
      </c>
      <c r="L164" s="95">
        <v>0</v>
      </c>
      <c r="M164" s="94">
        <v>-45965501.039999984</v>
      </c>
      <c r="N164" s="94">
        <v>-3013535.120000001</v>
      </c>
      <c r="O164" s="94">
        <v>115243.33</v>
      </c>
      <c r="P164" s="94">
        <v>586372.89</v>
      </c>
      <c r="Q164" s="94">
        <v>18.560000000000002</v>
      </c>
      <c r="R164" s="94">
        <v>0</v>
      </c>
      <c r="S164" s="94">
        <v>-48277401.37999998</v>
      </c>
      <c r="T164" s="94">
        <v>-47232648.445384614</v>
      </c>
      <c r="U164" s="95">
        <v>0</v>
      </c>
      <c r="V164" s="96">
        <v>4.2000000000000003E-2</v>
      </c>
    </row>
    <row r="165" spans="1:22" ht="13" x14ac:dyDescent="0.3">
      <c r="A165" s="20" t="s">
        <v>861</v>
      </c>
      <c r="B165" s="20">
        <v>37602</v>
      </c>
      <c r="C165" s="20" t="s">
        <v>867</v>
      </c>
      <c r="D165" s="77" t="s">
        <v>343</v>
      </c>
      <c r="E165" s="77" t="s">
        <v>146</v>
      </c>
      <c r="F165" s="94">
        <v>39534340.149999999</v>
      </c>
      <c r="G165" s="94">
        <v>5393364.75</v>
      </c>
      <c r="H165" s="94">
        <v>-8773.380000000001</v>
      </c>
      <c r="I165" s="94">
        <v>0</v>
      </c>
      <c r="J165" s="94">
        <v>44918931.519999996</v>
      </c>
      <c r="K165" s="94">
        <v>41033029.967692308</v>
      </c>
      <c r="L165" s="95">
        <v>0</v>
      </c>
      <c r="M165" s="94">
        <v>-15447859.500000019</v>
      </c>
      <c r="N165" s="94">
        <v>-1261985.3600000001</v>
      </c>
      <c r="O165" s="94">
        <v>8773.380000000001</v>
      </c>
      <c r="P165" s="94">
        <v>99741.200000000012</v>
      </c>
      <c r="Q165" s="94">
        <v>-16.410000000000025</v>
      </c>
      <c r="R165" s="94">
        <v>0</v>
      </c>
      <c r="S165" s="94">
        <v>-16601346.690000018</v>
      </c>
      <c r="T165" s="94">
        <v>-16027901.388461556</v>
      </c>
      <c r="U165" s="95">
        <v>0</v>
      </c>
      <c r="V165" s="96">
        <v>3.1E-2</v>
      </c>
    </row>
    <row r="166" spans="1:22" ht="13" x14ac:dyDescent="0.3">
      <c r="A166" s="20" t="s">
        <v>861</v>
      </c>
      <c r="B166" s="20">
        <v>37602</v>
      </c>
      <c r="C166" s="20" t="s">
        <v>867</v>
      </c>
      <c r="D166" s="77" t="s">
        <v>344</v>
      </c>
      <c r="E166" s="77" t="s">
        <v>146</v>
      </c>
      <c r="F166" s="94">
        <v>0</v>
      </c>
      <c r="G166" s="94">
        <v>0</v>
      </c>
      <c r="H166" s="94">
        <v>0</v>
      </c>
      <c r="I166" s="94">
        <v>0</v>
      </c>
      <c r="J166" s="94">
        <v>0</v>
      </c>
      <c r="K166" s="94">
        <v>0</v>
      </c>
      <c r="L166" s="95">
        <v>0</v>
      </c>
      <c r="M166" s="94">
        <v>0</v>
      </c>
      <c r="N166" s="94">
        <v>0</v>
      </c>
      <c r="O166" s="94">
        <v>0</v>
      </c>
      <c r="P166" s="94">
        <v>0</v>
      </c>
      <c r="Q166" s="94">
        <v>0</v>
      </c>
      <c r="R166" s="94">
        <v>0</v>
      </c>
      <c r="S166" s="94">
        <v>0</v>
      </c>
      <c r="T166" s="94">
        <v>0</v>
      </c>
      <c r="U166" s="95">
        <v>0</v>
      </c>
      <c r="V166" s="96">
        <v>3.1E-2</v>
      </c>
    </row>
    <row r="167" spans="1:22" ht="13" x14ac:dyDescent="0.3">
      <c r="A167" s="20" t="s">
        <v>861</v>
      </c>
      <c r="B167" s="20">
        <v>37602</v>
      </c>
      <c r="C167" s="20" t="s">
        <v>867</v>
      </c>
      <c r="D167" s="77" t="s">
        <v>345</v>
      </c>
      <c r="E167" s="77" t="s">
        <v>146</v>
      </c>
      <c r="F167" s="94">
        <v>0</v>
      </c>
      <c r="G167" s="94">
        <v>0</v>
      </c>
      <c r="H167" s="94">
        <v>0</v>
      </c>
      <c r="I167" s="94">
        <v>0</v>
      </c>
      <c r="J167" s="94">
        <v>0</v>
      </c>
      <c r="K167" s="94">
        <v>0</v>
      </c>
      <c r="L167" s="95">
        <v>0</v>
      </c>
      <c r="M167" s="94">
        <v>0</v>
      </c>
      <c r="N167" s="94">
        <v>0</v>
      </c>
      <c r="O167" s="94">
        <v>0</v>
      </c>
      <c r="P167" s="94">
        <v>0</v>
      </c>
      <c r="Q167" s="94">
        <v>0</v>
      </c>
      <c r="R167" s="94">
        <v>0</v>
      </c>
      <c r="S167" s="94">
        <v>0</v>
      </c>
      <c r="T167" s="94">
        <v>0</v>
      </c>
      <c r="U167" s="95">
        <v>0</v>
      </c>
      <c r="V167" s="96">
        <v>3.1E-2</v>
      </c>
    </row>
    <row r="168" spans="1:22" ht="13" x14ac:dyDescent="0.3">
      <c r="A168" s="20" t="s">
        <v>861</v>
      </c>
      <c r="B168" s="20">
        <v>37800</v>
      </c>
      <c r="C168" s="20" t="s">
        <v>868</v>
      </c>
      <c r="D168" s="77" t="s">
        <v>346</v>
      </c>
      <c r="E168" s="77" t="s">
        <v>147</v>
      </c>
      <c r="F168" s="94">
        <v>3244693.7599999988</v>
      </c>
      <c r="G168" s="94">
        <v>152198.88</v>
      </c>
      <c r="H168" s="94">
        <v>0</v>
      </c>
      <c r="I168" s="94">
        <v>0</v>
      </c>
      <c r="J168" s="94">
        <v>3396892.6399999987</v>
      </c>
      <c r="K168" s="94">
        <v>3306103.9253846151</v>
      </c>
      <c r="L168" s="95">
        <v>0</v>
      </c>
      <c r="M168" s="94">
        <v>-556730.87999999966</v>
      </c>
      <c r="N168" s="94">
        <v>-112150.3</v>
      </c>
      <c r="O168" s="94">
        <v>0</v>
      </c>
      <c r="P168" s="94">
        <v>0</v>
      </c>
      <c r="Q168" s="94">
        <v>0</v>
      </c>
      <c r="R168" s="94">
        <v>0</v>
      </c>
      <c r="S168" s="94">
        <v>-668881.1799999997</v>
      </c>
      <c r="T168" s="94">
        <v>-612372.69769230741</v>
      </c>
      <c r="U168" s="95">
        <v>0</v>
      </c>
      <c r="V168" s="96">
        <v>3.4000000000000002E-2</v>
      </c>
    </row>
    <row r="169" spans="1:22" ht="13" x14ac:dyDescent="0.3">
      <c r="A169" s="20" t="s">
        <v>861</v>
      </c>
      <c r="B169" s="20">
        <v>37900</v>
      </c>
      <c r="C169" s="20" t="s">
        <v>869</v>
      </c>
      <c r="D169" s="77" t="s">
        <v>347</v>
      </c>
      <c r="E169" s="77" t="s">
        <v>148</v>
      </c>
      <c r="F169" s="94">
        <v>3162507.75</v>
      </c>
      <c r="G169" s="94">
        <v>92431.74</v>
      </c>
      <c r="H169" s="94">
        <v>0</v>
      </c>
      <c r="I169" s="94">
        <v>0</v>
      </c>
      <c r="J169" s="94">
        <v>3254939.49</v>
      </c>
      <c r="K169" s="94">
        <v>3190820.2546153846</v>
      </c>
      <c r="L169" s="95">
        <v>0</v>
      </c>
      <c r="M169" s="94">
        <v>-715558.66999999911</v>
      </c>
      <c r="N169" s="94">
        <v>-108306.23999999999</v>
      </c>
      <c r="O169" s="94">
        <v>0</v>
      </c>
      <c r="P169" s="94">
        <v>0</v>
      </c>
      <c r="Q169" s="94">
        <v>0</v>
      </c>
      <c r="R169" s="94">
        <v>0</v>
      </c>
      <c r="S169" s="94">
        <v>-823864.9099999991</v>
      </c>
      <c r="T169" s="94">
        <v>-769451.12230769102</v>
      </c>
      <c r="U169" s="95">
        <v>0</v>
      </c>
      <c r="V169" s="96">
        <v>3.4000000000000002E-2</v>
      </c>
    </row>
    <row r="170" spans="1:22" ht="13" x14ac:dyDescent="0.3">
      <c r="A170" s="20" t="s">
        <v>861</v>
      </c>
      <c r="B170" s="20">
        <v>38000</v>
      </c>
      <c r="C170" s="20" t="s">
        <v>870</v>
      </c>
      <c r="D170" s="77" t="s">
        <v>348</v>
      </c>
      <c r="E170" s="77" t="s">
        <v>149</v>
      </c>
      <c r="F170" s="94">
        <v>3888534.0300000007</v>
      </c>
      <c r="G170" s="94">
        <v>203663.33000000002</v>
      </c>
      <c r="H170" s="94">
        <v>-18528.98</v>
      </c>
      <c r="I170" s="94">
        <v>0</v>
      </c>
      <c r="J170" s="94">
        <v>4073668.3800000008</v>
      </c>
      <c r="K170" s="94">
        <v>3980757.0623076926</v>
      </c>
      <c r="L170" s="95">
        <v>0</v>
      </c>
      <c r="M170" s="94">
        <v>-5811691.2099999962</v>
      </c>
      <c r="N170" s="94">
        <v>-262218.98</v>
      </c>
      <c r="O170" s="94">
        <v>18528.98</v>
      </c>
      <c r="P170" s="94">
        <v>45553.520000000004</v>
      </c>
      <c r="Q170" s="94">
        <v>0.53999999999999915</v>
      </c>
      <c r="R170" s="94">
        <v>0</v>
      </c>
      <c r="S170" s="94">
        <v>-6009827.1499999957</v>
      </c>
      <c r="T170" s="94">
        <v>-5921818.3999999957</v>
      </c>
      <c r="U170" s="95">
        <v>0</v>
      </c>
      <c r="V170" s="96">
        <v>6.5999999999999989E-2</v>
      </c>
    </row>
    <row r="171" spans="1:22" ht="13" x14ac:dyDescent="0.3">
      <c r="A171" s="20" t="s">
        <v>861</v>
      </c>
      <c r="B171" s="20">
        <v>38002</v>
      </c>
      <c r="C171" s="20" t="s">
        <v>871</v>
      </c>
      <c r="D171" s="77" t="s">
        <v>349</v>
      </c>
      <c r="E171" s="77" t="s">
        <v>150</v>
      </c>
      <c r="F171" s="94">
        <v>25136932.209999997</v>
      </c>
      <c r="G171" s="94">
        <v>2214905.4499999997</v>
      </c>
      <c r="H171" s="94">
        <v>-29105.98</v>
      </c>
      <c r="I171" s="94">
        <v>0</v>
      </c>
      <c r="J171" s="94">
        <v>27322731.679999996</v>
      </c>
      <c r="K171" s="94">
        <v>26209990.755384617</v>
      </c>
      <c r="L171" s="95">
        <v>0</v>
      </c>
      <c r="M171" s="94">
        <v>-13553989.42999999</v>
      </c>
      <c r="N171" s="94">
        <v>-1305863.1199999999</v>
      </c>
      <c r="O171" s="94">
        <v>29105.98</v>
      </c>
      <c r="P171" s="94">
        <v>169784.72999999998</v>
      </c>
      <c r="Q171" s="94">
        <v>-2.6900000000000261</v>
      </c>
      <c r="R171" s="94">
        <v>0</v>
      </c>
      <c r="S171" s="94">
        <v>-14660964.529999988</v>
      </c>
      <c r="T171" s="94">
        <v>-14136880.594615377</v>
      </c>
      <c r="U171" s="95">
        <v>0</v>
      </c>
      <c r="V171" s="96">
        <v>0.05</v>
      </c>
    </row>
    <row r="172" spans="1:22" ht="13" x14ac:dyDescent="0.3">
      <c r="A172" s="20" t="s">
        <v>861</v>
      </c>
      <c r="B172" s="20">
        <v>38200</v>
      </c>
      <c r="C172" s="20" t="s">
        <v>872</v>
      </c>
      <c r="D172" s="77" t="s">
        <v>350</v>
      </c>
      <c r="E172" s="77" t="s">
        <v>152</v>
      </c>
      <c r="F172" s="94">
        <v>3793517.709999999</v>
      </c>
      <c r="G172" s="94">
        <v>257754.23</v>
      </c>
      <c r="H172" s="94">
        <v>-35462.32</v>
      </c>
      <c r="I172" s="94">
        <v>0</v>
      </c>
      <c r="J172" s="94">
        <v>4015809.6199999992</v>
      </c>
      <c r="K172" s="94">
        <v>3902557.5361538446</v>
      </c>
      <c r="L172" s="95">
        <v>0</v>
      </c>
      <c r="M172" s="94">
        <v>-1167944.6099999999</v>
      </c>
      <c r="N172" s="94">
        <v>-175190.38</v>
      </c>
      <c r="O172" s="94">
        <v>35462.32</v>
      </c>
      <c r="P172" s="94">
        <v>3339.1099999999997</v>
      </c>
      <c r="Q172" s="94">
        <v>0</v>
      </c>
      <c r="R172" s="94">
        <v>0</v>
      </c>
      <c r="S172" s="94">
        <v>-1304333.5599999996</v>
      </c>
      <c r="T172" s="94">
        <v>-1236831.7915384616</v>
      </c>
      <c r="U172" s="95">
        <v>0</v>
      </c>
      <c r="V172" s="96">
        <v>4.4999999999999998E-2</v>
      </c>
    </row>
    <row r="173" spans="1:22" ht="13" x14ac:dyDescent="0.3">
      <c r="A173" s="20" t="s">
        <v>861</v>
      </c>
      <c r="B173" s="20">
        <v>38300</v>
      </c>
      <c r="C173" s="20" t="s">
        <v>873</v>
      </c>
      <c r="D173" s="77" t="s">
        <v>351</v>
      </c>
      <c r="E173" s="77" t="s">
        <v>153</v>
      </c>
      <c r="F173" s="94">
        <v>2043967</v>
      </c>
      <c r="G173" s="94">
        <v>146286.38999999998</v>
      </c>
      <c r="H173" s="94">
        <v>-9036.07</v>
      </c>
      <c r="I173" s="94">
        <v>0</v>
      </c>
      <c r="J173" s="94">
        <v>2181217.3200000003</v>
      </c>
      <c r="K173" s="94">
        <v>2100527.7969230767</v>
      </c>
      <c r="L173" s="95">
        <v>0</v>
      </c>
      <c r="M173" s="94">
        <v>-912958.56000000017</v>
      </c>
      <c r="N173" s="94">
        <v>-75376.94</v>
      </c>
      <c r="O173" s="94">
        <v>9036.07</v>
      </c>
      <c r="P173" s="94">
        <v>0</v>
      </c>
      <c r="Q173" s="94">
        <v>0</v>
      </c>
      <c r="R173" s="94">
        <v>0</v>
      </c>
      <c r="S173" s="94">
        <v>-979299.43000000028</v>
      </c>
      <c r="T173" s="94">
        <v>-949513.59384615393</v>
      </c>
      <c r="U173" s="95">
        <v>0</v>
      </c>
      <c r="V173" s="96">
        <v>3.5999999999999997E-2</v>
      </c>
    </row>
    <row r="174" spans="1:22" ht="13" x14ac:dyDescent="0.3">
      <c r="A174" s="20" t="s">
        <v>861</v>
      </c>
      <c r="B174" s="20">
        <v>38400</v>
      </c>
      <c r="C174" s="20" t="s">
        <v>874</v>
      </c>
      <c r="D174" s="77" t="s">
        <v>352</v>
      </c>
      <c r="E174" s="77" t="s">
        <v>154</v>
      </c>
      <c r="F174" s="94">
        <v>1589713.5999999987</v>
      </c>
      <c r="G174" s="94">
        <v>85918.12</v>
      </c>
      <c r="H174" s="94">
        <v>-19861.41</v>
      </c>
      <c r="I174" s="94">
        <v>0</v>
      </c>
      <c r="J174" s="94">
        <v>1655770.3099999989</v>
      </c>
      <c r="K174" s="94">
        <v>1632767.4315384601</v>
      </c>
      <c r="L174" s="95">
        <v>0</v>
      </c>
      <c r="M174" s="94">
        <v>-597415.24000000034</v>
      </c>
      <c r="N174" s="94">
        <v>-73388.26999999999</v>
      </c>
      <c r="O174" s="94">
        <v>19861.41</v>
      </c>
      <c r="P174" s="94">
        <v>2402.2799999999997</v>
      </c>
      <c r="Q174" s="94">
        <v>0</v>
      </c>
      <c r="R174" s="94">
        <v>0</v>
      </c>
      <c r="S174" s="94">
        <v>-648539.8200000003</v>
      </c>
      <c r="T174" s="94">
        <v>-621040.42153846193</v>
      </c>
      <c r="U174" s="95">
        <v>0</v>
      </c>
      <c r="V174" s="96">
        <v>4.4999999999999998E-2</v>
      </c>
    </row>
    <row r="175" spans="1:22" ht="13" x14ac:dyDescent="0.3">
      <c r="A175" s="20" t="s">
        <v>861</v>
      </c>
      <c r="B175" s="20">
        <v>38500</v>
      </c>
      <c r="C175" s="20" t="s">
        <v>875</v>
      </c>
      <c r="D175" s="77" t="s">
        <v>353</v>
      </c>
      <c r="E175" s="77" t="s">
        <v>155</v>
      </c>
      <c r="F175" s="94">
        <v>2751712.5100000002</v>
      </c>
      <c r="G175" s="94">
        <v>0</v>
      </c>
      <c r="H175" s="94">
        <v>0</v>
      </c>
      <c r="I175" s="94">
        <v>0</v>
      </c>
      <c r="J175" s="94">
        <v>2751712.5100000002</v>
      </c>
      <c r="K175" s="94">
        <v>2751712.5100000007</v>
      </c>
      <c r="L175" s="95">
        <v>0</v>
      </c>
      <c r="M175" s="94">
        <v>-1685581.9300000011</v>
      </c>
      <c r="N175" s="94">
        <v>-85303.079999999973</v>
      </c>
      <c r="O175" s="94">
        <v>0</v>
      </c>
      <c r="P175" s="94">
        <v>0</v>
      </c>
      <c r="Q175" s="94">
        <v>0</v>
      </c>
      <c r="R175" s="94">
        <v>0</v>
      </c>
      <c r="S175" s="94">
        <v>-1770885.0100000012</v>
      </c>
      <c r="T175" s="94">
        <v>-1728233.4700000016</v>
      </c>
      <c r="U175" s="95">
        <v>0</v>
      </c>
      <c r="V175" s="96">
        <v>3.1E-2</v>
      </c>
    </row>
    <row r="176" spans="1:22" ht="13" x14ac:dyDescent="0.3">
      <c r="A176" s="20" t="s">
        <v>861</v>
      </c>
      <c r="B176" s="20">
        <v>38700</v>
      </c>
      <c r="C176" s="20" t="s">
        <v>876</v>
      </c>
      <c r="D176" s="77" t="s">
        <v>354</v>
      </c>
      <c r="E176" s="77" t="s">
        <v>156</v>
      </c>
      <c r="F176" s="94">
        <v>410283.36</v>
      </c>
      <c r="G176" s="94">
        <v>44803.77</v>
      </c>
      <c r="H176" s="94">
        <v>0</v>
      </c>
      <c r="I176" s="94">
        <v>0</v>
      </c>
      <c r="J176" s="94">
        <v>455087.13</v>
      </c>
      <c r="K176" s="94">
        <v>413729.80384615378</v>
      </c>
      <c r="L176" s="95">
        <v>0</v>
      </c>
      <c r="M176" s="94">
        <v>-178447.43999999986</v>
      </c>
      <c r="N176" s="94">
        <v>-25847.87999999999</v>
      </c>
      <c r="O176" s="94">
        <v>0</v>
      </c>
      <c r="P176" s="94">
        <v>0</v>
      </c>
      <c r="Q176" s="94">
        <v>0</v>
      </c>
      <c r="R176" s="94">
        <v>0</v>
      </c>
      <c r="S176" s="94">
        <v>-204295.31999999983</v>
      </c>
      <c r="T176" s="94">
        <v>-191371.37999999986</v>
      </c>
      <c r="U176" s="95">
        <v>0</v>
      </c>
      <c r="V176" s="96">
        <v>6.3E-2</v>
      </c>
    </row>
    <row r="177" spans="1:22" ht="13" x14ac:dyDescent="0.3">
      <c r="A177" s="20" t="s">
        <v>861</v>
      </c>
      <c r="B177" s="20">
        <v>39000</v>
      </c>
      <c r="C177" s="20" t="s">
        <v>877</v>
      </c>
      <c r="D177" s="77" t="s">
        <v>355</v>
      </c>
      <c r="E177" s="77" t="s">
        <v>157</v>
      </c>
      <c r="F177" s="94">
        <v>0</v>
      </c>
      <c r="G177" s="94">
        <v>0</v>
      </c>
      <c r="H177" s="94">
        <v>0</v>
      </c>
      <c r="I177" s="94">
        <v>0</v>
      </c>
      <c r="J177" s="94">
        <v>0</v>
      </c>
      <c r="K177" s="94">
        <v>0</v>
      </c>
      <c r="L177" s="95">
        <v>0</v>
      </c>
      <c r="M177" s="94">
        <v>0</v>
      </c>
      <c r="N177" s="94">
        <v>0</v>
      </c>
      <c r="O177" s="94">
        <v>0</v>
      </c>
      <c r="P177" s="94">
        <v>0</v>
      </c>
      <c r="Q177" s="94">
        <v>0</v>
      </c>
      <c r="R177" s="94">
        <v>0</v>
      </c>
      <c r="S177" s="94">
        <v>0</v>
      </c>
      <c r="T177" s="94">
        <v>0</v>
      </c>
      <c r="U177" s="95">
        <v>0</v>
      </c>
      <c r="V177" s="96">
        <v>2.5000000000000001E-2</v>
      </c>
    </row>
    <row r="178" spans="1:22" ht="13" x14ac:dyDescent="0.3">
      <c r="A178" s="20" t="s">
        <v>861</v>
      </c>
      <c r="B178" s="20">
        <v>39100</v>
      </c>
      <c r="C178" s="20" t="s">
        <v>878</v>
      </c>
      <c r="D178" s="77" t="s">
        <v>356</v>
      </c>
      <c r="E178" s="77" t="s">
        <v>159</v>
      </c>
      <c r="F178" s="94">
        <v>33160.339999999997</v>
      </c>
      <c r="G178" s="94">
        <v>0</v>
      </c>
      <c r="H178" s="94">
        <v>0</v>
      </c>
      <c r="I178" s="94">
        <v>0</v>
      </c>
      <c r="J178" s="94">
        <v>33160.339999999997</v>
      </c>
      <c r="K178" s="94">
        <v>33160.339999999982</v>
      </c>
      <c r="L178" s="95">
        <v>0</v>
      </c>
      <c r="M178" s="94">
        <v>-184739.33999999988</v>
      </c>
      <c r="N178" s="94">
        <v>-2221.8000000000006</v>
      </c>
      <c r="O178" s="94">
        <v>0</v>
      </c>
      <c r="P178" s="94">
        <v>0</v>
      </c>
      <c r="Q178" s="94">
        <v>0</v>
      </c>
      <c r="R178" s="94">
        <v>0</v>
      </c>
      <c r="S178" s="94">
        <v>-186961.13999999987</v>
      </c>
      <c r="T178" s="94">
        <v>-185850.23999999982</v>
      </c>
      <c r="U178" s="95">
        <v>0</v>
      </c>
      <c r="V178" s="96">
        <v>6.7000000000000004E-2</v>
      </c>
    </row>
    <row r="179" spans="1:22" ht="13" x14ac:dyDescent="0.3">
      <c r="A179" s="20" t="s">
        <v>861</v>
      </c>
      <c r="B179" s="20">
        <v>39101</v>
      </c>
      <c r="C179" s="20" t="s">
        <v>879</v>
      </c>
      <c r="D179" s="77" t="s">
        <v>357</v>
      </c>
      <c r="E179" s="77" t="s">
        <v>160</v>
      </c>
      <c r="F179" s="94">
        <v>22854.589999999978</v>
      </c>
      <c r="G179" s="94">
        <v>12717.23</v>
      </c>
      <c r="H179" s="94">
        <v>0</v>
      </c>
      <c r="I179" s="94">
        <v>0</v>
      </c>
      <c r="J179" s="94">
        <v>35571.819999999978</v>
      </c>
      <c r="K179" s="94">
        <v>31658.826153846127</v>
      </c>
      <c r="L179" s="95">
        <v>0</v>
      </c>
      <c r="M179" s="94">
        <v>12290.740000000034</v>
      </c>
      <c r="N179" s="94">
        <v>-3916.6</v>
      </c>
      <c r="O179" s="94">
        <v>0</v>
      </c>
      <c r="P179" s="94">
        <v>0</v>
      </c>
      <c r="Q179" s="94">
        <v>0</v>
      </c>
      <c r="R179" s="94">
        <v>0</v>
      </c>
      <c r="S179" s="94">
        <v>8374.140000000034</v>
      </c>
      <c r="T179" s="94">
        <v>10495.48000000003</v>
      </c>
      <c r="U179" s="95">
        <v>0</v>
      </c>
      <c r="V179" s="96">
        <v>0.125</v>
      </c>
    </row>
    <row r="180" spans="1:22" ht="13" x14ac:dyDescent="0.3">
      <c r="A180" s="20" t="s">
        <v>861</v>
      </c>
      <c r="B180" s="20">
        <v>39102</v>
      </c>
      <c r="C180" s="20" t="s">
        <v>880</v>
      </c>
      <c r="D180" s="77" t="s">
        <v>358</v>
      </c>
      <c r="E180" s="77" t="s">
        <v>161</v>
      </c>
      <c r="F180" s="94">
        <v>5727.07</v>
      </c>
      <c r="G180" s="94">
        <v>12739.31</v>
      </c>
      <c r="H180" s="94">
        <v>0</v>
      </c>
      <c r="I180" s="94">
        <v>0</v>
      </c>
      <c r="J180" s="94">
        <v>18466.379999999997</v>
      </c>
      <c r="K180" s="94">
        <v>7686.9638461538461</v>
      </c>
      <c r="L180" s="95">
        <v>0</v>
      </c>
      <c r="M180" s="94">
        <v>-1693.8000000000018</v>
      </c>
      <c r="N180" s="94">
        <v>-454.88</v>
      </c>
      <c r="O180" s="94">
        <v>0</v>
      </c>
      <c r="P180" s="94">
        <v>0</v>
      </c>
      <c r="Q180" s="94">
        <v>0</v>
      </c>
      <c r="R180" s="94">
        <v>0</v>
      </c>
      <c r="S180" s="94">
        <v>-2148.6800000000017</v>
      </c>
      <c r="T180" s="94">
        <v>-1891.1507692307714</v>
      </c>
      <c r="U180" s="95">
        <v>0</v>
      </c>
      <c r="V180" s="96">
        <v>6.7000000000000004E-2</v>
      </c>
    </row>
    <row r="181" spans="1:22" ht="13" x14ac:dyDescent="0.3">
      <c r="A181" s="20" t="s">
        <v>861</v>
      </c>
      <c r="B181" s="20">
        <v>39201</v>
      </c>
      <c r="C181" s="20" t="s">
        <v>881</v>
      </c>
      <c r="D181" s="77" t="s">
        <v>359</v>
      </c>
      <c r="E181" s="77" t="s">
        <v>163</v>
      </c>
      <c r="F181" s="94">
        <v>638350.24000000011</v>
      </c>
      <c r="G181" s="94">
        <v>206175.21999999997</v>
      </c>
      <c r="H181" s="94">
        <v>0</v>
      </c>
      <c r="I181" s="94">
        <v>0</v>
      </c>
      <c r="J181" s="94">
        <v>844525.46000000008</v>
      </c>
      <c r="K181" s="94">
        <v>698479.61461538472</v>
      </c>
      <c r="L181" s="95">
        <v>0</v>
      </c>
      <c r="M181" s="94">
        <v>-138157.69000000003</v>
      </c>
      <c r="N181" s="94">
        <v>-76866.650000000009</v>
      </c>
      <c r="O181" s="94">
        <v>0</v>
      </c>
      <c r="P181" s="94">
        <v>4297.3500000000004</v>
      </c>
      <c r="Q181" s="94">
        <v>-2092.0100000000002</v>
      </c>
      <c r="R181" s="94">
        <v>0</v>
      </c>
      <c r="S181" s="94">
        <v>-212819.00000000003</v>
      </c>
      <c r="T181" s="94">
        <v>-174726.89692307694</v>
      </c>
      <c r="U181" s="95">
        <v>0</v>
      </c>
      <c r="V181" s="96">
        <v>0.112</v>
      </c>
    </row>
    <row r="182" spans="1:22" ht="13" x14ac:dyDescent="0.3">
      <c r="A182" s="20" t="s">
        <v>861</v>
      </c>
      <c r="B182" s="20">
        <v>39202</v>
      </c>
      <c r="C182" s="20" t="s">
        <v>882</v>
      </c>
      <c r="D182" s="77" t="s">
        <v>360</v>
      </c>
      <c r="E182" s="77" t="s">
        <v>164</v>
      </c>
      <c r="F182" s="94">
        <v>329418.99999999988</v>
      </c>
      <c r="G182" s="94">
        <v>52052.33</v>
      </c>
      <c r="H182" s="94">
        <v>-27035.29</v>
      </c>
      <c r="I182" s="94">
        <v>0</v>
      </c>
      <c r="J182" s="94">
        <v>354436.03999999992</v>
      </c>
      <c r="K182" s="94">
        <v>324638.72461538453</v>
      </c>
      <c r="L182" s="95">
        <v>0</v>
      </c>
      <c r="M182" s="94">
        <v>-228530.07999999987</v>
      </c>
      <c r="N182" s="94">
        <v>-40913.759999999995</v>
      </c>
      <c r="O182" s="94">
        <v>27035.29</v>
      </c>
      <c r="P182" s="94">
        <v>1803.54</v>
      </c>
      <c r="Q182" s="94">
        <v>-4762.99</v>
      </c>
      <c r="R182" s="94">
        <v>0</v>
      </c>
      <c r="S182" s="94">
        <v>-245367.99999999983</v>
      </c>
      <c r="T182" s="94">
        <v>-230858.69384615371</v>
      </c>
      <c r="U182" s="95">
        <v>0</v>
      </c>
      <c r="V182" s="96">
        <v>0.127</v>
      </c>
    </row>
    <row r="183" spans="1:22" ht="13" x14ac:dyDescent="0.3">
      <c r="A183" s="20" t="s">
        <v>861</v>
      </c>
      <c r="B183" s="20">
        <v>39204</v>
      </c>
      <c r="C183" s="20" t="s">
        <v>883</v>
      </c>
      <c r="D183" s="77" t="s">
        <v>361</v>
      </c>
      <c r="E183" s="77" t="s">
        <v>166</v>
      </c>
      <c r="F183" s="94">
        <v>17075.449999999997</v>
      </c>
      <c r="G183" s="94">
        <v>0</v>
      </c>
      <c r="H183" s="94">
        <v>0</v>
      </c>
      <c r="I183" s="94">
        <v>0</v>
      </c>
      <c r="J183" s="94">
        <v>17075.449999999997</v>
      </c>
      <c r="K183" s="94">
        <v>17075.450000000004</v>
      </c>
      <c r="L183" s="95">
        <v>0</v>
      </c>
      <c r="M183" s="94">
        <v>-4743.579999999989</v>
      </c>
      <c r="N183" s="94">
        <v>-683.04</v>
      </c>
      <c r="O183" s="94">
        <v>0</v>
      </c>
      <c r="P183" s="94">
        <v>0</v>
      </c>
      <c r="Q183" s="94">
        <v>0</v>
      </c>
      <c r="R183" s="94">
        <v>0</v>
      </c>
      <c r="S183" s="94">
        <v>-5426.619999999989</v>
      </c>
      <c r="T183" s="94">
        <v>-5085.0999999999904</v>
      </c>
      <c r="U183" s="95">
        <v>0</v>
      </c>
      <c r="V183" s="96">
        <v>0.04</v>
      </c>
    </row>
    <row r="184" spans="1:22" ht="13" x14ac:dyDescent="0.3">
      <c r="A184" s="20" t="s">
        <v>861</v>
      </c>
      <c r="B184" s="20">
        <v>39205</v>
      </c>
      <c r="C184" s="20" t="s">
        <v>884</v>
      </c>
      <c r="D184" s="77" t="s">
        <v>362</v>
      </c>
      <c r="E184" s="77" t="s">
        <v>167</v>
      </c>
      <c r="F184" s="94">
        <v>94582.68</v>
      </c>
      <c r="G184" s="94">
        <v>0</v>
      </c>
      <c r="H184" s="94">
        <v>0</v>
      </c>
      <c r="I184" s="94">
        <v>0</v>
      </c>
      <c r="J184" s="94">
        <v>94582.68</v>
      </c>
      <c r="K184" s="94">
        <v>94582.679999999964</v>
      </c>
      <c r="L184" s="95">
        <v>0</v>
      </c>
      <c r="M184" s="94">
        <v>-11697.979999999947</v>
      </c>
      <c r="N184" s="94">
        <v>-6999.1200000000017</v>
      </c>
      <c r="O184" s="94">
        <v>0</v>
      </c>
      <c r="P184" s="94">
        <v>0</v>
      </c>
      <c r="Q184" s="94">
        <v>0</v>
      </c>
      <c r="R184" s="94">
        <v>0</v>
      </c>
      <c r="S184" s="94">
        <v>-18697.099999999948</v>
      </c>
      <c r="T184" s="94">
        <v>-15197.539999999948</v>
      </c>
      <c r="U184" s="95">
        <v>0</v>
      </c>
      <c r="V184" s="96">
        <v>7.3999999999999996E-2</v>
      </c>
    </row>
    <row r="185" spans="1:22" ht="13" x14ac:dyDescent="0.3">
      <c r="A185" s="20" t="s">
        <v>861</v>
      </c>
      <c r="B185" s="20">
        <v>39300</v>
      </c>
      <c r="C185" s="20" t="s">
        <v>885</v>
      </c>
      <c r="D185" s="77" t="s">
        <v>363</v>
      </c>
      <c r="E185" s="77" t="s">
        <v>168</v>
      </c>
      <c r="F185" s="94">
        <v>0</v>
      </c>
      <c r="G185" s="94">
        <v>0</v>
      </c>
      <c r="H185" s="94">
        <v>0</v>
      </c>
      <c r="I185" s="94">
        <v>0</v>
      </c>
      <c r="J185" s="94">
        <v>0</v>
      </c>
      <c r="K185" s="94">
        <v>0</v>
      </c>
      <c r="L185" s="95">
        <v>0</v>
      </c>
      <c r="M185" s="94">
        <v>0</v>
      </c>
      <c r="N185" s="94">
        <v>0</v>
      </c>
      <c r="O185" s="94">
        <v>0</v>
      </c>
      <c r="P185" s="94">
        <v>0</v>
      </c>
      <c r="Q185" s="94">
        <v>0</v>
      </c>
      <c r="R185" s="94">
        <v>0</v>
      </c>
      <c r="S185" s="94">
        <v>0</v>
      </c>
      <c r="T185" s="94">
        <v>0</v>
      </c>
      <c r="U185" s="95">
        <v>0</v>
      </c>
      <c r="V185" s="96">
        <v>0.04</v>
      </c>
    </row>
    <row r="186" spans="1:22" ht="13" x14ac:dyDescent="0.3">
      <c r="A186" s="20" t="s">
        <v>861</v>
      </c>
      <c r="B186" s="20">
        <v>39400</v>
      </c>
      <c r="C186" s="20" t="s">
        <v>886</v>
      </c>
      <c r="D186" s="77" t="s">
        <v>364</v>
      </c>
      <c r="E186" s="77" t="s">
        <v>169</v>
      </c>
      <c r="F186" s="94">
        <v>230203.53999999992</v>
      </c>
      <c r="G186" s="94">
        <v>66193.569999999992</v>
      </c>
      <c r="H186" s="94">
        <v>0</v>
      </c>
      <c r="I186" s="94">
        <v>0</v>
      </c>
      <c r="J186" s="94">
        <v>296397.10999999993</v>
      </c>
      <c r="K186" s="94">
        <v>249646.3453846153</v>
      </c>
      <c r="L186" s="95">
        <v>0</v>
      </c>
      <c r="M186" s="94">
        <v>-62531.450000000361</v>
      </c>
      <c r="N186" s="94">
        <v>-16219.55</v>
      </c>
      <c r="O186" s="94">
        <v>0</v>
      </c>
      <c r="P186" s="94">
        <v>0</v>
      </c>
      <c r="Q186" s="94">
        <v>0</v>
      </c>
      <c r="R186" s="94">
        <v>0</v>
      </c>
      <c r="S186" s="94">
        <v>-78751.000000000364</v>
      </c>
      <c r="T186" s="94">
        <v>-70343.904615384963</v>
      </c>
      <c r="U186" s="95">
        <v>0</v>
      </c>
      <c r="V186" s="96">
        <v>6.6000000000000003E-2</v>
      </c>
    </row>
    <row r="187" spans="1:22" ht="13" x14ac:dyDescent="0.3">
      <c r="A187" s="20" t="s">
        <v>861</v>
      </c>
      <c r="B187" s="20">
        <v>39600</v>
      </c>
      <c r="C187" s="20" t="s">
        <v>887</v>
      </c>
      <c r="D187" s="77" t="s">
        <v>365</v>
      </c>
      <c r="E187" s="77" t="s">
        <v>171</v>
      </c>
      <c r="F187" s="94">
        <v>232248.72999999998</v>
      </c>
      <c r="G187" s="94">
        <v>22099.27</v>
      </c>
      <c r="H187" s="94">
        <v>0</v>
      </c>
      <c r="I187" s="94">
        <v>0</v>
      </c>
      <c r="J187" s="94">
        <v>254347.99999999997</v>
      </c>
      <c r="K187" s="94">
        <v>242448.39307692306</v>
      </c>
      <c r="L187" s="95">
        <v>0</v>
      </c>
      <c r="M187" s="94">
        <v>-126621.81000000014</v>
      </c>
      <c r="N187" s="94">
        <v>-15453.220000000003</v>
      </c>
      <c r="O187" s="94">
        <v>0</v>
      </c>
      <c r="P187" s="94">
        <v>0</v>
      </c>
      <c r="Q187" s="94">
        <v>0</v>
      </c>
      <c r="R187" s="94">
        <v>0</v>
      </c>
      <c r="S187" s="94">
        <v>-142075.03000000014</v>
      </c>
      <c r="T187" s="94">
        <v>-134189.76230769244</v>
      </c>
      <c r="U187" s="95">
        <v>0</v>
      </c>
      <c r="V187" s="96">
        <v>6.4000000000000001E-2</v>
      </c>
    </row>
    <row r="188" spans="1:22" ht="13" x14ac:dyDescent="0.3">
      <c r="A188" s="20" t="s">
        <v>861</v>
      </c>
      <c r="B188" s="20">
        <v>39700</v>
      </c>
      <c r="C188" s="20" t="s">
        <v>888</v>
      </c>
      <c r="D188" s="77" t="s">
        <v>366</v>
      </c>
      <c r="E188" s="77" t="s">
        <v>172</v>
      </c>
      <c r="F188" s="94">
        <v>30307.829999999987</v>
      </c>
      <c r="G188" s="94">
        <v>0</v>
      </c>
      <c r="H188" s="94">
        <v>0</v>
      </c>
      <c r="I188" s="94">
        <v>0</v>
      </c>
      <c r="J188" s="94">
        <v>30307.829999999987</v>
      </c>
      <c r="K188" s="94">
        <v>30307.829999999976</v>
      </c>
      <c r="L188" s="95">
        <v>0</v>
      </c>
      <c r="M188" s="94">
        <v>-82314.740000000078</v>
      </c>
      <c r="N188" s="94">
        <v>-2545.8000000000006</v>
      </c>
      <c r="O188" s="94">
        <v>0</v>
      </c>
      <c r="P188" s="94">
        <v>0</v>
      </c>
      <c r="Q188" s="94">
        <v>0</v>
      </c>
      <c r="R188" s="94">
        <v>0</v>
      </c>
      <c r="S188" s="94">
        <v>-84860.540000000081</v>
      </c>
      <c r="T188" s="94">
        <v>-83587.640000000043</v>
      </c>
      <c r="U188" s="95">
        <v>0</v>
      </c>
      <c r="V188" s="96">
        <v>8.4000000000000005E-2</v>
      </c>
    </row>
    <row r="189" spans="1:22" ht="13" x14ac:dyDescent="0.3">
      <c r="A189" s="20" t="s">
        <v>861</v>
      </c>
      <c r="B189" s="20">
        <v>39800</v>
      </c>
      <c r="C189" s="20" t="s">
        <v>889</v>
      </c>
      <c r="D189" s="77" t="s">
        <v>367</v>
      </c>
      <c r="E189" s="77" t="s">
        <v>173</v>
      </c>
      <c r="F189" s="94">
        <v>8409.5</v>
      </c>
      <c r="G189" s="94">
        <v>4027.95</v>
      </c>
      <c r="H189" s="94">
        <v>-2010.66</v>
      </c>
      <c r="I189" s="94">
        <v>0</v>
      </c>
      <c r="J189" s="94">
        <v>10426.790000000001</v>
      </c>
      <c r="K189" s="94">
        <v>7018.0146153846135</v>
      </c>
      <c r="L189" s="95">
        <v>0</v>
      </c>
      <c r="M189" s="94">
        <v>-4948.0900000000092</v>
      </c>
      <c r="N189" s="94">
        <v>-397.29999999999995</v>
      </c>
      <c r="O189" s="94">
        <v>2010.66</v>
      </c>
      <c r="P189" s="94">
        <v>0</v>
      </c>
      <c r="Q189" s="94">
        <v>0</v>
      </c>
      <c r="R189" s="94">
        <v>0</v>
      </c>
      <c r="S189" s="94">
        <v>-3334.7300000000096</v>
      </c>
      <c r="T189" s="94">
        <v>-3453.0200000000104</v>
      </c>
      <c r="U189" s="95">
        <v>0</v>
      </c>
      <c r="V189" s="96">
        <v>5.8999999999999997E-2</v>
      </c>
    </row>
    <row r="190" spans="1:22" ht="13" x14ac:dyDescent="0.3">
      <c r="A190" s="20" t="s">
        <v>890</v>
      </c>
      <c r="B190" s="20">
        <v>37500</v>
      </c>
      <c r="C190" s="20" t="s">
        <v>891</v>
      </c>
      <c r="D190" s="77" t="s">
        <v>368</v>
      </c>
      <c r="E190" s="77" t="s">
        <v>144</v>
      </c>
      <c r="F190" s="94">
        <v>0</v>
      </c>
      <c r="G190" s="94">
        <v>0</v>
      </c>
      <c r="H190" s="94">
        <v>0</v>
      </c>
      <c r="I190" s="94">
        <v>0</v>
      </c>
      <c r="J190" s="94">
        <v>0</v>
      </c>
      <c r="K190" s="94">
        <v>0</v>
      </c>
      <c r="L190" s="95">
        <v>0</v>
      </c>
      <c r="M190" s="94">
        <v>0</v>
      </c>
      <c r="N190" s="94">
        <v>0</v>
      </c>
      <c r="O190" s="94">
        <v>0</v>
      </c>
      <c r="P190" s="94">
        <v>0</v>
      </c>
      <c r="Q190" s="94">
        <v>0</v>
      </c>
      <c r="R190" s="94">
        <v>0</v>
      </c>
      <c r="S190" s="94">
        <v>0</v>
      </c>
      <c r="T190" s="94">
        <v>0</v>
      </c>
      <c r="U190" s="95">
        <v>0</v>
      </c>
      <c r="V190" s="96">
        <v>0</v>
      </c>
    </row>
    <row r="191" spans="1:22" ht="13" x14ac:dyDescent="0.3">
      <c r="A191" s="20" t="s">
        <v>890</v>
      </c>
      <c r="B191" s="20">
        <v>37600</v>
      </c>
      <c r="C191" s="20" t="s">
        <v>892</v>
      </c>
      <c r="D191" s="77" t="s">
        <v>369</v>
      </c>
      <c r="E191" s="77" t="s">
        <v>145</v>
      </c>
      <c r="F191" s="94">
        <v>0</v>
      </c>
      <c r="G191" s="94">
        <v>0</v>
      </c>
      <c r="H191" s="94">
        <v>0</v>
      </c>
      <c r="I191" s="94">
        <v>0</v>
      </c>
      <c r="J191" s="94">
        <v>0</v>
      </c>
      <c r="K191" s="94">
        <v>0</v>
      </c>
      <c r="L191" s="95">
        <v>0</v>
      </c>
      <c r="M191" s="94">
        <v>0</v>
      </c>
      <c r="N191" s="94">
        <v>0</v>
      </c>
      <c r="O191" s="94">
        <v>0</v>
      </c>
      <c r="P191" s="94">
        <v>0</v>
      </c>
      <c r="Q191" s="94">
        <v>0</v>
      </c>
      <c r="R191" s="94">
        <v>0</v>
      </c>
      <c r="S191" s="94">
        <v>0</v>
      </c>
      <c r="T191" s="94">
        <v>0</v>
      </c>
      <c r="U191" s="95">
        <v>0</v>
      </c>
      <c r="V191" s="96">
        <v>0</v>
      </c>
    </row>
    <row r="192" spans="1:22" ht="13" x14ac:dyDescent="0.3">
      <c r="A192" s="20" t="s">
        <v>890</v>
      </c>
      <c r="B192" s="20">
        <v>37602</v>
      </c>
      <c r="C192" s="20" t="s">
        <v>893</v>
      </c>
      <c r="D192" s="77" t="s">
        <v>370</v>
      </c>
      <c r="E192" s="77" t="s">
        <v>146</v>
      </c>
      <c r="F192" s="94">
        <v>0</v>
      </c>
      <c r="G192" s="94">
        <v>0</v>
      </c>
      <c r="H192" s="94">
        <v>0</v>
      </c>
      <c r="I192" s="94">
        <v>0</v>
      </c>
      <c r="J192" s="94">
        <v>0</v>
      </c>
      <c r="K192" s="94">
        <v>0</v>
      </c>
      <c r="L192" s="95">
        <v>0</v>
      </c>
      <c r="M192" s="94">
        <v>0</v>
      </c>
      <c r="N192" s="94">
        <v>0</v>
      </c>
      <c r="O192" s="94">
        <v>0</v>
      </c>
      <c r="P192" s="94">
        <v>0</v>
      </c>
      <c r="Q192" s="94">
        <v>0</v>
      </c>
      <c r="R192" s="94">
        <v>0</v>
      </c>
      <c r="S192" s="94">
        <v>0</v>
      </c>
      <c r="T192" s="94">
        <v>0</v>
      </c>
      <c r="U192" s="95">
        <v>0</v>
      </c>
      <c r="V192" s="96">
        <v>0</v>
      </c>
    </row>
    <row r="193" spans="1:22" ht="13" x14ac:dyDescent="0.3">
      <c r="A193" s="20" t="s">
        <v>890</v>
      </c>
      <c r="B193" s="20">
        <v>37800</v>
      </c>
      <c r="C193" s="20" t="s">
        <v>894</v>
      </c>
      <c r="D193" s="77" t="s">
        <v>371</v>
      </c>
      <c r="E193" s="77" t="s">
        <v>147</v>
      </c>
      <c r="F193" s="94">
        <v>0</v>
      </c>
      <c r="G193" s="94">
        <v>0</v>
      </c>
      <c r="H193" s="94">
        <v>0</v>
      </c>
      <c r="I193" s="94">
        <v>0</v>
      </c>
      <c r="J193" s="94">
        <v>0</v>
      </c>
      <c r="K193" s="94">
        <v>0</v>
      </c>
      <c r="L193" s="95">
        <v>0</v>
      </c>
      <c r="M193" s="94">
        <v>0</v>
      </c>
      <c r="N193" s="94">
        <v>0</v>
      </c>
      <c r="O193" s="94">
        <v>0</v>
      </c>
      <c r="P193" s="94">
        <v>0</v>
      </c>
      <c r="Q193" s="94">
        <v>0</v>
      </c>
      <c r="R193" s="94">
        <v>0</v>
      </c>
      <c r="S193" s="94">
        <v>0</v>
      </c>
      <c r="T193" s="94">
        <v>0</v>
      </c>
      <c r="U193" s="95">
        <v>0</v>
      </c>
      <c r="V193" s="96">
        <v>0</v>
      </c>
    </row>
    <row r="194" spans="1:22" ht="13" x14ac:dyDescent="0.3">
      <c r="A194" s="20" t="s">
        <v>895</v>
      </c>
      <c r="B194" s="20">
        <v>30301</v>
      </c>
      <c r="C194" s="20" t="s">
        <v>896</v>
      </c>
      <c r="D194" s="77" t="s">
        <v>372</v>
      </c>
      <c r="E194" s="77" t="s">
        <v>141</v>
      </c>
      <c r="F194" s="94">
        <v>102312.47</v>
      </c>
      <c r="G194" s="94">
        <v>12013.46</v>
      </c>
      <c r="H194" s="94">
        <v>-41289.39</v>
      </c>
      <c r="I194" s="94">
        <v>0</v>
      </c>
      <c r="J194" s="94">
        <v>73036.539999999994</v>
      </c>
      <c r="K194" s="94">
        <v>71071.743076923085</v>
      </c>
      <c r="L194" s="95">
        <v>0</v>
      </c>
      <c r="M194" s="94">
        <v>-100363.19000000026</v>
      </c>
      <c r="N194" s="94">
        <v>-3513.3599999999997</v>
      </c>
      <c r="O194" s="94">
        <v>41289.39</v>
      </c>
      <c r="P194" s="94">
        <v>0</v>
      </c>
      <c r="Q194" s="94">
        <v>0</v>
      </c>
      <c r="R194" s="94">
        <v>0</v>
      </c>
      <c r="S194" s="94">
        <v>-62587.160000000265</v>
      </c>
      <c r="T194" s="94">
        <v>-67304.831538461804</v>
      </c>
      <c r="U194" s="95">
        <v>0</v>
      </c>
      <c r="V194" s="96">
        <v>6.7000000000000004E-2</v>
      </c>
    </row>
    <row r="195" spans="1:22" ht="13" x14ac:dyDescent="0.3">
      <c r="A195" s="20" t="s">
        <v>895</v>
      </c>
      <c r="B195" s="20">
        <v>37400</v>
      </c>
      <c r="C195" s="20" t="s">
        <v>897</v>
      </c>
      <c r="D195" s="77" t="s">
        <v>373</v>
      </c>
      <c r="E195" s="77" t="s">
        <v>142</v>
      </c>
      <c r="F195" s="94">
        <v>919.23</v>
      </c>
      <c r="G195" s="94">
        <v>0</v>
      </c>
      <c r="H195" s="94">
        <v>0</v>
      </c>
      <c r="I195" s="94">
        <v>0</v>
      </c>
      <c r="J195" s="94">
        <v>919.23</v>
      </c>
      <c r="K195" s="94">
        <v>919.22999999999968</v>
      </c>
      <c r="L195" s="95">
        <v>0</v>
      </c>
      <c r="M195" s="94">
        <v>0</v>
      </c>
      <c r="N195" s="94">
        <v>0</v>
      </c>
      <c r="O195" s="94">
        <v>0</v>
      </c>
      <c r="P195" s="94">
        <v>0</v>
      </c>
      <c r="Q195" s="94">
        <v>0</v>
      </c>
      <c r="R195" s="94">
        <v>0</v>
      </c>
      <c r="S195" s="94">
        <v>0</v>
      </c>
      <c r="T195" s="94">
        <v>0</v>
      </c>
      <c r="U195" s="95">
        <v>0</v>
      </c>
      <c r="V195" s="96">
        <v>0</v>
      </c>
    </row>
    <row r="196" spans="1:22" ht="13" x14ac:dyDescent="0.3">
      <c r="A196" s="20" t="s">
        <v>895</v>
      </c>
      <c r="B196" s="20">
        <v>37402</v>
      </c>
      <c r="C196" s="20" t="s">
        <v>898</v>
      </c>
      <c r="D196" s="77" t="s">
        <v>374</v>
      </c>
      <c r="E196" s="77" t="s">
        <v>143</v>
      </c>
      <c r="F196" s="94">
        <v>51174.63</v>
      </c>
      <c r="G196" s="94">
        <v>0</v>
      </c>
      <c r="H196" s="94">
        <v>0</v>
      </c>
      <c r="I196" s="94">
        <v>0</v>
      </c>
      <c r="J196" s="94">
        <v>51174.63</v>
      </c>
      <c r="K196" s="94">
        <v>51174.63</v>
      </c>
      <c r="L196" s="95">
        <v>0</v>
      </c>
      <c r="M196" s="94">
        <v>-27695.939999999915</v>
      </c>
      <c r="N196" s="94">
        <v>-665.28</v>
      </c>
      <c r="O196" s="94">
        <v>0</v>
      </c>
      <c r="P196" s="94">
        <v>0</v>
      </c>
      <c r="Q196" s="94">
        <v>0</v>
      </c>
      <c r="R196" s="94">
        <v>0</v>
      </c>
      <c r="S196" s="94">
        <v>-28361.219999999914</v>
      </c>
      <c r="T196" s="94">
        <v>-28028.579999999907</v>
      </c>
      <c r="U196" s="95">
        <v>0</v>
      </c>
      <c r="V196" s="96">
        <v>1.2999999999999999E-2</v>
      </c>
    </row>
    <row r="197" spans="1:22" ht="13" x14ac:dyDescent="0.3">
      <c r="A197" s="20" t="s">
        <v>895</v>
      </c>
      <c r="B197" s="20">
        <v>37500</v>
      </c>
      <c r="C197" s="20" t="s">
        <v>899</v>
      </c>
      <c r="D197" s="77" t="s">
        <v>375</v>
      </c>
      <c r="E197" s="77" t="s">
        <v>144</v>
      </c>
      <c r="F197" s="94">
        <v>677226.67999999993</v>
      </c>
      <c r="G197" s="94">
        <v>60348.93</v>
      </c>
      <c r="H197" s="94">
        <v>0</v>
      </c>
      <c r="I197" s="94">
        <v>0</v>
      </c>
      <c r="J197" s="94">
        <v>737575.61</v>
      </c>
      <c r="K197" s="94">
        <v>697257.68461538467</v>
      </c>
      <c r="L197" s="95">
        <v>0</v>
      </c>
      <c r="M197" s="94">
        <v>-250082.55000000063</v>
      </c>
      <c r="N197" s="94">
        <v>-17347.469999999998</v>
      </c>
      <c r="O197" s="94">
        <v>0</v>
      </c>
      <c r="P197" s="94">
        <v>0</v>
      </c>
      <c r="Q197" s="94">
        <v>0</v>
      </c>
      <c r="R197" s="94">
        <v>0</v>
      </c>
      <c r="S197" s="94">
        <v>-267430.0200000006</v>
      </c>
      <c r="T197" s="94">
        <v>-258621.15000000066</v>
      </c>
      <c r="U197" s="95">
        <v>0</v>
      </c>
      <c r="V197" s="96">
        <v>2.5000000000000001E-2</v>
      </c>
    </row>
    <row r="198" spans="1:22" ht="13" x14ac:dyDescent="0.3">
      <c r="A198" s="20" t="s">
        <v>895</v>
      </c>
      <c r="B198" s="20">
        <v>37600</v>
      </c>
      <c r="C198" s="20" t="s">
        <v>900</v>
      </c>
      <c r="D198" s="77" t="s">
        <v>376</v>
      </c>
      <c r="E198" s="77" t="s">
        <v>145</v>
      </c>
      <c r="F198" s="94">
        <v>6847184.2300000004</v>
      </c>
      <c r="G198" s="94">
        <v>461127.11</v>
      </c>
      <c r="H198" s="94">
        <v>0</v>
      </c>
      <c r="I198" s="94">
        <v>0</v>
      </c>
      <c r="J198" s="94">
        <v>7308311.3400000008</v>
      </c>
      <c r="K198" s="94">
        <v>6913213.4292307701</v>
      </c>
      <c r="L198" s="95">
        <v>0</v>
      </c>
      <c r="M198" s="94">
        <v>-4963274.8100000015</v>
      </c>
      <c r="N198" s="94">
        <v>-288972.11000000004</v>
      </c>
      <c r="O198" s="94">
        <v>0</v>
      </c>
      <c r="P198" s="94">
        <v>38494.44</v>
      </c>
      <c r="Q198" s="94">
        <v>0</v>
      </c>
      <c r="R198" s="94">
        <v>0</v>
      </c>
      <c r="S198" s="94">
        <v>-5213752.4800000014</v>
      </c>
      <c r="T198" s="94">
        <v>-5096725.2461538473</v>
      </c>
      <c r="U198" s="95">
        <v>0</v>
      </c>
      <c r="V198" s="96">
        <v>4.2000000000000003E-2</v>
      </c>
    </row>
    <row r="199" spans="1:22" ht="13" x14ac:dyDescent="0.3">
      <c r="A199" s="20" t="s">
        <v>895</v>
      </c>
      <c r="B199" s="20">
        <v>37602</v>
      </c>
      <c r="C199" s="20" t="s">
        <v>901</v>
      </c>
      <c r="D199" s="77" t="s">
        <v>377</v>
      </c>
      <c r="E199" s="77" t="s">
        <v>146</v>
      </c>
      <c r="F199" s="94">
        <v>9851471.349999994</v>
      </c>
      <c r="G199" s="94">
        <v>2334044.3199999998</v>
      </c>
      <c r="H199" s="94">
        <v>0</v>
      </c>
      <c r="I199" s="94">
        <v>0</v>
      </c>
      <c r="J199" s="94">
        <v>12185515.669999994</v>
      </c>
      <c r="K199" s="94">
        <v>11099776.396923069</v>
      </c>
      <c r="L199" s="95">
        <v>0</v>
      </c>
      <c r="M199" s="94">
        <v>-2714491.0900000031</v>
      </c>
      <c r="N199" s="94">
        <v>-341288.23999999993</v>
      </c>
      <c r="O199" s="94">
        <v>0</v>
      </c>
      <c r="P199" s="94">
        <v>70012.459999999992</v>
      </c>
      <c r="Q199" s="94">
        <v>0</v>
      </c>
      <c r="R199" s="94">
        <v>0</v>
      </c>
      <c r="S199" s="94">
        <v>-2985766.8700000029</v>
      </c>
      <c r="T199" s="94">
        <v>-2856082.9592307713</v>
      </c>
      <c r="U199" s="95">
        <v>0</v>
      </c>
      <c r="V199" s="96">
        <v>3.1E-2</v>
      </c>
    </row>
    <row r="200" spans="1:22" ht="13" x14ac:dyDescent="0.3">
      <c r="A200" s="20" t="s">
        <v>895</v>
      </c>
      <c r="B200" s="20">
        <v>37602</v>
      </c>
      <c r="C200" s="20" t="s">
        <v>901</v>
      </c>
      <c r="D200" s="77" t="s">
        <v>378</v>
      </c>
      <c r="E200" s="77" t="s">
        <v>146</v>
      </c>
      <c r="F200" s="94">
        <v>0</v>
      </c>
      <c r="G200" s="94">
        <v>0</v>
      </c>
      <c r="H200" s="94">
        <v>0</v>
      </c>
      <c r="I200" s="94">
        <v>0</v>
      </c>
      <c r="J200" s="94">
        <v>0</v>
      </c>
      <c r="K200" s="94">
        <v>0</v>
      </c>
      <c r="L200" s="95">
        <v>0</v>
      </c>
      <c r="M200" s="94">
        <v>0</v>
      </c>
      <c r="N200" s="94">
        <v>0</v>
      </c>
      <c r="O200" s="94">
        <v>0</v>
      </c>
      <c r="P200" s="94">
        <v>0</v>
      </c>
      <c r="Q200" s="94">
        <v>0</v>
      </c>
      <c r="R200" s="94">
        <v>0</v>
      </c>
      <c r="S200" s="94">
        <v>0</v>
      </c>
      <c r="T200" s="94">
        <v>0</v>
      </c>
      <c r="U200" s="95">
        <v>0</v>
      </c>
      <c r="V200" s="96">
        <v>3.1E-2</v>
      </c>
    </row>
    <row r="201" spans="1:22" ht="13" x14ac:dyDescent="0.3">
      <c r="A201" s="20" t="s">
        <v>895</v>
      </c>
      <c r="B201" s="20">
        <v>37800</v>
      </c>
      <c r="C201" s="20" t="s">
        <v>902</v>
      </c>
      <c r="D201" s="77" t="s">
        <v>379</v>
      </c>
      <c r="E201" s="77" t="s">
        <v>147</v>
      </c>
      <c r="F201" s="94">
        <v>270066.96999999997</v>
      </c>
      <c r="G201" s="94">
        <v>57873.85</v>
      </c>
      <c r="H201" s="94">
        <v>-16528.93</v>
      </c>
      <c r="I201" s="94">
        <v>0</v>
      </c>
      <c r="J201" s="94">
        <v>311411.88999999996</v>
      </c>
      <c r="K201" s="94">
        <v>273743.29769230768</v>
      </c>
      <c r="L201" s="95">
        <v>0</v>
      </c>
      <c r="M201" s="94">
        <v>-61077.93000000016</v>
      </c>
      <c r="N201" s="94">
        <v>-9200.5800000000017</v>
      </c>
      <c r="O201" s="94">
        <v>16528.93</v>
      </c>
      <c r="P201" s="94">
        <v>907.08</v>
      </c>
      <c r="Q201" s="94">
        <v>0</v>
      </c>
      <c r="R201" s="94">
        <v>0</v>
      </c>
      <c r="S201" s="94">
        <v>-52842.500000000153</v>
      </c>
      <c r="T201" s="94">
        <v>-56255.477692307861</v>
      </c>
      <c r="U201" s="95">
        <v>0</v>
      </c>
      <c r="V201" s="96">
        <v>3.4000000000000002E-2</v>
      </c>
    </row>
    <row r="202" spans="1:22" ht="13" x14ac:dyDescent="0.3">
      <c r="A202" s="20" t="s">
        <v>895</v>
      </c>
      <c r="B202" s="20">
        <v>37900</v>
      </c>
      <c r="C202" s="20" t="s">
        <v>903</v>
      </c>
      <c r="D202" s="77" t="s">
        <v>380</v>
      </c>
      <c r="E202" s="77" t="s">
        <v>148</v>
      </c>
      <c r="F202" s="94">
        <v>1733681.5</v>
      </c>
      <c r="G202" s="94">
        <v>191152.37</v>
      </c>
      <c r="H202" s="94">
        <v>0</v>
      </c>
      <c r="I202" s="94">
        <v>0</v>
      </c>
      <c r="J202" s="94">
        <v>1924833.87</v>
      </c>
      <c r="K202" s="94">
        <v>1762091.5561538462</v>
      </c>
      <c r="L202" s="95">
        <v>0</v>
      </c>
      <c r="M202" s="94">
        <v>-287963.27999999933</v>
      </c>
      <c r="N202" s="94">
        <v>-59450.039999999994</v>
      </c>
      <c r="O202" s="94">
        <v>0</v>
      </c>
      <c r="P202" s="94">
        <v>0</v>
      </c>
      <c r="Q202" s="94">
        <v>0</v>
      </c>
      <c r="R202" s="94">
        <v>0</v>
      </c>
      <c r="S202" s="94">
        <v>-347413.31999999931</v>
      </c>
      <c r="T202" s="94">
        <v>-317495.67230769148</v>
      </c>
      <c r="U202" s="95">
        <v>0</v>
      </c>
      <c r="V202" s="96">
        <v>3.4000000000000002E-2</v>
      </c>
    </row>
    <row r="203" spans="1:22" ht="13" x14ac:dyDescent="0.3">
      <c r="A203" s="20" t="s">
        <v>895</v>
      </c>
      <c r="B203" s="20">
        <v>38000</v>
      </c>
      <c r="C203" s="20" t="s">
        <v>904</v>
      </c>
      <c r="D203" s="77" t="s">
        <v>381</v>
      </c>
      <c r="E203" s="77" t="s">
        <v>149</v>
      </c>
      <c r="F203" s="94">
        <v>1042135.65</v>
      </c>
      <c r="G203" s="94">
        <v>24408.45</v>
      </c>
      <c r="H203" s="94">
        <v>-343.53</v>
      </c>
      <c r="I203" s="94">
        <v>0</v>
      </c>
      <c r="J203" s="94">
        <v>1066200.57</v>
      </c>
      <c r="K203" s="94">
        <v>1054747.1984615382</v>
      </c>
      <c r="L203" s="95">
        <v>0</v>
      </c>
      <c r="M203" s="94">
        <v>-1417684.1100000006</v>
      </c>
      <c r="N203" s="94">
        <v>-69550.34</v>
      </c>
      <c r="O203" s="94">
        <v>343.53</v>
      </c>
      <c r="P203" s="94">
        <v>9572.6</v>
      </c>
      <c r="Q203" s="94">
        <v>0</v>
      </c>
      <c r="R203" s="94">
        <v>0</v>
      </c>
      <c r="S203" s="94">
        <v>-1477318.3200000005</v>
      </c>
      <c r="T203" s="94">
        <v>-1446643.6669230771</v>
      </c>
      <c r="U203" s="95">
        <v>0</v>
      </c>
      <c r="V203" s="96">
        <v>6.5999999999999989E-2</v>
      </c>
    </row>
    <row r="204" spans="1:22" ht="13" x14ac:dyDescent="0.3">
      <c r="A204" s="20" t="s">
        <v>895</v>
      </c>
      <c r="B204" s="20">
        <v>38002</v>
      </c>
      <c r="C204" s="20" t="s">
        <v>905</v>
      </c>
      <c r="D204" s="77" t="s">
        <v>382</v>
      </c>
      <c r="E204" s="77" t="s">
        <v>150</v>
      </c>
      <c r="F204" s="94">
        <v>4938772.4099999964</v>
      </c>
      <c r="G204" s="94">
        <v>86369.02</v>
      </c>
      <c r="H204" s="94">
        <v>-2466.7199999999998</v>
      </c>
      <c r="I204" s="94">
        <v>0</v>
      </c>
      <c r="J204" s="94">
        <v>5022674.7099999962</v>
      </c>
      <c r="K204" s="94">
        <v>4976198.8707692269</v>
      </c>
      <c r="L204" s="95">
        <v>0</v>
      </c>
      <c r="M204" s="94">
        <v>-2405783.200000002</v>
      </c>
      <c r="N204" s="94">
        <v>-248616.28000000003</v>
      </c>
      <c r="O204" s="94">
        <v>2466.7199999999998</v>
      </c>
      <c r="P204" s="94">
        <v>33083.75</v>
      </c>
      <c r="Q204" s="94">
        <v>0</v>
      </c>
      <c r="R204" s="94">
        <v>0</v>
      </c>
      <c r="S204" s="94">
        <v>-2618849.0100000021</v>
      </c>
      <c r="T204" s="94">
        <v>-2513230.4930769242</v>
      </c>
      <c r="U204" s="95">
        <v>0</v>
      </c>
      <c r="V204" s="96">
        <v>0.05</v>
      </c>
    </row>
    <row r="205" spans="1:22" ht="13" x14ac:dyDescent="0.3">
      <c r="A205" s="20" t="s">
        <v>895</v>
      </c>
      <c r="B205" s="20">
        <v>38200</v>
      </c>
      <c r="C205" s="20" t="s">
        <v>906</v>
      </c>
      <c r="D205" s="77" t="s">
        <v>383</v>
      </c>
      <c r="E205" s="77" t="s">
        <v>152</v>
      </c>
      <c r="F205" s="94">
        <v>577672.45999999973</v>
      </c>
      <c r="G205" s="94">
        <v>16365.889999999998</v>
      </c>
      <c r="H205" s="94">
        <v>-81.81</v>
      </c>
      <c r="I205" s="94">
        <v>0</v>
      </c>
      <c r="J205" s="94">
        <v>593956.53999999969</v>
      </c>
      <c r="K205" s="94">
        <v>584049.37615384581</v>
      </c>
      <c r="L205" s="95">
        <v>0</v>
      </c>
      <c r="M205" s="94">
        <v>-239258.79999999984</v>
      </c>
      <c r="N205" s="94">
        <v>-26245.069999999996</v>
      </c>
      <c r="O205" s="94">
        <v>81.81</v>
      </c>
      <c r="P205" s="94">
        <v>107.53</v>
      </c>
      <c r="Q205" s="94">
        <v>0</v>
      </c>
      <c r="R205" s="94">
        <v>0</v>
      </c>
      <c r="S205" s="94">
        <v>-265314.5299999998</v>
      </c>
      <c r="T205" s="94">
        <v>-252151.5407692306</v>
      </c>
      <c r="U205" s="95">
        <v>0</v>
      </c>
      <c r="V205" s="96">
        <v>4.4999999999999998E-2</v>
      </c>
    </row>
    <row r="206" spans="1:22" ht="13" x14ac:dyDescent="0.3">
      <c r="A206" s="20" t="s">
        <v>895</v>
      </c>
      <c r="B206" s="20">
        <v>38300</v>
      </c>
      <c r="C206" s="20" t="s">
        <v>907</v>
      </c>
      <c r="D206" s="77" t="s">
        <v>384</v>
      </c>
      <c r="E206" s="77" t="s">
        <v>153</v>
      </c>
      <c r="F206" s="94">
        <v>383415.85</v>
      </c>
      <c r="G206" s="94">
        <v>50492.4</v>
      </c>
      <c r="H206" s="94">
        <v>0</v>
      </c>
      <c r="I206" s="94">
        <v>0</v>
      </c>
      <c r="J206" s="94">
        <v>433908.25</v>
      </c>
      <c r="K206" s="94">
        <v>403745.23999999993</v>
      </c>
      <c r="L206" s="95">
        <v>0</v>
      </c>
      <c r="M206" s="94">
        <v>-217897.71000000008</v>
      </c>
      <c r="N206" s="94">
        <v>-14444.34</v>
      </c>
      <c r="O206" s="94">
        <v>0</v>
      </c>
      <c r="P206" s="94">
        <v>0</v>
      </c>
      <c r="Q206" s="94">
        <v>0</v>
      </c>
      <c r="R206" s="94">
        <v>0</v>
      </c>
      <c r="S206" s="94">
        <v>-232342.05000000008</v>
      </c>
      <c r="T206" s="94">
        <v>-224957.76769230774</v>
      </c>
      <c r="U206" s="95">
        <v>0</v>
      </c>
      <c r="V206" s="96">
        <v>3.5999999999999997E-2</v>
      </c>
    </row>
    <row r="207" spans="1:22" ht="13" x14ac:dyDescent="0.3">
      <c r="A207" s="20" t="s">
        <v>895</v>
      </c>
      <c r="B207" s="20">
        <v>38400</v>
      </c>
      <c r="C207" s="20" t="s">
        <v>908</v>
      </c>
      <c r="D207" s="77" t="s">
        <v>385</v>
      </c>
      <c r="E207" s="77" t="s">
        <v>154</v>
      </c>
      <c r="F207" s="94">
        <v>233234.43000000002</v>
      </c>
      <c r="G207" s="94">
        <v>11568.91</v>
      </c>
      <c r="H207" s="94">
        <v>-145.36000000000001</v>
      </c>
      <c r="I207" s="94">
        <v>0</v>
      </c>
      <c r="J207" s="94">
        <v>244657.98000000004</v>
      </c>
      <c r="K207" s="94">
        <v>236788.39615384623</v>
      </c>
      <c r="L207" s="95">
        <v>0</v>
      </c>
      <c r="M207" s="94">
        <v>-133856.66999999995</v>
      </c>
      <c r="N207" s="94">
        <v>-10625.970000000001</v>
      </c>
      <c r="O207" s="94">
        <v>145.36000000000001</v>
      </c>
      <c r="P207" s="94">
        <v>107.55000000000001</v>
      </c>
      <c r="Q207" s="94">
        <v>0</v>
      </c>
      <c r="R207" s="94">
        <v>0</v>
      </c>
      <c r="S207" s="94">
        <v>-144229.72999999998</v>
      </c>
      <c r="T207" s="94">
        <v>-138905.06230769231</v>
      </c>
      <c r="U207" s="95">
        <v>0</v>
      </c>
      <c r="V207" s="96">
        <v>4.4999999999999998E-2</v>
      </c>
    </row>
    <row r="208" spans="1:22" ht="13" x14ac:dyDescent="0.3">
      <c r="A208" s="20" t="s">
        <v>895</v>
      </c>
      <c r="B208" s="20">
        <v>38500</v>
      </c>
      <c r="C208" s="20" t="s">
        <v>909</v>
      </c>
      <c r="D208" s="77" t="s">
        <v>386</v>
      </c>
      <c r="E208" s="77" t="s">
        <v>155</v>
      </c>
      <c r="F208" s="94">
        <v>765485.79999999993</v>
      </c>
      <c r="G208" s="94">
        <v>0</v>
      </c>
      <c r="H208" s="94">
        <v>0</v>
      </c>
      <c r="I208" s="94">
        <v>0</v>
      </c>
      <c r="J208" s="94">
        <v>765485.79999999993</v>
      </c>
      <c r="K208" s="94">
        <v>765485.8</v>
      </c>
      <c r="L208" s="95">
        <v>0</v>
      </c>
      <c r="M208" s="94">
        <v>-381772.11000000057</v>
      </c>
      <c r="N208" s="94">
        <v>-23730</v>
      </c>
      <c r="O208" s="94">
        <v>0</v>
      </c>
      <c r="P208" s="94">
        <v>0</v>
      </c>
      <c r="Q208" s="94">
        <v>0</v>
      </c>
      <c r="R208" s="94">
        <v>0</v>
      </c>
      <c r="S208" s="94">
        <v>-405502.11000000057</v>
      </c>
      <c r="T208" s="94">
        <v>-393637.11000000045</v>
      </c>
      <c r="U208" s="95">
        <v>0</v>
      </c>
      <c r="V208" s="96">
        <v>3.1E-2</v>
      </c>
    </row>
    <row r="209" spans="1:22" ht="13" x14ac:dyDescent="0.3">
      <c r="A209" s="20" t="s">
        <v>895</v>
      </c>
      <c r="B209" s="20">
        <v>38700</v>
      </c>
      <c r="C209" s="20" t="s">
        <v>910</v>
      </c>
      <c r="D209" s="77" t="s">
        <v>387</v>
      </c>
      <c r="E209" s="77" t="s">
        <v>156</v>
      </c>
      <c r="F209" s="94">
        <v>136665.94999999998</v>
      </c>
      <c r="G209" s="94">
        <v>46869.45</v>
      </c>
      <c r="H209" s="94">
        <v>0</v>
      </c>
      <c r="I209" s="94">
        <v>0</v>
      </c>
      <c r="J209" s="94">
        <v>183535.39999999997</v>
      </c>
      <c r="K209" s="94">
        <v>163964.43769230766</v>
      </c>
      <c r="L209" s="95">
        <v>0</v>
      </c>
      <c r="M209" s="94">
        <v>-77294.830000000016</v>
      </c>
      <c r="N209" s="94">
        <v>-10227</v>
      </c>
      <c r="O209" s="94">
        <v>0</v>
      </c>
      <c r="P209" s="94">
        <v>0</v>
      </c>
      <c r="Q209" s="94">
        <v>0</v>
      </c>
      <c r="R209" s="94">
        <v>0</v>
      </c>
      <c r="S209" s="94">
        <v>-87521.830000000016</v>
      </c>
      <c r="T209" s="94">
        <v>-82346.137692307733</v>
      </c>
      <c r="U209" s="95">
        <v>0</v>
      </c>
      <c r="V209" s="96">
        <v>6.3E-2</v>
      </c>
    </row>
    <row r="210" spans="1:22" ht="13" x14ac:dyDescent="0.3">
      <c r="A210" s="20" t="s">
        <v>895</v>
      </c>
      <c r="B210" s="20">
        <v>39100</v>
      </c>
      <c r="C210" s="20" t="s">
        <v>911</v>
      </c>
      <c r="D210" s="77" t="s">
        <v>388</v>
      </c>
      <c r="E210" s="77" t="s">
        <v>159</v>
      </c>
      <c r="F210" s="94">
        <v>0</v>
      </c>
      <c r="G210" s="94">
        <v>4004.49</v>
      </c>
      <c r="H210" s="94">
        <v>0</v>
      </c>
      <c r="I210" s="94">
        <v>0</v>
      </c>
      <c r="J210" s="94">
        <v>4004.49</v>
      </c>
      <c r="K210" s="94">
        <v>1232.1507692307691</v>
      </c>
      <c r="L210" s="95">
        <v>0</v>
      </c>
      <c r="M210" s="94">
        <v>-10159.399999999985</v>
      </c>
      <c r="N210" s="94">
        <v>-67.08</v>
      </c>
      <c r="O210" s="94">
        <v>0</v>
      </c>
      <c r="P210" s="94">
        <v>0</v>
      </c>
      <c r="Q210" s="94">
        <v>0</v>
      </c>
      <c r="R210" s="94">
        <v>0</v>
      </c>
      <c r="S210" s="94">
        <v>-10226.479999999985</v>
      </c>
      <c r="T210" s="94">
        <v>-10169.719999999983</v>
      </c>
      <c r="U210" s="95">
        <v>0</v>
      </c>
      <c r="V210" s="96">
        <v>6.7000000000000004E-2</v>
      </c>
    </row>
    <row r="211" spans="1:22" ht="13" x14ac:dyDescent="0.3">
      <c r="A211" s="20" t="s">
        <v>895</v>
      </c>
      <c r="B211" s="20">
        <v>39101</v>
      </c>
      <c r="C211" s="20" t="s">
        <v>912</v>
      </c>
      <c r="D211" s="77" t="s">
        <v>389</v>
      </c>
      <c r="E211" s="77" t="s">
        <v>160</v>
      </c>
      <c r="F211" s="94">
        <v>17164.609999999997</v>
      </c>
      <c r="G211" s="94">
        <v>2160.5300000000002</v>
      </c>
      <c r="H211" s="94">
        <v>-6863.99</v>
      </c>
      <c r="I211" s="94">
        <v>0</v>
      </c>
      <c r="J211" s="94">
        <v>12461.149999999996</v>
      </c>
      <c r="K211" s="94">
        <v>11522.813076923074</v>
      </c>
      <c r="L211" s="95">
        <v>0</v>
      </c>
      <c r="M211" s="94">
        <v>-27872.189999999973</v>
      </c>
      <c r="N211" s="94">
        <v>-1430.5999999999997</v>
      </c>
      <c r="O211" s="94">
        <v>6863.99</v>
      </c>
      <c r="P211" s="94">
        <v>0</v>
      </c>
      <c r="Q211" s="94">
        <v>0</v>
      </c>
      <c r="R211" s="94">
        <v>0</v>
      </c>
      <c r="S211" s="94">
        <v>-22438.799999999974</v>
      </c>
      <c r="T211" s="94">
        <v>-22834.498461538427</v>
      </c>
      <c r="U211" s="95">
        <v>0</v>
      </c>
      <c r="V211" s="96">
        <v>0.125</v>
      </c>
    </row>
    <row r="212" spans="1:22" ht="13" x14ac:dyDescent="0.3">
      <c r="A212" s="20" t="s">
        <v>895</v>
      </c>
      <c r="B212" s="20">
        <v>39102</v>
      </c>
      <c r="C212" s="20" t="s">
        <v>913</v>
      </c>
      <c r="D212" s="77" t="s">
        <v>390</v>
      </c>
      <c r="E212" s="77" t="s">
        <v>161</v>
      </c>
      <c r="F212" s="94">
        <v>6708.9699999999993</v>
      </c>
      <c r="G212" s="94">
        <v>0</v>
      </c>
      <c r="H212" s="94">
        <v>0</v>
      </c>
      <c r="I212" s="94">
        <v>0</v>
      </c>
      <c r="J212" s="94">
        <v>6708.9699999999993</v>
      </c>
      <c r="K212" s="94">
        <v>6708.97</v>
      </c>
      <c r="L212" s="95">
        <v>0</v>
      </c>
      <c r="M212" s="94">
        <v>-6636.8600000000006</v>
      </c>
      <c r="N212" s="94">
        <v>-449.51999999999992</v>
      </c>
      <c r="O212" s="94">
        <v>0</v>
      </c>
      <c r="P212" s="94">
        <v>0</v>
      </c>
      <c r="Q212" s="94">
        <v>0</v>
      </c>
      <c r="R212" s="94">
        <v>0</v>
      </c>
      <c r="S212" s="94">
        <v>-7086.38</v>
      </c>
      <c r="T212" s="94">
        <v>-6861.6200000000017</v>
      </c>
      <c r="U212" s="95">
        <v>0</v>
      </c>
      <c r="V212" s="96">
        <v>6.7000000000000004E-2</v>
      </c>
    </row>
    <row r="213" spans="1:22" ht="13" x14ac:dyDescent="0.3">
      <c r="A213" s="20" t="s">
        <v>895</v>
      </c>
      <c r="B213" s="20">
        <v>39201</v>
      </c>
      <c r="C213" s="20" t="s">
        <v>914</v>
      </c>
      <c r="D213" s="77" t="s">
        <v>391</v>
      </c>
      <c r="E213" s="77" t="s">
        <v>163</v>
      </c>
      <c r="F213" s="94">
        <v>98432.48000000001</v>
      </c>
      <c r="G213" s="94">
        <v>0</v>
      </c>
      <c r="H213" s="94">
        <v>-17992.91</v>
      </c>
      <c r="I213" s="94">
        <v>0</v>
      </c>
      <c r="J213" s="94">
        <v>80439.570000000007</v>
      </c>
      <c r="K213" s="94">
        <v>92896.200000000012</v>
      </c>
      <c r="L213" s="95">
        <v>0</v>
      </c>
      <c r="M213" s="94">
        <v>-78084.309999999736</v>
      </c>
      <c r="N213" s="94">
        <v>-10520.61</v>
      </c>
      <c r="O213" s="94">
        <v>17992.91</v>
      </c>
      <c r="P213" s="94">
        <v>0</v>
      </c>
      <c r="Q213" s="94">
        <v>-700</v>
      </c>
      <c r="R213" s="94">
        <v>0</v>
      </c>
      <c r="S213" s="94">
        <v>-71312.009999999733</v>
      </c>
      <c r="T213" s="94">
        <v>-78209.599999999715</v>
      </c>
      <c r="U213" s="95">
        <v>0</v>
      </c>
      <c r="V213" s="96">
        <v>0.112</v>
      </c>
    </row>
    <row r="214" spans="1:22" ht="13" x14ac:dyDescent="0.3">
      <c r="A214" s="20" t="s">
        <v>895</v>
      </c>
      <c r="B214" s="20">
        <v>39202</v>
      </c>
      <c r="C214" s="20" t="s">
        <v>915</v>
      </c>
      <c r="D214" s="77" t="s">
        <v>392</v>
      </c>
      <c r="E214" s="77" t="s">
        <v>164</v>
      </c>
      <c r="F214" s="94">
        <v>420092.25999999989</v>
      </c>
      <c r="G214" s="94">
        <v>-734.62</v>
      </c>
      <c r="H214" s="94">
        <v>-57308.4</v>
      </c>
      <c r="I214" s="94">
        <v>0</v>
      </c>
      <c r="J214" s="94">
        <v>362049.23999999987</v>
      </c>
      <c r="K214" s="94">
        <v>375895.85692307685</v>
      </c>
      <c r="L214" s="95">
        <v>0</v>
      </c>
      <c r="M214" s="94">
        <v>-233446.74000000002</v>
      </c>
      <c r="N214" s="94">
        <v>-47885.31</v>
      </c>
      <c r="O214" s="94">
        <v>57308.4</v>
      </c>
      <c r="P214" s="94">
        <v>0</v>
      </c>
      <c r="Q214" s="94">
        <v>-9100</v>
      </c>
      <c r="R214" s="94">
        <v>0</v>
      </c>
      <c r="S214" s="94">
        <v>-233123.65000000005</v>
      </c>
      <c r="T214" s="94">
        <v>-220981.5</v>
      </c>
      <c r="U214" s="95">
        <v>0</v>
      </c>
      <c r="V214" s="96">
        <v>0.127</v>
      </c>
    </row>
    <row r="215" spans="1:22" ht="13" x14ac:dyDescent="0.3">
      <c r="A215" s="20" t="s">
        <v>895</v>
      </c>
      <c r="B215" s="20">
        <v>39204</v>
      </c>
      <c r="C215" s="20" t="s">
        <v>916</v>
      </c>
      <c r="D215" s="77" t="s">
        <v>393</v>
      </c>
      <c r="E215" s="77" t="s">
        <v>166</v>
      </c>
      <c r="F215" s="94">
        <v>12948.28</v>
      </c>
      <c r="G215" s="94">
        <v>0</v>
      </c>
      <c r="H215" s="94">
        <v>0</v>
      </c>
      <c r="I215" s="94">
        <v>0</v>
      </c>
      <c r="J215" s="94">
        <v>12948.28</v>
      </c>
      <c r="K215" s="94">
        <v>12948.28</v>
      </c>
      <c r="L215" s="95">
        <v>0</v>
      </c>
      <c r="M215" s="94">
        <v>-7066.7199999999893</v>
      </c>
      <c r="N215" s="94">
        <v>-517.91999999999985</v>
      </c>
      <c r="O215" s="94">
        <v>0</v>
      </c>
      <c r="P215" s="94">
        <v>0</v>
      </c>
      <c r="Q215" s="94">
        <v>0</v>
      </c>
      <c r="R215" s="94">
        <v>0</v>
      </c>
      <c r="S215" s="94">
        <v>-7584.6399999999894</v>
      </c>
      <c r="T215" s="94">
        <v>-7325.6799999999876</v>
      </c>
      <c r="U215" s="95">
        <v>0</v>
      </c>
      <c r="V215" s="96">
        <v>0.04</v>
      </c>
    </row>
    <row r="216" spans="1:22" ht="13" x14ac:dyDescent="0.3">
      <c r="A216" s="20" t="s">
        <v>895</v>
      </c>
      <c r="B216" s="20">
        <v>39205</v>
      </c>
      <c r="C216" s="20" t="s">
        <v>917</v>
      </c>
      <c r="D216" s="77" t="s">
        <v>394</v>
      </c>
      <c r="E216" s="77" t="s">
        <v>167</v>
      </c>
      <c r="F216" s="94">
        <v>69236.51999999999</v>
      </c>
      <c r="G216" s="94">
        <v>0</v>
      </c>
      <c r="H216" s="94">
        <v>0</v>
      </c>
      <c r="I216" s="94">
        <v>0</v>
      </c>
      <c r="J216" s="94">
        <v>69236.51999999999</v>
      </c>
      <c r="K216" s="94">
        <v>69236.52</v>
      </c>
      <c r="L216" s="95">
        <v>0</v>
      </c>
      <c r="M216" s="94">
        <v>-69748.270000000237</v>
      </c>
      <c r="N216" s="94">
        <v>-5123.5199999999995</v>
      </c>
      <c r="O216" s="94">
        <v>0</v>
      </c>
      <c r="P216" s="94">
        <v>0</v>
      </c>
      <c r="Q216" s="94">
        <v>0</v>
      </c>
      <c r="R216" s="94">
        <v>0</v>
      </c>
      <c r="S216" s="94">
        <v>-74871.790000000241</v>
      </c>
      <c r="T216" s="94">
        <v>-72310.030000000275</v>
      </c>
      <c r="U216" s="95">
        <v>0</v>
      </c>
      <c r="V216" s="96">
        <v>7.3999999999999996E-2</v>
      </c>
    </row>
    <row r="217" spans="1:22" ht="13" x14ac:dyDescent="0.3">
      <c r="A217" s="20" t="s">
        <v>895</v>
      </c>
      <c r="B217" s="20">
        <v>39300</v>
      </c>
      <c r="C217" s="20" t="s">
        <v>918</v>
      </c>
      <c r="D217" s="77" t="s">
        <v>395</v>
      </c>
      <c r="E217" s="77" t="s">
        <v>168</v>
      </c>
      <c r="F217" s="94">
        <v>0</v>
      </c>
      <c r="G217" s="94">
        <v>0</v>
      </c>
      <c r="H217" s="94">
        <v>0</v>
      </c>
      <c r="I217" s="94">
        <v>0</v>
      </c>
      <c r="J217" s="94">
        <v>0</v>
      </c>
      <c r="K217" s="94">
        <v>0</v>
      </c>
      <c r="L217" s="95">
        <v>0</v>
      </c>
      <c r="M217" s="94">
        <v>1099.539999999997</v>
      </c>
      <c r="N217" s="94">
        <v>0</v>
      </c>
      <c r="O217" s="94">
        <v>0</v>
      </c>
      <c r="P217" s="94">
        <v>0</v>
      </c>
      <c r="Q217" s="94">
        <v>0</v>
      </c>
      <c r="R217" s="94">
        <v>0</v>
      </c>
      <c r="S217" s="94">
        <v>1099.539999999997</v>
      </c>
      <c r="T217" s="94">
        <v>1099.539999999997</v>
      </c>
      <c r="U217" s="95">
        <v>0</v>
      </c>
      <c r="V217" s="96">
        <v>0.04</v>
      </c>
    </row>
    <row r="218" spans="1:22" ht="13" x14ac:dyDescent="0.3">
      <c r="A218" s="20" t="s">
        <v>895</v>
      </c>
      <c r="B218" s="20">
        <v>39400</v>
      </c>
      <c r="C218" s="20" t="s">
        <v>919</v>
      </c>
      <c r="D218" s="77" t="s">
        <v>396</v>
      </c>
      <c r="E218" s="77" t="s">
        <v>169</v>
      </c>
      <c r="F218" s="94">
        <v>24302.439999999988</v>
      </c>
      <c r="G218" s="94">
        <v>38266.239999999998</v>
      </c>
      <c r="H218" s="94">
        <v>0</v>
      </c>
      <c r="I218" s="94">
        <v>0</v>
      </c>
      <c r="J218" s="94">
        <v>62568.679999999986</v>
      </c>
      <c r="K218" s="94">
        <v>36687.481538461529</v>
      </c>
      <c r="L218" s="95">
        <v>0</v>
      </c>
      <c r="M218" s="94">
        <v>-39995.619999999915</v>
      </c>
      <c r="N218" s="94">
        <v>-2279.0099999999998</v>
      </c>
      <c r="O218" s="94">
        <v>0</v>
      </c>
      <c r="P218" s="94">
        <v>0</v>
      </c>
      <c r="Q218" s="94">
        <v>0</v>
      </c>
      <c r="R218" s="94">
        <v>0</v>
      </c>
      <c r="S218" s="94">
        <v>-42274.629999999917</v>
      </c>
      <c r="T218" s="94">
        <v>-40974.750769230683</v>
      </c>
      <c r="U218" s="95">
        <v>0</v>
      </c>
      <c r="V218" s="96">
        <v>6.6000000000000003E-2</v>
      </c>
    </row>
    <row r="219" spans="1:22" ht="13" x14ac:dyDescent="0.3">
      <c r="A219" s="20" t="s">
        <v>895</v>
      </c>
      <c r="B219" s="20">
        <v>39600</v>
      </c>
      <c r="C219" s="20" t="s">
        <v>920</v>
      </c>
      <c r="D219" s="77" t="s">
        <v>397</v>
      </c>
      <c r="E219" s="77" t="s">
        <v>171</v>
      </c>
      <c r="F219" s="94">
        <v>25918.77</v>
      </c>
      <c r="G219" s="94">
        <v>0</v>
      </c>
      <c r="H219" s="94">
        <v>0</v>
      </c>
      <c r="I219" s="94">
        <v>0</v>
      </c>
      <c r="J219" s="94">
        <v>25918.77</v>
      </c>
      <c r="K219" s="94">
        <v>25918.77</v>
      </c>
      <c r="L219" s="95">
        <v>0</v>
      </c>
      <c r="M219" s="94">
        <v>-19742.929999999978</v>
      </c>
      <c r="N219" s="94">
        <v>-1658.76</v>
      </c>
      <c r="O219" s="94">
        <v>0</v>
      </c>
      <c r="P219" s="94">
        <v>0</v>
      </c>
      <c r="Q219" s="94">
        <v>0</v>
      </c>
      <c r="R219" s="94">
        <v>0</v>
      </c>
      <c r="S219" s="94">
        <v>-21401.689999999977</v>
      </c>
      <c r="T219" s="94">
        <v>-20572.309999999976</v>
      </c>
      <c r="U219" s="95">
        <v>0</v>
      </c>
      <c r="V219" s="96">
        <v>6.4000000000000001E-2</v>
      </c>
    </row>
    <row r="220" spans="1:22" ht="13" x14ac:dyDescent="0.3">
      <c r="A220" s="20" t="s">
        <v>895</v>
      </c>
      <c r="B220" s="20">
        <v>39700</v>
      </c>
      <c r="C220" s="20" t="s">
        <v>921</v>
      </c>
      <c r="D220" s="77" t="s">
        <v>398</v>
      </c>
      <c r="E220" s="77" t="s">
        <v>172</v>
      </c>
      <c r="F220" s="94">
        <v>17161.330000000016</v>
      </c>
      <c r="G220" s="94">
        <v>0</v>
      </c>
      <c r="H220" s="94">
        <v>0</v>
      </c>
      <c r="I220" s="94">
        <v>0</v>
      </c>
      <c r="J220" s="94">
        <v>17161.330000000016</v>
      </c>
      <c r="K220" s="94">
        <v>17161.330000000016</v>
      </c>
      <c r="L220" s="95">
        <v>0</v>
      </c>
      <c r="M220" s="94">
        <v>-18734.989999999998</v>
      </c>
      <c r="N220" s="94">
        <v>-1441.5600000000004</v>
      </c>
      <c r="O220" s="94">
        <v>0</v>
      </c>
      <c r="P220" s="94">
        <v>0</v>
      </c>
      <c r="Q220" s="94">
        <v>0</v>
      </c>
      <c r="R220" s="94">
        <v>0</v>
      </c>
      <c r="S220" s="94">
        <v>-20176.55</v>
      </c>
      <c r="T220" s="94">
        <v>-19455.770000000004</v>
      </c>
      <c r="U220" s="95">
        <v>0</v>
      </c>
      <c r="V220" s="96">
        <v>8.4000000000000005E-2</v>
      </c>
    </row>
    <row r="221" spans="1:22" ht="13" x14ac:dyDescent="0.3">
      <c r="A221" s="20" t="s">
        <v>895</v>
      </c>
      <c r="B221" s="20">
        <v>39800</v>
      </c>
      <c r="C221" s="20" t="s">
        <v>922</v>
      </c>
      <c r="D221" s="77" t="s">
        <v>399</v>
      </c>
      <c r="E221" s="77" t="s">
        <v>173</v>
      </c>
      <c r="F221" s="94">
        <v>2931.76</v>
      </c>
      <c r="G221" s="94">
        <v>8182.03</v>
      </c>
      <c r="H221" s="94">
        <v>0</v>
      </c>
      <c r="I221" s="94">
        <v>0</v>
      </c>
      <c r="J221" s="94">
        <v>11113.79</v>
      </c>
      <c r="K221" s="94">
        <v>5449.3076923076924</v>
      </c>
      <c r="L221" s="95">
        <v>0</v>
      </c>
      <c r="M221" s="94">
        <v>1895.9199999999994</v>
      </c>
      <c r="N221" s="94">
        <v>-293.60999999999996</v>
      </c>
      <c r="O221" s="94">
        <v>0</v>
      </c>
      <c r="P221" s="94">
        <v>0</v>
      </c>
      <c r="Q221" s="94">
        <v>0</v>
      </c>
      <c r="R221" s="94">
        <v>0</v>
      </c>
      <c r="S221" s="94">
        <v>1602.3099999999995</v>
      </c>
      <c r="T221" s="94">
        <v>1790.8923076923068</v>
      </c>
      <c r="U221" s="95">
        <v>0</v>
      </c>
      <c r="V221" s="96">
        <v>5.8999999999999997E-2</v>
      </c>
    </row>
    <row r="222" spans="1:22" ht="13" x14ac:dyDescent="0.3">
      <c r="A222" s="20" t="s">
        <v>923</v>
      </c>
      <c r="B222" s="20">
        <v>30200</v>
      </c>
      <c r="C222" s="20" t="s">
        <v>924</v>
      </c>
      <c r="D222" s="77" t="s">
        <v>400</v>
      </c>
      <c r="E222" s="77" t="s">
        <v>139</v>
      </c>
      <c r="F222" s="94">
        <v>0</v>
      </c>
      <c r="G222" s="94">
        <v>0</v>
      </c>
      <c r="H222" s="94">
        <v>0</v>
      </c>
      <c r="I222" s="94">
        <v>0</v>
      </c>
      <c r="J222" s="94">
        <v>0</v>
      </c>
      <c r="K222" s="94">
        <v>0</v>
      </c>
      <c r="L222" s="95">
        <v>0</v>
      </c>
      <c r="M222" s="94">
        <v>-1.1823431123048067E-11</v>
      </c>
      <c r="N222" s="94">
        <v>0</v>
      </c>
      <c r="O222" s="94">
        <v>0</v>
      </c>
      <c r="P222" s="94">
        <v>0</v>
      </c>
      <c r="Q222" s="94">
        <v>0</v>
      </c>
      <c r="R222" s="94">
        <v>0</v>
      </c>
      <c r="S222" s="94">
        <v>-1.1823431123048067E-11</v>
      </c>
      <c r="T222" s="94">
        <v>-1.1823431123048067E-11</v>
      </c>
      <c r="U222" s="95">
        <v>0</v>
      </c>
      <c r="V222" s="96">
        <v>0.04</v>
      </c>
    </row>
    <row r="223" spans="1:22" ht="13" x14ac:dyDescent="0.3">
      <c r="A223" s="20" t="s">
        <v>923</v>
      </c>
      <c r="B223" s="20">
        <v>37400</v>
      </c>
      <c r="C223" s="20" t="s">
        <v>925</v>
      </c>
      <c r="D223" s="77" t="s">
        <v>401</v>
      </c>
      <c r="E223" s="77" t="s">
        <v>142</v>
      </c>
      <c r="F223" s="94">
        <v>160616.45000000001</v>
      </c>
      <c r="G223" s="94">
        <v>0</v>
      </c>
      <c r="H223" s="94">
        <v>0</v>
      </c>
      <c r="I223" s="94">
        <v>0</v>
      </c>
      <c r="J223" s="94">
        <v>160616.45000000001</v>
      </c>
      <c r="K223" s="94">
        <v>160616.44999999998</v>
      </c>
      <c r="L223" s="95">
        <v>0</v>
      </c>
      <c r="M223" s="94">
        <v>0</v>
      </c>
      <c r="N223" s="94">
        <v>0</v>
      </c>
      <c r="O223" s="94">
        <v>0</v>
      </c>
      <c r="P223" s="94">
        <v>0</v>
      </c>
      <c r="Q223" s="94">
        <v>0</v>
      </c>
      <c r="R223" s="94">
        <v>0</v>
      </c>
      <c r="S223" s="94">
        <v>0</v>
      </c>
      <c r="T223" s="94">
        <v>0</v>
      </c>
      <c r="U223" s="95">
        <v>0</v>
      </c>
      <c r="V223" s="96">
        <v>0</v>
      </c>
    </row>
    <row r="224" spans="1:22" ht="13" x14ac:dyDescent="0.3">
      <c r="A224" s="20" t="s">
        <v>923</v>
      </c>
      <c r="B224" s="20">
        <v>37402</v>
      </c>
      <c r="C224" s="20" t="s">
        <v>926</v>
      </c>
      <c r="D224" s="77" t="s">
        <v>402</v>
      </c>
      <c r="E224" s="77" t="s">
        <v>143</v>
      </c>
      <c r="F224" s="94">
        <v>33302.080000000002</v>
      </c>
      <c r="G224" s="94">
        <v>0</v>
      </c>
      <c r="H224" s="94">
        <v>0</v>
      </c>
      <c r="I224" s="94">
        <v>0</v>
      </c>
      <c r="J224" s="94">
        <v>33302.080000000002</v>
      </c>
      <c r="K224" s="94">
        <v>33302.080000000009</v>
      </c>
      <c r="L224" s="95">
        <v>0</v>
      </c>
      <c r="M224" s="94">
        <v>-26295.460000000057</v>
      </c>
      <c r="N224" s="94">
        <v>-432.95999999999987</v>
      </c>
      <c r="O224" s="94">
        <v>0</v>
      </c>
      <c r="P224" s="94">
        <v>0</v>
      </c>
      <c r="Q224" s="94">
        <v>0</v>
      </c>
      <c r="R224" s="94">
        <v>0</v>
      </c>
      <c r="S224" s="94">
        <v>-26728.420000000056</v>
      </c>
      <c r="T224" s="94">
        <v>-26511.940000000068</v>
      </c>
      <c r="U224" s="95">
        <v>0</v>
      </c>
      <c r="V224" s="96">
        <v>1.2999999999999999E-2</v>
      </c>
    </row>
    <row r="225" spans="1:22" ht="13" x14ac:dyDescent="0.3">
      <c r="A225" s="20" t="s">
        <v>923</v>
      </c>
      <c r="B225" s="20">
        <v>37500</v>
      </c>
      <c r="C225" s="20" t="s">
        <v>927</v>
      </c>
      <c r="D225" s="77" t="s">
        <v>403</v>
      </c>
      <c r="E225" s="77" t="s">
        <v>144</v>
      </c>
      <c r="F225" s="94">
        <v>507399.29</v>
      </c>
      <c r="G225" s="94">
        <v>19058.02</v>
      </c>
      <c r="H225" s="94">
        <v>0</v>
      </c>
      <c r="I225" s="94">
        <v>0</v>
      </c>
      <c r="J225" s="94">
        <v>526457.30999999994</v>
      </c>
      <c r="K225" s="94">
        <v>514742.89153846138</v>
      </c>
      <c r="L225" s="95">
        <v>0</v>
      </c>
      <c r="M225" s="94">
        <v>-170626.90999999942</v>
      </c>
      <c r="N225" s="94">
        <v>-12844.170000000002</v>
      </c>
      <c r="O225" s="94">
        <v>0</v>
      </c>
      <c r="P225" s="94">
        <v>0</v>
      </c>
      <c r="Q225" s="94">
        <v>0</v>
      </c>
      <c r="R225" s="94">
        <v>0</v>
      </c>
      <c r="S225" s="94">
        <v>-183471.07999999943</v>
      </c>
      <c r="T225" s="94">
        <v>-177003.13307692247</v>
      </c>
      <c r="U225" s="95">
        <v>0</v>
      </c>
      <c r="V225" s="96">
        <v>2.5000000000000001E-2</v>
      </c>
    </row>
    <row r="226" spans="1:22" ht="13" x14ac:dyDescent="0.3">
      <c r="A226" s="20" t="s">
        <v>923</v>
      </c>
      <c r="B226" s="20">
        <v>37600</v>
      </c>
      <c r="C226" s="20" t="s">
        <v>928</v>
      </c>
      <c r="D226" s="77" t="s">
        <v>404</v>
      </c>
      <c r="E226" s="77" t="s">
        <v>145</v>
      </c>
      <c r="F226" s="94">
        <v>16052247.139999999</v>
      </c>
      <c r="G226" s="94">
        <v>183931.12000000002</v>
      </c>
      <c r="H226" s="94">
        <v>-24995.29</v>
      </c>
      <c r="I226" s="94">
        <v>0</v>
      </c>
      <c r="J226" s="94">
        <v>16211182.969999999</v>
      </c>
      <c r="K226" s="94">
        <v>16091158.679230768</v>
      </c>
      <c r="L226" s="95">
        <v>0</v>
      </c>
      <c r="M226" s="94">
        <v>-8449516.2399999984</v>
      </c>
      <c r="N226" s="94">
        <v>-675408.60000000009</v>
      </c>
      <c r="O226" s="94">
        <v>24995.29</v>
      </c>
      <c r="P226" s="94">
        <v>207535.61</v>
      </c>
      <c r="Q226" s="94">
        <v>-301.33</v>
      </c>
      <c r="R226" s="94">
        <v>0</v>
      </c>
      <c r="S226" s="94">
        <v>-8892695.2699999996</v>
      </c>
      <c r="T226" s="94">
        <v>-8719752.8769230731</v>
      </c>
      <c r="U226" s="95">
        <v>0</v>
      </c>
      <c r="V226" s="96">
        <v>4.2000000000000003E-2</v>
      </c>
    </row>
    <row r="227" spans="1:22" ht="13" x14ac:dyDescent="0.3">
      <c r="A227" s="20" t="s">
        <v>923</v>
      </c>
      <c r="B227" s="20">
        <v>37602</v>
      </c>
      <c r="C227" s="20" t="s">
        <v>929</v>
      </c>
      <c r="D227" s="77" t="s">
        <v>405</v>
      </c>
      <c r="E227" s="77" t="s">
        <v>146</v>
      </c>
      <c r="F227" s="94">
        <v>8769554.2199999988</v>
      </c>
      <c r="G227" s="94">
        <v>1054105.8800000001</v>
      </c>
      <c r="H227" s="94">
        <v>0</v>
      </c>
      <c r="I227" s="94">
        <v>0</v>
      </c>
      <c r="J227" s="94">
        <v>9823660.0999999996</v>
      </c>
      <c r="K227" s="94">
        <v>9098193.4253846109</v>
      </c>
      <c r="L227" s="95">
        <v>0</v>
      </c>
      <c r="M227" s="94">
        <v>-3616773.9999999967</v>
      </c>
      <c r="N227" s="94">
        <v>-280169.88</v>
      </c>
      <c r="O227" s="94">
        <v>0</v>
      </c>
      <c r="P227" s="94">
        <v>113062.04</v>
      </c>
      <c r="Q227" s="94">
        <v>-182.6</v>
      </c>
      <c r="R227" s="94">
        <v>0</v>
      </c>
      <c r="S227" s="94">
        <v>-3784064.4399999967</v>
      </c>
      <c r="T227" s="94">
        <v>-3718889.8953846125</v>
      </c>
      <c r="U227" s="95">
        <v>0</v>
      </c>
      <c r="V227" s="96">
        <v>3.1E-2</v>
      </c>
    </row>
    <row r="228" spans="1:22" ht="13" x14ac:dyDescent="0.3">
      <c r="A228" s="20" t="s">
        <v>923</v>
      </c>
      <c r="B228" s="20">
        <v>37800</v>
      </c>
      <c r="C228" s="20" t="s">
        <v>930</v>
      </c>
      <c r="D228" s="77" t="s">
        <v>406</v>
      </c>
      <c r="E228" s="77" t="s">
        <v>147</v>
      </c>
      <c r="F228" s="94">
        <v>234300.96</v>
      </c>
      <c r="G228" s="94">
        <v>126009.51999999999</v>
      </c>
      <c r="H228" s="94">
        <v>0</v>
      </c>
      <c r="I228" s="94">
        <v>0</v>
      </c>
      <c r="J228" s="94">
        <v>360310.48</v>
      </c>
      <c r="K228" s="94">
        <v>251167.31076923077</v>
      </c>
      <c r="L228" s="95">
        <v>0</v>
      </c>
      <c r="M228" s="94">
        <v>-60311.059999999889</v>
      </c>
      <c r="N228" s="94">
        <v>-8230.42</v>
      </c>
      <c r="O228" s="94">
        <v>0</v>
      </c>
      <c r="P228" s="94">
        <v>0</v>
      </c>
      <c r="Q228" s="94">
        <v>0</v>
      </c>
      <c r="R228" s="94">
        <v>0</v>
      </c>
      <c r="S228" s="94">
        <v>-68541.479999999894</v>
      </c>
      <c r="T228" s="94">
        <v>-64344.945384615268</v>
      </c>
      <c r="U228" s="95">
        <v>0</v>
      </c>
      <c r="V228" s="96">
        <v>3.4000000000000002E-2</v>
      </c>
    </row>
    <row r="229" spans="1:22" ht="13" x14ac:dyDescent="0.3">
      <c r="A229" s="20" t="s">
        <v>923</v>
      </c>
      <c r="B229" s="20">
        <v>37900</v>
      </c>
      <c r="C229" s="20" t="s">
        <v>931</v>
      </c>
      <c r="D229" s="77" t="s">
        <v>407</v>
      </c>
      <c r="E229" s="77" t="s">
        <v>148</v>
      </c>
      <c r="F229" s="94">
        <v>48394.5</v>
      </c>
      <c r="G229" s="94">
        <v>209726.96</v>
      </c>
      <c r="H229" s="94">
        <v>0</v>
      </c>
      <c r="I229" s="94">
        <v>0</v>
      </c>
      <c r="J229" s="94">
        <v>258121.46</v>
      </c>
      <c r="K229" s="94">
        <v>88334.789999999979</v>
      </c>
      <c r="L229" s="95">
        <v>0</v>
      </c>
      <c r="M229" s="94">
        <v>-23926.499999999938</v>
      </c>
      <c r="N229" s="94">
        <v>-2522.3399999999997</v>
      </c>
      <c r="O229" s="94">
        <v>0</v>
      </c>
      <c r="P229" s="94">
        <v>0</v>
      </c>
      <c r="Q229" s="94">
        <v>0</v>
      </c>
      <c r="R229" s="94">
        <v>0</v>
      </c>
      <c r="S229" s="94">
        <v>-26448.839999999938</v>
      </c>
      <c r="T229" s="94">
        <v>-24868.232307692237</v>
      </c>
      <c r="U229" s="95">
        <v>0</v>
      </c>
      <c r="V229" s="96">
        <v>3.4000000000000002E-2</v>
      </c>
    </row>
    <row r="230" spans="1:22" ht="13" x14ac:dyDescent="0.3">
      <c r="A230" s="20" t="s">
        <v>923</v>
      </c>
      <c r="B230" s="20">
        <v>38000</v>
      </c>
      <c r="C230" s="20" t="s">
        <v>932</v>
      </c>
      <c r="D230" s="77" t="s">
        <v>408</v>
      </c>
      <c r="E230" s="77" t="s">
        <v>149</v>
      </c>
      <c r="F230" s="94">
        <v>1788033.8600000003</v>
      </c>
      <c r="G230" s="94">
        <v>143602.77000000002</v>
      </c>
      <c r="H230" s="94">
        <v>-3007.19</v>
      </c>
      <c r="I230" s="94">
        <v>0</v>
      </c>
      <c r="J230" s="94">
        <v>1928629.4400000004</v>
      </c>
      <c r="K230" s="94">
        <v>1865827.5269230769</v>
      </c>
      <c r="L230" s="95">
        <v>0</v>
      </c>
      <c r="M230" s="94">
        <v>-2072166.8699999994</v>
      </c>
      <c r="N230" s="94">
        <v>-122799.19</v>
      </c>
      <c r="O230" s="94">
        <v>3007.19</v>
      </c>
      <c r="P230" s="94">
        <v>23551.99</v>
      </c>
      <c r="Q230" s="94">
        <v>-35.85</v>
      </c>
      <c r="R230" s="94">
        <v>0</v>
      </c>
      <c r="S230" s="94">
        <v>-2168442.7299999995</v>
      </c>
      <c r="T230" s="94">
        <v>-2121449.3369230768</v>
      </c>
      <c r="U230" s="95">
        <v>0</v>
      </c>
      <c r="V230" s="96">
        <v>6.5999999999999989E-2</v>
      </c>
    </row>
    <row r="231" spans="1:22" ht="13" x14ac:dyDescent="0.3">
      <c r="A231" s="20" t="s">
        <v>923</v>
      </c>
      <c r="B231" s="20">
        <v>38002</v>
      </c>
      <c r="C231" s="20" t="s">
        <v>933</v>
      </c>
      <c r="D231" s="77" t="s">
        <v>409</v>
      </c>
      <c r="E231" s="77" t="s">
        <v>150</v>
      </c>
      <c r="F231" s="94">
        <v>6035793.4799999995</v>
      </c>
      <c r="G231" s="94">
        <v>172051.26999999996</v>
      </c>
      <c r="H231" s="94">
        <v>-8847.26</v>
      </c>
      <c r="I231" s="94">
        <v>0</v>
      </c>
      <c r="J231" s="94">
        <v>6198997.4899999993</v>
      </c>
      <c r="K231" s="94">
        <v>6132947.8146153828</v>
      </c>
      <c r="L231" s="95">
        <v>0</v>
      </c>
      <c r="M231" s="94">
        <v>-3220923.9000000032</v>
      </c>
      <c r="N231" s="94">
        <v>-306372.18</v>
      </c>
      <c r="O231" s="94">
        <v>8847.26</v>
      </c>
      <c r="P231" s="94">
        <v>102659.97999999998</v>
      </c>
      <c r="Q231" s="94">
        <v>-115.22</v>
      </c>
      <c r="R231" s="94">
        <v>0</v>
      </c>
      <c r="S231" s="94">
        <v>-3415904.0600000038</v>
      </c>
      <c r="T231" s="94">
        <v>-3312647.3184615416</v>
      </c>
      <c r="U231" s="95">
        <v>0</v>
      </c>
      <c r="V231" s="96">
        <v>0.05</v>
      </c>
    </row>
    <row r="232" spans="1:22" ht="13" x14ac:dyDescent="0.3">
      <c r="A232" s="20" t="s">
        <v>923</v>
      </c>
      <c r="B232" s="20">
        <v>38200</v>
      </c>
      <c r="C232" s="20" t="s">
        <v>934</v>
      </c>
      <c r="D232" s="77" t="s">
        <v>410</v>
      </c>
      <c r="E232" s="77" t="s">
        <v>152</v>
      </c>
      <c r="F232" s="94">
        <v>891947.75000000035</v>
      </c>
      <c r="G232" s="94">
        <v>28521.63</v>
      </c>
      <c r="H232" s="94">
        <v>-253.24</v>
      </c>
      <c r="I232" s="94">
        <v>0</v>
      </c>
      <c r="J232" s="94">
        <v>920216.14000000036</v>
      </c>
      <c r="K232" s="94">
        <v>911975.81000000041</v>
      </c>
      <c r="L232" s="95">
        <v>0</v>
      </c>
      <c r="M232" s="94">
        <v>-341485.29999999993</v>
      </c>
      <c r="N232" s="94">
        <v>-41008.01</v>
      </c>
      <c r="O232" s="94">
        <v>253.24</v>
      </c>
      <c r="P232" s="94">
        <v>425.91</v>
      </c>
      <c r="Q232" s="94">
        <v>0</v>
      </c>
      <c r="R232" s="94">
        <v>0</v>
      </c>
      <c r="S232" s="94">
        <v>-381814.16</v>
      </c>
      <c r="T232" s="94">
        <v>-361275.78846153838</v>
      </c>
      <c r="U232" s="95">
        <v>0</v>
      </c>
      <c r="V232" s="96">
        <v>4.4999999999999998E-2</v>
      </c>
    </row>
    <row r="233" spans="1:22" ht="13" x14ac:dyDescent="0.3">
      <c r="A233" s="20" t="s">
        <v>923</v>
      </c>
      <c r="B233" s="20">
        <v>38300</v>
      </c>
      <c r="C233" s="20" t="s">
        <v>935</v>
      </c>
      <c r="D233" s="77" t="s">
        <v>411</v>
      </c>
      <c r="E233" s="77" t="s">
        <v>153</v>
      </c>
      <c r="F233" s="94">
        <v>341820.12999999989</v>
      </c>
      <c r="G233" s="94">
        <v>26663.64</v>
      </c>
      <c r="H233" s="94">
        <v>0</v>
      </c>
      <c r="I233" s="94">
        <v>0</v>
      </c>
      <c r="J233" s="94">
        <v>368483.7699999999</v>
      </c>
      <c r="K233" s="94">
        <v>355090.7623076922</v>
      </c>
      <c r="L233" s="95">
        <v>0</v>
      </c>
      <c r="M233" s="94">
        <v>27626.510000000013</v>
      </c>
      <c r="N233" s="94">
        <v>-12743.11</v>
      </c>
      <c r="O233" s="94">
        <v>0</v>
      </c>
      <c r="P233" s="94">
        <v>0</v>
      </c>
      <c r="Q233" s="94">
        <v>0</v>
      </c>
      <c r="R233" s="94">
        <v>0</v>
      </c>
      <c r="S233" s="94">
        <v>14883.400000000012</v>
      </c>
      <c r="T233" s="94">
        <v>21315.633846153862</v>
      </c>
      <c r="U233" s="95">
        <v>0</v>
      </c>
      <c r="V233" s="96">
        <v>3.5999999999999997E-2</v>
      </c>
    </row>
    <row r="234" spans="1:22" ht="13" x14ac:dyDescent="0.3">
      <c r="A234" s="20" t="s">
        <v>923</v>
      </c>
      <c r="B234" s="20">
        <v>38400</v>
      </c>
      <c r="C234" s="20" t="s">
        <v>936</v>
      </c>
      <c r="D234" s="77" t="s">
        <v>412</v>
      </c>
      <c r="E234" s="77" t="s">
        <v>154</v>
      </c>
      <c r="F234" s="94">
        <v>348564.1100000001</v>
      </c>
      <c r="G234" s="94">
        <v>12501.06</v>
      </c>
      <c r="H234" s="94">
        <v>-1513.75</v>
      </c>
      <c r="I234" s="94">
        <v>0</v>
      </c>
      <c r="J234" s="94">
        <v>359551.4200000001</v>
      </c>
      <c r="K234" s="94">
        <v>354817.33923076931</v>
      </c>
      <c r="L234" s="95">
        <v>0</v>
      </c>
      <c r="M234" s="94">
        <v>-168921.65999999989</v>
      </c>
      <c r="N234" s="94">
        <v>-15949.030000000002</v>
      </c>
      <c r="O234" s="94">
        <v>1513.75</v>
      </c>
      <c r="P234" s="94">
        <v>425.93</v>
      </c>
      <c r="Q234" s="94">
        <v>0</v>
      </c>
      <c r="R234" s="94">
        <v>0</v>
      </c>
      <c r="S234" s="94">
        <v>-182931.00999999989</v>
      </c>
      <c r="T234" s="94">
        <v>-175070.29384615371</v>
      </c>
      <c r="U234" s="95">
        <v>0</v>
      </c>
      <c r="V234" s="96">
        <v>4.4999999999999998E-2</v>
      </c>
    </row>
    <row r="235" spans="1:22" ht="13" x14ac:dyDescent="0.3">
      <c r="A235" s="20" t="s">
        <v>923</v>
      </c>
      <c r="B235" s="20">
        <v>38500</v>
      </c>
      <c r="C235" s="20" t="s">
        <v>937</v>
      </c>
      <c r="D235" s="77" t="s">
        <v>413</v>
      </c>
      <c r="E235" s="77" t="s">
        <v>155</v>
      </c>
      <c r="F235" s="94">
        <v>89112.959999999992</v>
      </c>
      <c r="G235" s="94">
        <v>0</v>
      </c>
      <c r="H235" s="94">
        <v>-744.02</v>
      </c>
      <c r="I235" s="94">
        <v>0</v>
      </c>
      <c r="J235" s="94">
        <v>88368.939999999988</v>
      </c>
      <c r="K235" s="94">
        <v>88426.172307692264</v>
      </c>
      <c r="L235" s="95">
        <v>0</v>
      </c>
      <c r="M235" s="94">
        <v>-42570.529999999984</v>
      </c>
      <c r="N235" s="94">
        <v>-2741.3999999999996</v>
      </c>
      <c r="O235" s="94">
        <v>744.02</v>
      </c>
      <c r="P235" s="94">
        <v>51.36</v>
      </c>
      <c r="Q235" s="94">
        <v>0</v>
      </c>
      <c r="R235" s="94">
        <v>0</v>
      </c>
      <c r="S235" s="94">
        <v>-44516.549999999988</v>
      </c>
      <c r="T235" s="94">
        <v>-43207.845384615372</v>
      </c>
      <c r="U235" s="95">
        <v>0</v>
      </c>
      <c r="V235" s="96">
        <v>3.1E-2</v>
      </c>
    </row>
    <row r="236" spans="1:22" ht="13" x14ac:dyDescent="0.3">
      <c r="A236" s="20" t="s">
        <v>923</v>
      </c>
      <c r="B236" s="20">
        <v>38700</v>
      </c>
      <c r="C236" s="20" t="s">
        <v>938</v>
      </c>
      <c r="D236" s="77" t="s">
        <v>414</v>
      </c>
      <c r="E236" s="77" t="s">
        <v>156</v>
      </c>
      <c r="F236" s="94">
        <v>118930.73999999999</v>
      </c>
      <c r="G236" s="94">
        <v>0</v>
      </c>
      <c r="H236" s="94">
        <v>0</v>
      </c>
      <c r="I236" s="94">
        <v>0</v>
      </c>
      <c r="J236" s="94">
        <v>118930.73999999999</v>
      </c>
      <c r="K236" s="94">
        <v>118930.73999999999</v>
      </c>
      <c r="L236" s="95">
        <v>0</v>
      </c>
      <c r="M236" s="94">
        <v>-43695.429999999978</v>
      </c>
      <c r="N236" s="94">
        <v>-7492.6800000000012</v>
      </c>
      <c r="O236" s="94">
        <v>0</v>
      </c>
      <c r="P236" s="94">
        <v>0</v>
      </c>
      <c r="Q236" s="94">
        <v>0</v>
      </c>
      <c r="R236" s="94">
        <v>0</v>
      </c>
      <c r="S236" s="94">
        <v>-51188.109999999979</v>
      </c>
      <c r="T236" s="94">
        <v>-47441.769999999975</v>
      </c>
      <c r="U236" s="95">
        <v>0</v>
      </c>
      <c r="V236" s="96">
        <v>6.3E-2</v>
      </c>
    </row>
    <row r="237" spans="1:22" ht="13" x14ac:dyDescent="0.3">
      <c r="A237" s="20" t="s">
        <v>923</v>
      </c>
      <c r="B237" s="20">
        <v>39002</v>
      </c>
      <c r="C237" s="20" t="s">
        <v>939</v>
      </c>
      <c r="D237" s="77" t="s">
        <v>415</v>
      </c>
      <c r="E237" s="77" t="s">
        <v>158</v>
      </c>
      <c r="F237" s="94">
        <v>0</v>
      </c>
      <c r="G237" s="94">
        <v>0</v>
      </c>
      <c r="H237" s="94">
        <v>0</v>
      </c>
      <c r="I237" s="94">
        <v>0</v>
      </c>
      <c r="J237" s="94">
        <v>0</v>
      </c>
      <c r="K237" s="94">
        <v>0</v>
      </c>
      <c r="L237" s="95">
        <v>0</v>
      </c>
      <c r="M237" s="94">
        <v>-0.45</v>
      </c>
      <c r="N237" s="94">
        <v>0</v>
      </c>
      <c r="O237" s="94">
        <v>0</v>
      </c>
      <c r="P237" s="94">
        <v>0</v>
      </c>
      <c r="Q237" s="94">
        <v>0</v>
      </c>
      <c r="R237" s="94">
        <v>0</v>
      </c>
      <c r="S237" s="94">
        <v>-0.45</v>
      </c>
      <c r="T237" s="94">
        <v>-0.45000000000000012</v>
      </c>
      <c r="U237" s="95">
        <v>0</v>
      </c>
      <c r="V237" s="96">
        <v>2.5000000000000001E-2</v>
      </c>
    </row>
    <row r="238" spans="1:22" ht="13" x14ac:dyDescent="0.3">
      <c r="A238" s="20" t="s">
        <v>923</v>
      </c>
      <c r="B238" s="20">
        <v>39100</v>
      </c>
      <c r="C238" s="20" t="s">
        <v>940</v>
      </c>
      <c r="D238" s="77" t="s">
        <v>416</v>
      </c>
      <c r="E238" s="77" t="s">
        <v>159</v>
      </c>
      <c r="F238" s="94">
        <v>15653.699999999999</v>
      </c>
      <c r="G238" s="94">
        <v>0</v>
      </c>
      <c r="H238" s="94">
        <v>0</v>
      </c>
      <c r="I238" s="94">
        <v>0</v>
      </c>
      <c r="J238" s="94">
        <v>15653.699999999999</v>
      </c>
      <c r="K238" s="94">
        <v>15653.700000000003</v>
      </c>
      <c r="L238" s="95">
        <v>0</v>
      </c>
      <c r="M238" s="94">
        <v>-13956.029999999988</v>
      </c>
      <c r="N238" s="94">
        <v>-1048.8</v>
      </c>
      <c r="O238" s="94">
        <v>0</v>
      </c>
      <c r="P238" s="94">
        <v>0</v>
      </c>
      <c r="Q238" s="94">
        <v>0</v>
      </c>
      <c r="R238" s="94">
        <v>0</v>
      </c>
      <c r="S238" s="94">
        <v>-15004.829999999987</v>
      </c>
      <c r="T238" s="94">
        <v>-14480.429999999986</v>
      </c>
      <c r="U238" s="95">
        <v>0</v>
      </c>
      <c r="V238" s="96">
        <v>6.7000000000000004E-2</v>
      </c>
    </row>
    <row r="239" spans="1:22" ht="13" x14ac:dyDescent="0.3">
      <c r="A239" s="20" t="s">
        <v>923</v>
      </c>
      <c r="B239" s="20">
        <v>39101</v>
      </c>
      <c r="C239" s="20" t="s">
        <v>941</v>
      </c>
      <c r="D239" s="77" t="s">
        <v>417</v>
      </c>
      <c r="E239" s="77" t="s">
        <v>160</v>
      </c>
      <c r="F239" s="94">
        <v>-1.8189894035458565E-12</v>
      </c>
      <c r="G239" s="94">
        <v>34356.43</v>
      </c>
      <c r="H239" s="94">
        <v>0</v>
      </c>
      <c r="I239" s="94">
        <v>0</v>
      </c>
      <c r="J239" s="94">
        <v>34356.43</v>
      </c>
      <c r="K239" s="94">
        <v>23813.396923076922</v>
      </c>
      <c r="L239" s="95">
        <v>0</v>
      </c>
      <c r="M239" s="94">
        <v>39772.770000000033</v>
      </c>
      <c r="N239" s="94">
        <v>-2866.8300000000004</v>
      </c>
      <c r="O239" s="94">
        <v>0</v>
      </c>
      <c r="P239" s="94">
        <v>0</v>
      </c>
      <c r="Q239" s="94">
        <v>0</v>
      </c>
      <c r="R239" s="94">
        <v>0</v>
      </c>
      <c r="S239" s="94">
        <v>36905.940000000031</v>
      </c>
      <c r="T239" s="94">
        <v>38696.506153846174</v>
      </c>
      <c r="U239" s="95">
        <v>0</v>
      </c>
      <c r="V239" s="96">
        <v>0.125</v>
      </c>
    </row>
    <row r="240" spans="1:22" ht="13" x14ac:dyDescent="0.3">
      <c r="A240" s="20" t="s">
        <v>923</v>
      </c>
      <c r="B240" s="20">
        <v>39102</v>
      </c>
      <c r="C240" s="20" t="s">
        <v>942</v>
      </c>
      <c r="D240" s="77" t="s">
        <v>418</v>
      </c>
      <c r="E240" s="77" t="s">
        <v>161</v>
      </c>
      <c r="F240" s="94">
        <v>1555.67</v>
      </c>
      <c r="G240" s="94">
        <v>7028.14</v>
      </c>
      <c r="H240" s="94">
        <v>0</v>
      </c>
      <c r="I240" s="94">
        <v>0</v>
      </c>
      <c r="J240" s="94">
        <v>8583.8100000000013</v>
      </c>
      <c r="K240" s="94">
        <v>3177.5484615384621</v>
      </c>
      <c r="L240" s="95">
        <v>0</v>
      </c>
      <c r="M240" s="94">
        <v>760.54</v>
      </c>
      <c r="N240" s="94">
        <v>-182.76</v>
      </c>
      <c r="O240" s="94">
        <v>0</v>
      </c>
      <c r="P240" s="94">
        <v>0</v>
      </c>
      <c r="Q240" s="94">
        <v>0</v>
      </c>
      <c r="R240" s="94">
        <v>0</v>
      </c>
      <c r="S240" s="94">
        <v>577.78</v>
      </c>
      <c r="T240" s="94">
        <v>699.34461538461494</v>
      </c>
      <c r="U240" s="95">
        <v>0</v>
      </c>
      <c r="V240" s="96">
        <v>6.7000000000000004E-2</v>
      </c>
    </row>
    <row r="241" spans="1:22" ht="13" x14ac:dyDescent="0.3">
      <c r="A241" s="20" t="s">
        <v>923</v>
      </c>
      <c r="B241" s="20">
        <v>39201</v>
      </c>
      <c r="C241" s="20" t="s">
        <v>943</v>
      </c>
      <c r="D241" s="77" t="s">
        <v>419</v>
      </c>
      <c r="E241" s="77" t="s">
        <v>163</v>
      </c>
      <c r="F241" s="94">
        <v>118330.56999999999</v>
      </c>
      <c r="G241" s="94">
        <v>0</v>
      </c>
      <c r="H241" s="94">
        <v>0</v>
      </c>
      <c r="I241" s="94">
        <v>0</v>
      </c>
      <c r="J241" s="94">
        <v>118330.56999999999</v>
      </c>
      <c r="K241" s="94">
        <v>118330.57</v>
      </c>
      <c r="L241" s="95">
        <v>0</v>
      </c>
      <c r="M241" s="94">
        <v>-5289.8900000000222</v>
      </c>
      <c r="N241" s="94">
        <v>-13253.04</v>
      </c>
      <c r="O241" s="94">
        <v>0</v>
      </c>
      <c r="P241" s="94">
        <v>0</v>
      </c>
      <c r="Q241" s="94">
        <v>-2490.7000000000003</v>
      </c>
      <c r="R241" s="94">
        <v>0</v>
      </c>
      <c r="S241" s="94">
        <v>-21033.630000000023</v>
      </c>
      <c r="T241" s="94">
        <v>-12342.748461538487</v>
      </c>
      <c r="U241" s="95">
        <v>0</v>
      </c>
      <c r="V241" s="96">
        <v>0.112</v>
      </c>
    </row>
    <row r="242" spans="1:22" ht="13" x14ac:dyDescent="0.3">
      <c r="A242" s="20" t="s">
        <v>923</v>
      </c>
      <c r="B242" s="20">
        <v>39202</v>
      </c>
      <c r="C242" s="20" t="s">
        <v>944</v>
      </c>
      <c r="D242" s="77" t="s">
        <v>420</v>
      </c>
      <c r="E242" s="77" t="s">
        <v>164</v>
      </c>
      <c r="F242" s="94">
        <v>290370.38999999996</v>
      </c>
      <c r="G242" s="94">
        <v>45423.62</v>
      </c>
      <c r="H242" s="94">
        <v>-25117.52</v>
      </c>
      <c r="I242" s="94">
        <v>0</v>
      </c>
      <c r="J242" s="94">
        <v>310676.48999999993</v>
      </c>
      <c r="K242" s="94">
        <v>302414.77153846144</v>
      </c>
      <c r="L242" s="95">
        <v>0</v>
      </c>
      <c r="M242" s="94">
        <v>-142773.93000000011</v>
      </c>
      <c r="N242" s="94">
        <v>-38319.270000000004</v>
      </c>
      <c r="O242" s="94">
        <v>25117.52</v>
      </c>
      <c r="P242" s="94">
        <v>0</v>
      </c>
      <c r="Q242" s="94">
        <v>-6544.3</v>
      </c>
      <c r="R242" s="94">
        <v>0</v>
      </c>
      <c r="S242" s="94">
        <v>-162519.98000000013</v>
      </c>
      <c r="T242" s="94">
        <v>-160674.35153846166</v>
      </c>
      <c r="U242" s="95">
        <v>0</v>
      </c>
      <c r="V242" s="96">
        <v>0.127</v>
      </c>
    </row>
    <row r="243" spans="1:22" ht="13" x14ac:dyDescent="0.3">
      <c r="A243" s="20" t="s">
        <v>923</v>
      </c>
      <c r="B243" s="20">
        <v>39204</v>
      </c>
      <c r="C243" s="20" t="s">
        <v>945</v>
      </c>
      <c r="D243" s="77" t="s">
        <v>421</v>
      </c>
      <c r="E243" s="77" t="s">
        <v>166</v>
      </c>
      <c r="F243" s="94">
        <v>13859.710000000001</v>
      </c>
      <c r="G243" s="94">
        <v>0</v>
      </c>
      <c r="H243" s="94">
        <v>0</v>
      </c>
      <c r="I243" s="94">
        <v>0</v>
      </c>
      <c r="J243" s="94">
        <v>13859.710000000001</v>
      </c>
      <c r="K243" s="94">
        <v>13859.710000000001</v>
      </c>
      <c r="L243" s="95">
        <v>0</v>
      </c>
      <c r="M243" s="94">
        <v>-13120.640000000021</v>
      </c>
      <c r="N243" s="94">
        <v>-554.4</v>
      </c>
      <c r="O243" s="94">
        <v>0</v>
      </c>
      <c r="P243" s="94">
        <v>0</v>
      </c>
      <c r="Q243" s="94">
        <v>0</v>
      </c>
      <c r="R243" s="94">
        <v>0</v>
      </c>
      <c r="S243" s="94">
        <v>-13675.040000000021</v>
      </c>
      <c r="T243" s="94">
        <v>-13397.840000000026</v>
      </c>
      <c r="U243" s="95">
        <v>0</v>
      </c>
      <c r="V243" s="96">
        <v>0.04</v>
      </c>
    </row>
    <row r="244" spans="1:22" ht="13" x14ac:dyDescent="0.3">
      <c r="A244" s="20" t="s">
        <v>923</v>
      </c>
      <c r="B244" s="20">
        <v>39205</v>
      </c>
      <c r="C244" s="20" t="s">
        <v>946</v>
      </c>
      <c r="D244" s="77" t="s">
        <v>422</v>
      </c>
      <c r="E244" s="77" t="s">
        <v>167</v>
      </c>
      <c r="F244" s="94">
        <v>0</v>
      </c>
      <c r="G244" s="94">
        <v>0</v>
      </c>
      <c r="H244" s="94">
        <v>0</v>
      </c>
      <c r="I244" s="94">
        <v>0</v>
      </c>
      <c r="J244" s="94">
        <v>0</v>
      </c>
      <c r="K244" s="94">
        <v>0</v>
      </c>
      <c r="L244" s="95">
        <v>0</v>
      </c>
      <c r="M244" s="94">
        <v>12190.05</v>
      </c>
      <c r="N244" s="94">
        <v>0</v>
      </c>
      <c r="O244" s="94">
        <v>0</v>
      </c>
      <c r="P244" s="94">
        <v>0</v>
      </c>
      <c r="Q244" s="94">
        <v>0</v>
      </c>
      <c r="R244" s="94">
        <v>0</v>
      </c>
      <c r="S244" s="94">
        <v>12190.05</v>
      </c>
      <c r="T244" s="94">
        <v>12190.05</v>
      </c>
      <c r="U244" s="95">
        <v>0</v>
      </c>
      <c r="V244" s="96">
        <v>7.3999999999999996E-2</v>
      </c>
    </row>
    <row r="245" spans="1:22" ht="13" x14ac:dyDescent="0.3">
      <c r="A245" s="20" t="s">
        <v>923</v>
      </c>
      <c r="B245" s="20">
        <v>39400</v>
      </c>
      <c r="C245" s="20" t="s">
        <v>947</v>
      </c>
      <c r="D245" s="77" t="s">
        <v>423</v>
      </c>
      <c r="E245" s="77" t="s">
        <v>169</v>
      </c>
      <c r="F245" s="94">
        <v>121771.26</v>
      </c>
      <c r="G245" s="94">
        <v>52552.23</v>
      </c>
      <c r="H245" s="94">
        <v>0</v>
      </c>
      <c r="I245" s="94">
        <v>0</v>
      </c>
      <c r="J245" s="94">
        <v>174323.49</v>
      </c>
      <c r="K245" s="94">
        <v>137769.65461538458</v>
      </c>
      <c r="L245" s="95">
        <v>0</v>
      </c>
      <c r="M245" s="94">
        <v>-55875.689999999864</v>
      </c>
      <c r="N245" s="94">
        <v>-8891.739999999998</v>
      </c>
      <c r="O245" s="94">
        <v>0</v>
      </c>
      <c r="P245" s="94">
        <v>0</v>
      </c>
      <c r="Q245" s="94">
        <v>0</v>
      </c>
      <c r="R245" s="94">
        <v>0</v>
      </c>
      <c r="S245" s="94">
        <v>-64767.429999999862</v>
      </c>
      <c r="T245" s="94">
        <v>-60024.703846153694</v>
      </c>
      <c r="U245" s="95">
        <v>0</v>
      </c>
      <c r="V245" s="96">
        <v>6.6000000000000003E-2</v>
      </c>
    </row>
    <row r="246" spans="1:22" ht="13" x14ac:dyDescent="0.3">
      <c r="A246" s="20" t="s">
        <v>923</v>
      </c>
      <c r="B246" s="20">
        <v>39600</v>
      </c>
      <c r="C246" s="20" t="s">
        <v>948</v>
      </c>
      <c r="D246" s="77" t="s">
        <v>424</v>
      </c>
      <c r="E246" s="77" t="s">
        <v>171</v>
      </c>
      <c r="F246" s="94">
        <v>91324.180000000008</v>
      </c>
      <c r="G246" s="94">
        <v>2794.91</v>
      </c>
      <c r="H246" s="94">
        <v>0</v>
      </c>
      <c r="I246" s="94">
        <v>0</v>
      </c>
      <c r="J246" s="94">
        <v>94119.090000000011</v>
      </c>
      <c r="K246" s="94">
        <v>91754.166153846178</v>
      </c>
      <c r="L246" s="95">
        <v>0</v>
      </c>
      <c r="M246" s="94">
        <v>-79604.42</v>
      </c>
      <c r="N246" s="94">
        <v>-5859.630000000001</v>
      </c>
      <c r="O246" s="94">
        <v>0</v>
      </c>
      <c r="P246" s="94">
        <v>0</v>
      </c>
      <c r="Q246" s="94">
        <v>0</v>
      </c>
      <c r="R246" s="94">
        <v>0</v>
      </c>
      <c r="S246" s="94">
        <v>-85464.05</v>
      </c>
      <c r="T246" s="94">
        <v>-82527.926923076913</v>
      </c>
      <c r="U246" s="95">
        <v>0</v>
      </c>
      <c r="V246" s="96">
        <v>6.4000000000000001E-2</v>
      </c>
    </row>
    <row r="247" spans="1:22" ht="13" x14ac:dyDescent="0.3">
      <c r="A247" s="20" t="s">
        <v>923</v>
      </c>
      <c r="B247" s="20">
        <v>39700</v>
      </c>
      <c r="C247" s="20" t="s">
        <v>949</v>
      </c>
      <c r="D247" s="77" t="s">
        <v>425</v>
      </c>
      <c r="E247" s="77" t="s">
        <v>172</v>
      </c>
      <c r="F247" s="94">
        <v>19924.220000000005</v>
      </c>
      <c r="G247" s="94">
        <v>0</v>
      </c>
      <c r="H247" s="94">
        <v>0</v>
      </c>
      <c r="I247" s="94">
        <v>0</v>
      </c>
      <c r="J247" s="94">
        <v>19924.220000000005</v>
      </c>
      <c r="K247" s="94">
        <v>19924.220000000005</v>
      </c>
      <c r="L247" s="95">
        <v>0</v>
      </c>
      <c r="M247" s="94">
        <v>-22756.249999999945</v>
      </c>
      <c r="N247" s="94">
        <v>-1673.64</v>
      </c>
      <c r="O247" s="94">
        <v>0</v>
      </c>
      <c r="P247" s="94">
        <v>0</v>
      </c>
      <c r="Q247" s="94">
        <v>0</v>
      </c>
      <c r="R247" s="94">
        <v>0</v>
      </c>
      <c r="S247" s="94">
        <v>-24429.889999999945</v>
      </c>
      <c r="T247" s="94">
        <v>-23593.069999999952</v>
      </c>
      <c r="U247" s="95">
        <v>0</v>
      </c>
      <c r="V247" s="96">
        <v>8.4000000000000005E-2</v>
      </c>
    </row>
    <row r="248" spans="1:22" ht="13" x14ac:dyDescent="0.3">
      <c r="A248" s="20" t="s">
        <v>923</v>
      </c>
      <c r="B248" s="20">
        <v>39800</v>
      </c>
      <c r="C248" s="20" t="s">
        <v>950</v>
      </c>
      <c r="D248" s="77" t="s">
        <v>426</v>
      </c>
      <c r="E248" s="77" t="s">
        <v>173</v>
      </c>
      <c r="F248" s="94">
        <v>5617.94</v>
      </c>
      <c r="G248" s="94">
        <v>8603.7200000000012</v>
      </c>
      <c r="H248" s="94">
        <v>0</v>
      </c>
      <c r="I248" s="94">
        <v>0</v>
      </c>
      <c r="J248" s="94">
        <v>14221.66</v>
      </c>
      <c r="K248" s="94">
        <v>7940.5169230769243</v>
      </c>
      <c r="L248" s="95">
        <v>0</v>
      </c>
      <c r="M248" s="94">
        <v>-1540.56</v>
      </c>
      <c r="N248" s="94">
        <v>-437.59000000000003</v>
      </c>
      <c r="O248" s="94">
        <v>0</v>
      </c>
      <c r="P248" s="94">
        <v>0</v>
      </c>
      <c r="Q248" s="94">
        <v>0</v>
      </c>
      <c r="R248" s="94">
        <v>0</v>
      </c>
      <c r="S248" s="94">
        <v>-1978.15</v>
      </c>
      <c r="T248" s="94">
        <v>-1721.0146153846144</v>
      </c>
      <c r="U248" s="95">
        <v>0</v>
      </c>
      <c r="V248" s="96">
        <v>5.8999999999999997E-2</v>
      </c>
    </row>
    <row r="249" spans="1:22" ht="13" x14ac:dyDescent="0.3">
      <c r="A249" s="20" t="s">
        <v>951</v>
      </c>
      <c r="B249" s="20">
        <v>30301</v>
      </c>
      <c r="C249" s="20" t="s">
        <v>952</v>
      </c>
      <c r="D249" s="77" t="s">
        <v>427</v>
      </c>
      <c r="E249" s="77" t="s">
        <v>141</v>
      </c>
      <c r="F249" s="94">
        <v>14728.11</v>
      </c>
      <c r="G249" s="94">
        <v>0</v>
      </c>
      <c r="H249" s="94">
        <v>-14728.11</v>
      </c>
      <c r="I249" s="94">
        <v>0</v>
      </c>
      <c r="J249" s="94">
        <v>0</v>
      </c>
      <c r="K249" s="94">
        <v>2265.8630769230772</v>
      </c>
      <c r="L249" s="95">
        <v>0</v>
      </c>
      <c r="M249" s="94">
        <v>-1351.4200000000039</v>
      </c>
      <c r="N249" s="94">
        <v>-164.46</v>
      </c>
      <c r="O249" s="94">
        <v>14728.11</v>
      </c>
      <c r="P249" s="94">
        <v>0</v>
      </c>
      <c r="Q249" s="94">
        <v>0</v>
      </c>
      <c r="R249" s="94">
        <v>0</v>
      </c>
      <c r="S249" s="94">
        <v>13212.229999999996</v>
      </c>
      <c r="T249" s="94">
        <v>10965.343076923074</v>
      </c>
      <c r="U249" s="95">
        <v>0</v>
      </c>
      <c r="V249" s="96">
        <v>6.7000000000000004E-2</v>
      </c>
    </row>
    <row r="250" spans="1:22" ht="13" x14ac:dyDescent="0.3">
      <c r="A250" s="20" t="s">
        <v>951</v>
      </c>
      <c r="B250" s="20">
        <v>37402</v>
      </c>
      <c r="C250" s="20" t="s">
        <v>953</v>
      </c>
      <c r="D250" s="77" t="s">
        <v>428</v>
      </c>
      <c r="E250" s="77" t="s">
        <v>143</v>
      </c>
      <c r="F250" s="94">
        <v>562.91</v>
      </c>
      <c r="G250" s="94">
        <v>0</v>
      </c>
      <c r="H250" s="94">
        <v>0</v>
      </c>
      <c r="I250" s="94">
        <v>0</v>
      </c>
      <c r="J250" s="94">
        <v>562.91</v>
      </c>
      <c r="K250" s="94">
        <v>562.91</v>
      </c>
      <c r="L250" s="95">
        <v>0</v>
      </c>
      <c r="M250" s="94">
        <v>-443.21000000000038</v>
      </c>
      <c r="N250" s="94">
        <v>-7.3200000000000012</v>
      </c>
      <c r="O250" s="94">
        <v>0</v>
      </c>
      <c r="P250" s="94">
        <v>0</v>
      </c>
      <c r="Q250" s="94">
        <v>0</v>
      </c>
      <c r="R250" s="94">
        <v>0</v>
      </c>
      <c r="S250" s="94">
        <v>-450.53000000000037</v>
      </c>
      <c r="T250" s="94">
        <v>-446.87000000000052</v>
      </c>
      <c r="U250" s="95">
        <v>0</v>
      </c>
      <c r="V250" s="96">
        <v>1.2999999999999999E-2</v>
      </c>
    </row>
    <row r="251" spans="1:22" ht="13" x14ac:dyDescent="0.3">
      <c r="A251" s="20" t="s">
        <v>951</v>
      </c>
      <c r="B251" s="20">
        <v>37500</v>
      </c>
      <c r="C251" s="20" t="s">
        <v>954</v>
      </c>
      <c r="D251" s="77" t="s">
        <v>429</v>
      </c>
      <c r="E251" s="77" t="s">
        <v>144</v>
      </c>
      <c r="F251" s="94">
        <v>1173.7</v>
      </c>
      <c r="G251" s="94">
        <v>0</v>
      </c>
      <c r="H251" s="94">
        <v>0</v>
      </c>
      <c r="I251" s="94">
        <v>0</v>
      </c>
      <c r="J251" s="94">
        <v>1173.7</v>
      </c>
      <c r="K251" s="94">
        <v>1173.7000000000003</v>
      </c>
      <c r="L251" s="95">
        <v>0</v>
      </c>
      <c r="M251" s="94">
        <v>-1312.8800000000017</v>
      </c>
      <c r="N251" s="94">
        <v>-29.399999999999995</v>
      </c>
      <c r="O251" s="94">
        <v>0</v>
      </c>
      <c r="P251" s="94">
        <v>0</v>
      </c>
      <c r="Q251" s="94">
        <v>0</v>
      </c>
      <c r="R251" s="94">
        <v>0</v>
      </c>
      <c r="S251" s="94">
        <v>-1342.2800000000018</v>
      </c>
      <c r="T251" s="94">
        <v>-1327.580000000002</v>
      </c>
      <c r="U251" s="95">
        <v>0</v>
      </c>
      <c r="V251" s="96">
        <v>2.5000000000000001E-2</v>
      </c>
    </row>
    <row r="252" spans="1:22" ht="13" x14ac:dyDescent="0.3">
      <c r="A252" s="20" t="s">
        <v>951</v>
      </c>
      <c r="B252" s="20">
        <v>37600</v>
      </c>
      <c r="C252" s="20" t="s">
        <v>955</v>
      </c>
      <c r="D252" s="77" t="s">
        <v>430</v>
      </c>
      <c r="E252" s="77" t="s">
        <v>145</v>
      </c>
      <c r="F252" s="94">
        <v>736046.21</v>
      </c>
      <c r="G252" s="94">
        <v>17110.400000000001</v>
      </c>
      <c r="H252" s="94">
        <v>0</v>
      </c>
      <c r="I252" s="94">
        <v>0</v>
      </c>
      <c r="J252" s="94">
        <v>753156.61</v>
      </c>
      <c r="K252" s="94">
        <v>741043.4484615383</v>
      </c>
      <c r="L252" s="95">
        <v>0</v>
      </c>
      <c r="M252" s="94">
        <v>-726299.54000000074</v>
      </c>
      <c r="N252" s="94">
        <v>-31081.390000000003</v>
      </c>
      <c r="O252" s="94">
        <v>0</v>
      </c>
      <c r="P252" s="94">
        <v>8645.9699999999993</v>
      </c>
      <c r="Q252" s="94">
        <v>0</v>
      </c>
      <c r="R252" s="94">
        <v>0</v>
      </c>
      <c r="S252" s="94">
        <v>-748734.96000000078</v>
      </c>
      <c r="T252" s="94">
        <v>-738736.40538461588</v>
      </c>
      <c r="U252" s="95">
        <v>0</v>
      </c>
      <c r="V252" s="96">
        <v>4.2000000000000003E-2</v>
      </c>
    </row>
    <row r="253" spans="1:22" ht="13" x14ac:dyDescent="0.3">
      <c r="A253" s="20" t="s">
        <v>951</v>
      </c>
      <c r="B253" s="20">
        <v>37602</v>
      </c>
      <c r="C253" s="20" t="s">
        <v>956</v>
      </c>
      <c r="D253" s="77" t="s">
        <v>431</v>
      </c>
      <c r="E253" s="77" t="s">
        <v>146</v>
      </c>
      <c r="F253" s="94">
        <v>1330629.8699999999</v>
      </c>
      <c r="G253" s="94">
        <v>82394.42</v>
      </c>
      <c r="H253" s="94">
        <v>0</v>
      </c>
      <c r="I253" s="94">
        <v>0</v>
      </c>
      <c r="J253" s="94">
        <v>1413024.2899999998</v>
      </c>
      <c r="K253" s="94">
        <v>1345186.9161538458</v>
      </c>
      <c r="L253" s="95">
        <v>0</v>
      </c>
      <c r="M253" s="94">
        <v>-682665.88999999862</v>
      </c>
      <c r="N253" s="94">
        <v>-41525.539999999994</v>
      </c>
      <c r="O253" s="94">
        <v>0</v>
      </c>
      <c r="P253" s="94">
        <v>16378.099999999999</v>
      </c>
      <c r="Q253" s="94">
        <v>0</v>
      </c>
      <c r="R253" s="94">
        <v>0</v>
      </c>
      <c r="S253" s="94">
        <v>-707813.32999999868</v>
      </c>
      <c r="T253" s="94">
        <v>-697736.06307692139</v>
      </c>
      <c r="U253" s="95">
        <v>0</v>
      </c>
      <c r="V253" s="96">
        <v>3.1E-2</v>
      </c>
    </row>
    <row r="254" spans="1:22" ht="13" x14ac:dyDescent="0.3">
      <c r="A254" s="20" t="s">
        <v>951</v>
      </c>
      <c r="B254" s="20">
        <v>37800</v>
      </c>
      <c r="C254" s="20" t="s">
        <v>957</v>
      </c>
      <c r="D254" s="77" t="s">
        <v>432</v>
      </c>
      <c r="E254" s="77" t="s">
        <v>147</v>
      </c>
      <c r="F254" s="94">
        <v>27543.010000000002</v>
      </c>
      <c r="G254" s="94">
        <v>26165.86</v>
      </c>
      <c r="H254" s="94">
        <v>0</v>
      </c>
      <c r="I254" s="94">
        <v>0</v>
      </c>
      <c r="J254" s="94">
        <v>53708.87</v>
      </c>
      <c r="K254" s="94">
        <v>33581.285384615388</v>
      </c>
      <c r="L254" s="95">
        <v>0</v>
      </c>
      <c r="M254" s="94">
        <v>-18357.359999999957</v>
      </c>
      <c r="N254" s="94">
        <v>-1084.6599999999999</v>
      </c>
      <c r="O254" s="94">
        <v>0</v>
      </c>
      <c r="P254" s="94">
        <v>0</v>
      </c>
      <c r="Q254" s="94">
        <v>0</v>
      </c>
      <c r="R254" s="94">
        <v>0</v>
      </c>
      <c r="S254" s="94">
        <v>-19442.019999999957</v>
      </c>
      <c r="T254" s="94">
        <v>-18842.651538461487</v>
      </c>
      <c r="U254" s="95">
        <v>0</v>
      </c>
      <c r="V254" s="96">
        <v>3.4000000000000002E-2</v>
      </c>
    </row>
    <row r="255" spans="1:22" ht="13" x14ac:dyDescent="0.3">
      <c r="A255" s="20" t="s">
        <v>951</v>
      </c>
      <c r="B255" s="20">
        <v>37900</v>
      </c>
      <c r="C255" s="20" t="s">
        <v>958</v>
      </c>
      <c r="D255" s="77" t="s">
        <v>433</v>
      </c>
      <c r="E255" s="77" t="s">
        <v>148</v>
      </c>
      <c r="F255" s="94">
        <v>82423.460000000006</v>
      </c>
      <c r="G255" s="94">
        <v>7716.05</v>
      </c>
      <c r="H255" s="94">
        <v>0</v>
      </c>
      <c r="I255" s="94">
        <v>0</v>
      </c>
      <c r="J255" s="94">
        <v>90139.510000000009</v>
      </c>
      <c r="K255" s="94">
        <v>84797.629230769249</v>
      </c>
      <c r="L255" s="95">
        <v>0</v>
      </c>
      <c r="M255" s="94">
        <v>16677.61000000007</v>
      </c>
      <c r="N255" s="94">
        <v>-2867.9700000000003</v>
      </c>
      <c r="O255" s="94">
        <v>0</v>
      </c>
      <c r="P255" s="94">
        <v>0</v>
      </c>
      <c r="Q255" s="94">
        <v>0</v>
      </c>
      <c r="R255" s="94">
        <v>0</v>
      </c>
      <c r="S255" s="94">
        <v>13809.640000000069</v>
      </c>
      <c r="T255" s="94">
        <v>15266.336153846221</v>
      </c>
      <c r="U255" s="95">
        <v>0</v>
      </c>
      <c r="V255" s="96">
        <v>3.4000000000000002E-2</v>
      </c>
    </row>
    <row r="256" spans="1:22" ht="13" x14ac:dyDescent="0.3">
      <c r="A256" s="20" t="s">
        <v>951</v>
      </c>
      <c r="B256" s="20">
        <v>38000</v>
      </c>
      <c r="C256" s="20" t="s">
        <v>959</v>
      </c>
      <c r="D256" s="77" t="s">
        <v>434</v>
      </c>
      <c r="E256" s="77" t="s">
        <v>149</v>
      </c>
      <c r="F256" s="94">
        <v>142813.32999999999</v>
      </c>
      <c r="G256" s="94">
        <v>582.92999999999995</v>
      </c>
      <c r="H256" s="94">
        <v>-1317.83</v>
      </c>
      <c r="I256" s="94">
        <v>0</v>
      </c>
      <c r="J256" s="94">
        <v>142078.43</v>
      </c>
      <c r="K256" s="94">
        <v>141776.2346153846</v>
      </c>
      <c r="L256" s="95">
        <v>0</v>
      </c>
      <c r="M256" s="94">
        <v>-259521.87999999954</v>
      </c>
      <c r="N256" s="94">
        <v>-9355.5300000000007</v>
      </c>
      <c r="O256" s="94">
        <v>1317.83</v>
      </c>
      <c r="P256" s="94">
        <v>3299.45</v>
      </c>
      <c r="Q256" s="94">
        <v>0</v>
      </c>
      <c r="R256" s="94">
        <v>0</v>
      </c>
      <c r="S256" s="94">
        <v>-264260.12999999954</v>
      </c>
      <c r="T256" s="94">
        <v>-260860.59461538415</v>
      </c>
      <c r="U256" s="95">
        <v>0</v>
      </c>
      <c r="V256" s="96">
        <v>6.5999999999999989E-2</v>
      </c>
    </row>
    <row r="257" spans="1:22" ht="13" x14ac:dyDescent="0.3">
      <c r="A257" s="20" t="s">
        <v>951</v>
      </c>
      <c r="B257" s="20">
        <v>38002</v>
      </c>
      <c r="C257" s="20" t="s">
        <v>960</v>
      </c>
      <c r="D257" s="77" t="s">
        <v>435</v>
      </c>
      <c r="E257" s="77" t="s">
        <v>150</v>
      </c>
      <c r="F257" s="94">
        <v>423457.2</v>
      </c>
      <c r="G257" s="94">
        <v>8794.119999999999</v>
      </c>
      <c r="H257" s="94">
        <v>0</v>
      </c>
      <c r="I257" s="94">
        <v>0</v>
      </c>
      <c r="J257" s="94">
        <v>432251.32</v>
      </c>
      <c r="K257" s="94">
        <v>428246.1838461539</v>
      </c>
      <c r="L257" s="95">
        <v>0</v>
      </c>
      <c r="M257" s="94">
        <v>-344016.88999999978</v>
      </c>
      <c r="N257" s="94">
        <v>-21395.63</v>
      </c>
      <c r="O257" s="94">
        <v>0</v>
      </c>
      <c r="P257" s="94">
        <v>4958.8899999999994</v>
      </c>
      <c r="Q257" s="94">
        <v>0</v>
      </c>
      <c r="R257" s="94">
        <v>0</v>
      </c>
      <c r="S257" s="94">
        <v>-360453.62999999977</v>
      </c>
      <c r="T257" s="94">
        <v>-352918.9699999998</v>
      </c>
      <c r="U257" s="95">
        <v>0</v>
      </c>
      <c r="V257" s="96">
        <v>0.05</v>
      </c>
    </row>
    <row r="258" spans="1:22" ht="13" x14ac:dyDescent="0.3">
      <c r="A258" s="20" t="s">
        <v>951</v>
      </c>
      <c r="B258" s="20">
        <v>38200</v>
      </c>
      <c r="C258" s="20" t="s">
        <v>961</v>
      </c>
      <c r="D258" s="77" t="s">
        <v>436</v>
      </c>
      <c r="E258" s="77" t="s">
        <v>152</v>
      </c>
      <c r="F258" s="94">
        <v>57909.19000000001</v>
      </c>
      <c r="G258" s="94">
        <v>988.58</v>
      </c>
      <c r="H258" s="94">
        <v>-73.64</v>
      </c>
      <c r="I258" s="94">
        <v>0</v>
      </c>
      <c r="J258" s="94">
        <v>58824.130000000012</v>
      </c>
      <c r="K258" s="94">
        <v>58404.75615384616</v>
      </c>
      <c r="L258" s="95">
        <v>0</v>
      </c>
      <c r="M258" s="94">
        <v>-45725.89</v>
      </c>
      <c r="N258" s="94">
        <v>-2626.6300000000006</v>
      </c>
      <c r="O258" s="94">
        <v>73.64</v>
      </c>
      <c r="P258" s="94">
        <v>0</v>
      </c>
      <c r="Q258" s="94">
        <v>0</v>
      </c>
      <c r="R258" s="94">
        <v>0</v>
      </c>
      <c r="S258" s="94">
        <v>-48278.879999999997</v>
      </c>
      <c r="T258" s="94">
        <v>-46966.756923076922</v>
      </c>
      <c r="U258" s="95">
        <v>0</v>
      </c>
      <c r="V258" s="96">
        <v>4.4999999999999998E-2</v>
      </c>
    </row>
    <row r="259" spans="1:22" ht="13" x14ac:dyDescent="0.3">
      <c r="A259" s="20" t="s">
        <v>951</v>
      </c>
      <c r="B259" s="20">
        <v>38300</v>
      </c>
      <c r="C259" s="20" t="s">
        <v>962</v>
      </c>
      <c r="D259" s="77" t="s">
        <v>437</v>
      </c>
      <c r="E259" s="77" t="s">
        <v>153</v>
      </c>
      <c r="F259" s="94">
        <v>20913.5</v>
      </c>
      <c r="G259" s="94">
        <v>0</v>
      </c>
      <c r="H259" s="94">
        <v>0</v>
      </c>
      <c r="I259" s="94">
        <v>0</v>
      </c>
      <c r="J259" s="94">
        <v>20913.5</v>
      </c>
      <c r="K259" s="94">
        <v>20913.5</v>
      </c>
      <c r="L259" s="95">
        <v>0</v>
      </c>
      <c r="M259" s="94">
        <v>-11912.400000000007</v>
      </c>
      <c r="N259" s="94">
        <v>-752.88</v>
      </c>
      <c r="O259" s="94">
        <v>0</v>
      </c>
      <c r="P259" s="94">
        <v>0</v>
      </c>
      <c r="Q259" s="94">
        <v>0</v>
      </c>
      <c r="R259" s="94">
        <v>0</v>
      </c>
      <c r="S259" s="94">
        <v>-12665.280000000006</v>
      </c>
      <c r="T259" s="94">
        <v>-12288.840000000006</v>
      </c>
      <c r="U259" s="95">
        <v>0</v>
      </c>
      <c r="V259" s="96">
        <v>3.5999999999999997E-2</v>
      </c>
    </row>
    <row r="260" spans="1:22" ht="13" x14ac:dyDescent="0.3">
      <c r="A260" s="20" t="s">
        <v>951</v>
      </c>
      <c r="B260" s="20">
        <v>38400</v>
      </c>
      <c r="C260" s="20" t="s">
        <v>963</v>
      </c>
      <c r="D260" s="77" t="s">
        <v>438</v>
      </c>
      <c r="E260" s="77" t="s">
        <v>154</v>
      </c>
      <c r="F260" s="94">
        <v>20198.220000000012</v>
      </c>
      <c r="G260" s="94">
        <v>436.18</v>
      </c>
      <c r="H260" s="94">
        <v>-12.66</v>
      </c>
      <c r="I260" s="94">
        <v>0</v>
      </c>
      <c r="J260" s="94">
        <v>20621.740000000013</v>
      </c>
      <c r="K260" s="94">
        <v>20423.604615384633</v>
      </c>
      <c r="L260" s="95">
        <v>0</v>
      </c>
      <c r="M260" s="94">
        <v>-14261.920000000004</v>
      </c>
      <c r="N260" s="94">
        <v>-918.31000000000017</v>
      </c>
      <c r="O260" s="94">
        <v>12.66</v>
      </c>
      <c r="P260" s="94">
        <v>0</v>
      </c>
      <c r="Q260" s="94">
        <v>0</v>
      </c>
      <c r="R260" s="94">
        <v>0</v>
      </c>
      <c r="S260" s="94">
        <v>-15167.570000000003</v>
      </c>
      <c r="T260" s="94">
        <v>-14707.343846153848</v>
      </c>
      <c r="U260" s="95">
        <v>0</v>
      </c>
      <c r="V260" s="96">
        <v>4.4999999999999998E-2</v>
      </c>
    </row>
    <row r="261" spans="1:22" ht="13" x14ac:dyDescent="0.3">
      <c r="A261" s="20" t="s">
        <v>951</v>
      </c>
      <c r="B261" s="20">
        <v>38500</v>
      </c>
      <c r="C261" s="20" t="s">
        <v>964</v>
      </c>
      <c r="D261" s="77" t="s">
        <v>439</v>
      </c>
      <c r="E261" s="77" t="s">
        <v>155</v>
      </c>
      <c r="F261" s="94">
        <v>16211.04</v>
      </c>
      <c r="G261" s="94">
        <v>0</v>
      </c>
      <c r="H261" s="94">
        <v>0</v>
      </c>
      <c r="I261" s="94">
        <v>0</v>
      </c>
      <c r="J261" s="94">
        <v>16211.04</v>
      </c>
      <c r="K261" s="94">
        <v>16211.040000000006</v>
      </c>
      <c r="L261" s="95">
        <v>0</v>
      </c>
      <c r="M261" s="94">
        <v>-500.03000000000105</v>
      </c>
      <c r="N261" s="94">
        <v>-502.56</v>
      </c>
      <c r="O261" s="94">
        <v>0</v>
      </c>
      <c r="P261" s="94">
        <v>0</v>
      </c>
      <c r="Q261" s="94">
        <v>0</v>
      </c>
      <c r="R261" s="94">
        <v>0</v>
      </c>
      <c r="S261" s="94">
        <v>-1002.5900000000011</v>
      </c>
      <c r="T261" s="94">
        <v>-751.31000000000108</v>
      </c>
      <c r="U261" s="95">
        <v>0</v>
      </c>
      <c r="V261" s="96">
        <v>3.1E-2</v>
      </c>
    </row>
    <row r="262" spans="1:22" ht="13" x14ac:dyDescent="0.3">
      <c r="A262" s="20" t="s">
        <v>951</v>
      </c>
      <c r="B262" s="20">
        <v>38700</v>
      </c>
      <c r="C262" s="20" t="s">
        <v>965</v>
      </c>
      <c r="D262" s="77" t="s">
        <v>440</v>
      </c>
      <c r="E262" s="77" t="s">
        <v>156</v>
      </c>
      <c r="F262" s="94">
        <v>40050.639999999999</v>
      </c>
      <c r="G262" s="94">
        <v>17473.75</v>
      </c>
      <c r="H262" s="94">
        <v>0</v>
      </c>
      <c r="I262" s="94">
        <v>0</v>
      </c>
      <c r="J262" s="94">
        <v>57524.39</v>
      </c>
      <c r="K262" s="94">
        <v>49678.81538461538</v>
      </c>
      <c r="L262" s="95">
        <v>0</v>
      </c>
      <c r="M262" s="94">
        <v>-26072.290000000052</v>
      </c>
      <c r="N262" s="94">
        <v>-3088.53</v>
      </c>
      <c r="O262" s="94">
        <v>0</v>
      </c>
      <c r="P262" s="94">
        <v>0</v>
      </c>
      <c r="Q262" s="94">
        <v>0</v>
      </c>
      <c r="R262" s="94">
        <v>0</v>
      </c>
      <c r="S262" s="94">
        <v>-29160.820000000051</v>
      </c>
      <c r="T262" s="94">
        <v>-27594.813076923128</v>
      </c>
      <c r="U262" s="95">
        <v>0</v>
      </c>
      <c r="V262" s="96">
        <v>6.3E-2</v>
      </c>
    </row>
    <row r="263" spans="1:22" ht="13" x14ac:dyDescent="0.3">
      <c r="A263" s="20" t="s">
        <v>951</v>
      </c>
      <c r="B263" s="20">
        <v>39002</v>
      </c>
      <c r="C263" s="20" t="s">
        <v>966</v>
      </c>
      <c r="D263" s="77" t="s">
        <v>441</v>
      </c>
      <c r="E263" s="77" t="s">
        <v>158</v>
      </c>
      <c r="F263" s="94">
        <v>8753.67</v>
      </c>
      <c r="G263" s="94">
        <v>0</v>
      </c>
      <c r="H263" s="94">
        <v>0</v>
      </c>
      <c r="I263" s="94">
        <v>0</v>
      </c>
      <c r="J263" s="94">
        <v>8753.67</v>
      </c>
      <c r="K263" s="94">
        <v>8753.67</v>
      </c>
      <c r="L263" s="95">
        <v>0</v>
      </c>
      <c r="M263" s="94">
        <v>6145.9300000000167</v>
      </c>
      <c r="N263" s="94">
        <v>-218.88000000000002</v>
      </c>
      <c r="O263" s="94">
        <v>0</v>
      </c>
      <c r="P263" s="94">
        <v>0</v>
      </c>
      <c r="Q263" s="94">
        <v>0</v>
      </c>
      <c r="R263" s="94">
        <v>0</v>
      </c>
      <c r="S263" s="94">
        <v>5927.0500000000166</v>
      </c>
      <c r="T263" s="94">
        <v>6036.4900000000189</v>
      </c>
      <c r="U263" s="95">
        <v>0</v>
      </c>
      <c r="V263" s="96">
        <v>2.5000000000000001E-2</v>
      </c>
    </row>
    <row r="264" spans="1:22" ht="13" x14ac:dyDescent="0.3">
      <c r="A264" s="20" t="s">
        <v>951</v>
      </c>
      <c r="B264" s="20">
        <v>39100</v>
      </c>
      <c r="C264" s="20" t="s">
        <v>967</v>
      </c>
      <c r="D264" s="77" t="s">
        <v>442</v>
      </c>
      <c r="E264" s="77" t="s">
        <v>159</v>
      </c>
      <c r="F264" s="94">
        <v>0</v>
      </c>
      <c r="G264" s="94">
        <v>0</v>
      </c>
      <c r="H264" s="94">
        <v>0</v>
      </c>
      <c r="I264" s="94">
        <v>0</v>
      </c>
      <c r="J264" s="94">
        <v>0</v>
      </c>
      <c r="K264" s="94">
        <v>0</v>
      </c>
      <c r="L264" s="95">
        <v>0</v>
      </c>
      <c r="M264" s="94">
        <v>-3623.8699999999894</v>
      </c>
      <c r="N264" s="94">
        <v>0</v>
      </c>
      <c r="O264" s="94">
        <v>0</v>
      </c>
      <c r="P264" s="94">
        <v>0</v>
      </c>
      <c r="Q264" s="94">
        <v>0</v>
      </c>
      <c r="R264" s="94">
        <v>0</v>
      </c>
      <c r="S264" s="94">
        <v>-3623.8699999999894</v>
      </c>
      <c r="T264" s="94">
        <v>-3623.8699999999885</v>
      </c>
      <c r="U264" s="95">
        <v>0</v>
      </c>
      <c r="V264" s="96">
        <v>6.7000000000000004E-2</v>
      </c>
    </row>
    <row r="265" spans="1:22" ht="13" x14ac:dyDescent="0.3">
      <c r="A265" s="20" t="s">
        <v>951</v>
      </c>
      <c r="B265" s="20">
        <v>39101</v>
      </c>
      <c r="C265" s="20" t="s">
        <v>968</v>
      </c>
      <c r="D265" s="77" t="s">
        <v>443</v>
      </c>
      <c r="E265" s="77" t="s">
        <v>160</v>
      </c>
      <c r="F265" s="94">
        <v>1164.1300000000001</v>
      </c>
      <c r="G265" s="94">
        <v>0</v>
      </c>
      <c r="H265" s="94">
        <v>0</v>
      </c>
      <c r="I265" s="94">
        <v>0</v>
      </c>
      <c r="J265" s="94">
        <v>1164.1300000000001</v>
      </c>
      <c r="K265" s="94">
        <v>1164.1300000000006</v>
      </c>
      <c r="L265" s="95">
        <v>0</v>
      </c>
      <c r="M265" s="94">
        <v>-18383.540000000026</v>
      </c>
      <c r="N265" s="94">
        <v>-145.55999999999997</v>
      </c>
      <c r="O265" s="94">
        <v>0</v>
      </c>
      <c r="P265" s="94">
        <v>0</v>
      </c>
      <c r="Q265" s="94">
        <v>0</v>
      </c>
      <c r="R265" s="94">
        <v>0</v>
      </c>
      <c r="S265" s="94">
        <v>-18529.100000000028</v>
      </c>
      <c r="T265" s="94">
        <v>-18456.320000000032</v>
      </c>
      <c r="U265" s="95">
        <v>0</v>
      </c>
      <c r="V265" s="96">
        <v>0.125</v>
      </c>
    </row>
    <row r="266" spans="1:22" ht="13" x14ac:dyDescent="0.3">
      <c r="A266" s="20" t="s">
        <v>951</v>
      </c>
      <c r="B266" s="20">
        <v>39102</v>
      </c>
      <c r="C266" s="20" t="s">
        <v>969</v>
      </c>
      <c r="D266" s="77" t="s">
        <v>444</v>
      </c>
      <c r="E266" s="77" t="s">
        <v>161</v>
      </c>
      <c r="F266" s="94">
        <v>3492.36</v>
      </c>
      <c r="G266" s="94">
        <v>0</v>
      </c>
      <c r="H266" s="94">
        <v>0</v>
      </c>
      <c r="I266" s="94">
        <v>0</v>
      </c>
      <c r="J266" s="94">
        <v>3492.36</v>
      </c>
      <c r="K266" s="94">
        <v>3492.36</v>
      </c>
      <c r="L266" s="95">
        <v>0</v>
      </c>
      <c r="M266" s="94">
        <v>-215.79000000000008</v>
      </c>
      <c r="N266" s="94">
        <v>-234</v>
      </c>
      <c r="O266" s="94">
        <v>0</v>
      </c>
      <c r="P266" s="94">
        <v>0</v>
      </c>
      <c r="Q266" s="94">
        <v>0</v>
      </c>
      <c r="R266" s="94">
        <v>0</v>
      </c>
      <c r="S266" s="94">
        <v>-449.79000000000008</v>
      </c>
      <c r="T266" s="94">
        <v>-332.79</v>
      </c>
      <c r="U266" s="95">
        <v>0</v>
      </c>
      <c r="V266" s="96">
        <v>6.7000000000000004E-2</v>
      </c>
    </row>
    <row r="267" spans="1:22" ht="13" x14ac:dyDescent="0.3">
      <c r="A267" s="20" t="s">
        <v>951</v>
      </c>
      <c r="B267" s="20">
        <v>39201</v>
      </c>
      <c r="C267" s="20" t="s">
        <v>970</v>
      </c>
      <c r="D267" s="77" t="s">
        <v>445</v>
      </c>
      <c r="E267" s="77" t="s">
        <v>163</v>
      </c>
      <c r="F267" s="94">
        <v>0</v>
      </c>
      <c r="G267" s="94">
        <v>0</v>
      </c>
      <c r="H267" s="94">
        <v>0</v>
      </c>
      <c r="I267" s="94">
        <v>0</v>
      </c>
      <c r="J267" s="94">
        <v>0</v>
      </c>
      <c r="K267" s="94">
        <v>0</v>
      </c>
      <c r="L267" s="95">
        <v>0</v>
      </c>
      <c r="M267" s="94">
        <v>-4393.54000000001</v>
      </c>
      <c r="N267" s="94">
        <v>0</v>
      </c>
      <c r="O267" s="94">
        <v>0</v>
      </c>
      <c r="P267" s="94">
        <v>0</v>
      </c>
      <c r="Q267" s="94">
        <v>0</v>
      </c>
      <c r="R267" s="94">
        <v>0</v>
      </c>
      <c r="S267" s="94">
        <v>-4393.54000000001</v>
      </c>
      <c r="T267" s="94">
        <v>-4393.5400000000091</v>
      </c>
      <c r="U267" s="95">
        <v>0</v>
      </c>
      <c r="V267" s="96">
        <v>0.112</v>
      </c>
    </row>
    <row r="268" spans="1:22" ht="13" x14ac:dyDescent="0.3">
      <c r="A268" s="20" t="s">
        <v>951</v>
      </c>
      <c r="B268" s="20">
        <v>39202</v>
      </c>
      <c r="C268" s="20" t="s">
        <v>971</v>
      </c>
      <c r="D268" s="77" t="s">
        <v>446</v>
      </c>
      <c r="E268" s="77" t="s">
        <v>164</v>
      </c>
      <c r="F268" s="94">
        <v>64896.66</v>
      </c>
      <c r="G268" s="94">
        <v>-629.23</v>
      </c>
      <c r="H268" s="94">
        <v>0</v>
      </c>
      <c r="I268" s="94">
        <v>0</v>
      </c>
      <c r="J268" s="94">
        <v>64267.43</v>
      </c>
      <c r="K268" s="94">
        <v>64799.85538461541</v>
      </c>
      <c r="L268" s="95">
        <v>0</v>
      </c>
      <c r="M268" s="94">
        <v>-17853.159999999989</v>
      </c>
      <c r="N268" s="94">
        <v>-8235.1799999999985</v>
      </c>
      <c r="O268" s="94">
        <v>0</v>
      </c>
      <c r="P268" s="94">
        <v>0</v>
      </c>
      <c r="Q268" s="94">
        <v>0</v>
      </c>
      <c r="R268" s="94">
        <v>0</v>
      </c>
      <c r="S268" s="94">
        <v>-26088.339999999989</v>
      </c>
      <c r="T268" s="94">
        <v>-21973.567692307679</v>
      </c>
      <c r="U268" s="95">
        <v>0</v>
      </c>
      <c r="V268" s="96">
        <v>0.127</v>
      </c>
    </row>
    <row r="269" spans="1:22" ht="13" x14ac:dyDescent="0.3">
      <c r="A269" s="20" t="s">
        <v>951</v>
      </c>
      <c r="B269" s="20">
        <v>39204</v>
      </c>
      <c r="C269" s="20" t="s">
        <v>972</v>
      </c>
      <c r="D269" s="77" t="s">
        <v>447</v>
      </c>
      <c r="E269" s="77" t="s">
        <v>166</v>
      </c>
      <c r="F269" s="94">
        <v>7515.5</v>
      </c>
      <c r="G269" s="94">
        <v>0</v>
      </c>
      <c r="H269" s="94">
        <v>0</v>
      </c>
      <c r="I269" s="94">
        <v>0</v>
      </c>
      <c r="J269" s="94">
        <v>7515.5</v>
      </c>
      <c r="K269" s="94">
        <v>7515.5</v>
      </c>
      <c r="L269" s="95">
        <v>0</v>
      </c>
      <c r="M269" s="94">
        <v>-580.62999999999988</v>
      </c>
      <c r="N269" s="94">
        <v>-300.60000000000008</v>
      </c>
      <c r="O269" s="94">
        <v>0</v>
      </c>
      <c r="P269" s="94">
        <v>0</v>
      </c>
      <c r="Q269" s="94">
        <v>0</v>
      </c>
      <c r="R269" s="94">
        <v>0</v>
      </c>
      <c r="S269" s="94">
        <v>-881.23</v>
      </c>
      <c r="T269" s="94">
        <v>-730.92999999999972</v>
      </c>
      <c r="U269" s="95">
        <v>0</v>
      </c>
      <c r="V269" s="96">
        <v>0.04</v>
      </c>
    </row>
    <row r="270" spans="1:22" ht="13" x14ac:dyDescent="0.3">
      <c r="A270" s="20" t="s">
        <v>951</v>
      </c>
      <c r="B270" s="20">
        <v>39400</v>
      </c>
      <c r="C270" s="20" t="s">
        <v>973</v>
      </c>
      <c r="D270" s="77" t="s">
        <v>448</v>
      </c>
      <c r="E270" s="77" t="s">
        <v>169</v>
      </c>
      <c r="F270" s="94">
        <v>2919.2200000000012</v>
      </c>
      <c r="G270" s="94">
        <v>2113.77</v>
      </c>
      <c r="H270" s="94">
        <v>0</v>
      </c>
      <c r="I270" s="94">
        <v>0</v>
      </c>
      <c r="J270" s="94">
        <v>5032.9900000000016</v>
      </c>
      <c r="K270" s="94">
        <v>3569.6107692307705</v>
      </c>
      <c r="L270" s="95">
        <v>0</v>
      </c>
      <c r="M270" s="94">
        <v>-8440.8000000000029</v>
      </c>
      <c r="N270" s="94">
        <v>-227.58</v>
      </c>
      <c r="O270" s="94">
        <v>0</v>
      </c>
      <c r="P270" s="94">
        <v>0</v>
      </c>
      <c r="Q270" s="94">
        <v>0</v>
      </c>
      <c r="R270" s="94">
        <v>0</v>
      </c>
      <c r="S270" s="94">
        <v>-8668.3800000000028</v>
      </c>
      <c r="T270" s="94">
        <v>-8542.5230769230766</v>
      </c>
      <c r="U270" s="95">
        <v>0</v>
      </c>
      <c r="V270" s="96">
        <v>6.6000000000000003E-2</v>
      </c>
    </row>
    <row r="271" spans="1:22" ht="13" x14ac:dyDescent="0.3">
      <c r="A271" s="20" t="s">
        <v>951</v>
      </c>
      <c r="B271" s="20">
        <v>39600</v>
      </c>
      <c r="C271" s="20" t="s">
        <v>974</v>
      </c>
      <c r="D271" s="77" t="s">
        <v>449</v>
      </c>
      <c r="E271" s="77" t="s">
        <v>171</v>
      </c>
      <c r="F271" s="94">
        <v>45864.66</v>
      </c>
      <c r="G271" s="94">
        <v>0</v>
      </c>
      <c r="H271" s="94">
        <v>0</v>
      </c>
      <c r="I271" s="94">
        <v>0</v>
      </c>
      <c r="J271" s="94">
        <v>45864.66</v>
      </c>
      <c r="K271" s="94">
        <v>45864.660000000018</v>
      </c>
      <c r="L271" s="95">
        <v>0</v>
      </c>
      <c r="M271" s="94">
        <v>-60836.94</v>
      </c>
      <c r="N271" s="94">
        <v>-2935.3200000000011</v>
      </c>
      <c r="O271" s="94">
        <v>0</v>
      </c>
      <c r="P271" s="94">
        <v>0</v>
      </c>
      <c r="Q271" s="94">
        <v>0</v>
      </c>
      <c r="R271" s="94">
        <v>0</v>
      </c>
      <c r="S271" s="94">
        <v>-63772.26</v>
      </c>
      <c r="T271" s="94">
        <v>-62304.600000000013</v>
      </c>
      <c r="U271" s="95">
        <v>0</v>
      </c>
      <c r="V271" s="96">
        <v>6.4000000000000001E-2</v>
      </c>
    </row>
    <row r="272" spans="1:22" ht="13" x14ac:dyDescent="0.3">
      <c r="A272" s="20" t="s">
        <v>951</v>
      </c>
      <c r="B272" s="20">
        <v>39700</v>
      </c>
      <c r="C272" s="20" t="s">
        <v>975</v>
      </c>
      <c r="D272" s="77" t="s">
        <v>450</v>
      </c>
      <c r="E272" s="77" t="s">
        <v>172</v>
      </c>
      <c r="F272" s="94">
        <v>0</v>
      </c>
      <c r="G272" s="94">
        <v>0</v>
      </c>
      <c r="H272" s="94">
        <v>0</v>
      </c>
      <c r="I272" s="94">
        <v>0</v>
      </c>
      <c r="J272" s="94">
        <v>0</v>
      </c>
      <c r="K272" s="94">
        <v>0</v>
      </c>
      <c r="L272" s="95">
        <v>0</v>
      </c>
      <c r="M272" s="94">
        <v>17233.439999999999</v>
      </c>
      <c r="N272" s="94">
        <v>0</v>
      </c>
      <c r="O272" s="94">
        <v>0</v>
      </c>
      <c r="P272" s="94">
        <v>0</v>
      </c>
      <c r="Q272" s="94">
        <v>0</v>
      </c>
      <c r="R272" s="94">
        <v>0</v>
      </c>
      <c r="S272" s="94">
        <v>17233.439999999999</v>
      </c>
      <c r="T272" s="94">
        <v>17233.439999999999</v>
      </c>
      <c r="U272" s="95">
        <v>0</v>
      </c>
      <c r="V272" s="96">
        <v>8.4000000000000005E-2</v>
      </c>
    </row>
    <row r="273" spans="1:22" ht="13" x14ac:dyDescent="0.3">
      <c r="A273" s="20" t="s">
        <v>951</v>
      </c>
      <c r="B273" s="20">
        <v>39800</v>
      </c>
      <c r="C273" s="20" t="s">
        <v>976</v>
      </c>
      <c r="D273" s="77" t="s">
        <v>451</v>
      </c>
      <c r="E273" s="77" t="s">
        <v>173</v>
      </c>
      <c r="F273" s="94">
        <v>2865.0400000000004</v>
      </c>
      <c r="G273" s="94">
        <v>309.21000000000004</v>
      </c>
      <c r="H273" s="94">
        <v>0</v>
      </c>
      <c r="I273" s="94">
        <v>0</v>
      </c>
      <c r="J273" s="94">
        <v>3174.2500000000005</v>
      </c>
      <c r="K273" s="94">
        <v>1817.5623076923077</v>
      </c>
      <c r="L273" s="95">
        <v>0</v>
      </c>
      <c r="M273" s="94">
        <v>435.02999999999827</v>
      </c>
      <c r="N273" s="94">
        <v>-100.58999999999997</v>
      </c>
      <c r="O273" s="94">
        <v>0</v>
      </c>
      <c r="P273" s="94">
        <v>0</v>
      </c>
      <c r="Q273" s="94">
        <v>0</v>
      </c>
      <c r="R273" s="94">
        <v>0</v>
      </c>
      <c r="S273" s="94">
        <v>334.43999999999829</v>
      </c>
      <c r="T273" s="94">
        <v>383.50384615384439</v>
      </c>
      <c r="U273" s="95">
        <v>0</v>
      </c>
      <c r="V273" s="96">
        <v>5.8999999999999997E-2</v>
      </c>
    </row>
    <row r="274" spans="1:22" ht="13" x14ac:dyDescent="0.3">
      <c r="A274" s="20" t="s">
        <v>977</v>
      </c>
      <c r="B274" s="20">
        <v>30301</v>
      </c>
      <c r="C274" s="20" t="s">
        <v>978</v>
      </c>
      <c r="D274" s="77" t="s">
        <v>452</v>
      </c>
      <c r="E274" s="77" t="s">
        <v>141</v>
      </c>
      <c r="F274" s="94">
        <v>90051.489999999991</v>
      </c>
      <c r="G274" s="94">
        <v>0</v>
      </c>
      <c r="H274" s="94">
        <v>0</v>
      </c>
      <c r="I274" s="94">
        <v>0</v>
      </c>
      <c r="J274" s="94">
        <v>90051.489999999991</v>
      </c>
      <c r="K274" s="94">
        <v>90309.873076923061</v>
      </c>
      <c r="L274" s="95">
        <v>0</v>
      </c>
      <c r="M274" s="94">
        <v>-85129.219999999812</v>
      </c>
      <c r="N274" s="94">
        <v>-4922.2700000000004</v>
      </c>
      <c r="O274" s="94">
        <v>0</v>
      </c>
      <c r="P274" s="94">
        <v>0</v>
      </c>
      <c r="Q274" s="94">
        <v>0</v>
      </c>
      <c r="R274" s="94">
        <v>0</v>
      </c>
      <c r="S274" s="94">
        <v>-90051.489999999816</v>
      </c>
      <c r="T274" s="94">
        <v>-88009.882307692067</v>
      </c>
      <c r="U274" s="95">
        <v>0</v>
      </c>
      <c r="V274" s="96">
        <v>6.7000000000000004E-2</v>
      </c>
    </row>
    <row r="275" spans="1:22" ht="13" x14ac:dyDescent="0.3">
      <c r="A275" s="20" t="s">
        <v>977</v>
      </c>
      <c r="B275" s="20">
        <v>37400</v>
      </c>
      <c r="C275" s="20" t="s">
        <v>979</v>
      </c>
      <c r="D275" s="77" t="s">
        <v>453</v>
      </c>
      <c r="E275" s="77" t="s">
        <v>142</v>
      </c>
      <c r="F275" s="94">
        <v>292426.59999999998</v>
      </c>
      <c r="G275" s="94">
        <v>-21805.23</v>
      </c>
      <c r="H275" s="94">
        <v>0</v>
      </c>
      <c r="I275" s="94">
        <v>0</v>
      </c>
      <c r="J275" s="94">
        <v>270621.37</v>
      </c>
      <c r="K275" s="94">
        <v>280685.32230769238</v>
      </c>
      <c r="L275" s="95">
        <v>0</v>
      </c>
      <c r="M275" s="94">
        <v>0</v>
      </c>
      <c r="N275" s="94">
        <v>0</v>
      </c>
      <c r="O275" s="94">
        <v>0</v>
      </c>
      <c r="P275" s="94">
        <v>0</v>
      </c>
      <c r="Q275" s="94">
        <v>0</v>
      </c>
      <c r="R275" s="94">
        <v>0</v>
      </c>
      <c r="S275" s="94">
        <v>0</v>
      </c>
      <c r="T275" s="94">
        <v>0</v>
      </c>
      <c r="U275" s="95">
        <v>0</v>
      </c>
      <c r="V275" s="96">
        <v>0</v>
      </c>
    </row>
    <row r="276" spans="1:22" ht="13" x14ac:dyDescent="0.3">
      <c r="A276" s="20" t="s">
        <v>977</v>
      </c>
      <c r="B276" s="20">
        <v>37402</v>
      </c>
      <c r="C276" s="20" t="s">
        <v>980</v>
      </c>
      <c r="D276" s="77" t="s">
        <v>454</v>
      </c>
      <c r="E276" s="77" t="s">
        <v>143</v>
      </c>
      <c r="F276" s="94">
        <v>78599.64</v>
      </c>
      <c r="G276" s="94">
        <v>0</v>
      </c>
      <c r="H276" s="94">
        <v>0</v>
      </c>
      <c r="I276" s="94">
        <v>0</v>
      </c>
      <c r="J276" s="94">
        <v>78599.64</v>
      </c>
      <c r="K276" s="94">
        <v>78599.64</v>
      </c>
      <c r="L276" s="95">
        <v>0</v>
      </c>
      <c r="M276" s="94">
        <v>7455.0600000000195</v>
      </c>
      <c r="N276" s="94">
        <v>-1021.7999999999998</v>
      </c>
      <c r="O276" s="94">
        <v>0</v>
      </c>
      <c r="P276" s="94">
        <v>0</v>
      </c>
      <c r="Q276" s="94">
        <v>0</v>
      </c>
      <c r="R276" s="94">
        <v>0</v>
      </c>
      <c r="S276" s="94">
        <v>6433.2600000000193</v>
      </c>
      <c r="T276" s="94">
        <v>6944.1600000000226</v>
      </c>
      <c r="U276" s="95">
        <v>0</v>
      </c>
      <c r="V276" s="96">
        <v>1.2999999999999999E-2</v>
      </c>
    </row>
    <row r="277" spans="1:22" ht="13" x14ac:dyDescent="0.3">
      <c r="A277" s="20" t="s">
        <v>977</v>
      </c>
      <c r="B277" s="20">
        <v>37500</v>
      </c>
      <c r="C277" s="20" t="s">
        <v>981</v>
      </c>
      <c r="D277" s="77" t="s">
        <v>455</v>
      </c>
      <c r="E277" s="77" t="s">
        <v>144</v>
      </c>
      <c r="F277" s="94">
        <v>1163233.4400000002</v>
      </c>
      <c r="G277" s="94">
        <v>8545.58</v>
      </c>
      <c r="H277" s="94">
        <v>0</v>
      </c>
      <c r="I277" s="94">
        <v>0</v>
      </c>
      <c r="J277" s="94">
        <v>1171779.0200000003</v>
      </c>
      <c r="K277" s="94">
        <v>1167834.9061538461</v>
      </c>
      <c r="L277" s="95">
        <v>0</v>
      </c>
      <c r="M277" s="94">
        <v>-376972.14000000065</v>
      </c>
      <c r="N277" s="94">
        <v>-29187.659999999996</v>
      </c>
      <c r="O277" s="94">
        <v>0</v>
      </c>
      <c r="P277" s="94">
        <v>0</v>
      </c>
      <c r="Q277" s="94">
        <v>0</v>
      </c>
      <c r="R277" s="94">
        <v>0</v>
      </c>
      <c r="S277" s="94">
        <v>-406159.80000000063</v>
      </c>
      <c r="T277" s="94">
        <v>-391541.31000000081</v>
      </c>
      <c r="U277" s="95">
        <v>0</v>
      </c>
      <c r="V277" s="96">
        <v>2.5000000000000001E-2</v>
      </c>
    </row>
    <row r="278" spans="1:22" ht="13" x14ac:dyDescent="0.3">
      <c r="A278" s="20" t="s">
        <v>977</v>
      </c>
      <c r="B278" s="20">
        <v>37600</v>
      </c>
      <c r="C278" s="20" t="s">
        <v>982</v>
      </c>
      <c r="D278" s="77" t="s">
        <v>456</v>
      </c>
      <c r="E278" s="77" t="s">
        <v>145</v>
      </c>
      <c r="F278" s="94">
        <v>13435251.010000005</v>
      </c>
      <c r="G278" s="94">
        <v>580102.26</v>
      </c>
      <c r="H278" s="94">
        <v>-98619.680000000008</v>
      </c>
      <c r="I278" s="94">
        <v>0</v>
      </c>
      <c r="J278" s="94">
        <v>13916733.590000005</v>
      </c>
      <c r="K278" s="94">
        <v>13842717.501538465</v>
      </c>
      <c r="L278" s="95">
        <v>0</v>
      </c>
      <c r="M278" s="94">
        <v>-6733290.7599999988</v>
      </c>
      <c r="N278" s="94">
        <v>-581135.1</v>
      </c>
      <c r="O278" s="94">
        <v>98619.680000000008</v>
      </c>
      <c r="P278" s="94">
        <v>199752.03</v>
      </c>
      <c r="Q278" s="94">
        <v>0</v>
      </c>
      <c r="R278" s="94">
        <v>0</v>
      </c>
      <c r="S278" s="94">
        <v>-7016054.1499999985</v>
      </c>
      <c r="T278" s="94">
        <v>-6833079.0299999975</v>
      </c>
      <c r="U278" s="95">
        <v>0</v>
      </c>
      <c r="V278" s="96">
        <v>4.2000000000000003E-2</v>
      </c>
    </row>
    <row r="279" spans="1:22" ht="13" x14ac:dyDescent="0.3">
      <c r="A279" s="20" t="s">
        <v>977</v>
      </c>
      <c r="B279" s="20">
        <v>37602</v>
      </c>
      <c r="C279" s="20" t="s">
        <v>983</v>
      </c>
      <c r="D279" s="77" t="s">
        <v>457</v>
      </c>
      <c r="E279" s="77" t="s">
        <v>146</v>
      </c>
      <c r="F279" s="94">
        <v>45733757.459999964</v>
      </c>
      <c r="G279" s="94">
        <v>5047615.08</v>
      </c>
      <c r="H279" s="94">
        <v>-49554.670000000006</v>
      </c>
      <c r="I279" s="94">
        <v>0</v>
      </c>
      <c r="J279" s="94">
        <v>50731817.86999996</v>
      </c>
      <c r="K279" s="94">
        <v>48121319.769999973</v>
      </c>
      <c r="L279" s="95">
        <v>0</v>
      </c>
      <c r="M279" s="94">
        <v>-16188210.460000006</v>
      </c>
      <c r="N279" s="94">
        <v>-1485017.1199999999</v>
      </c>
      <c r="O279" s="94">
        <v>49554.670000000006</v>
      </c>
      <c r="P279" s="94">
        <v>189680.82</v>
      </c>
      <c r="Q279" s="94">
        <v>0</v>
      </c>
      <c r="R279" s="94">
        <v>0</v>
      </c>
      <c r="S279" s="94">
        <v>-17433992.090000004</v>
      </c>
      <c r="T279" s="94">
        <v>-16803374.420769237</v>
      </c>
      <c r="U279" s="95">
        <v>0</v>
      </c>
      <c r="V279" s="96">
        <v>3.1E-2</v>
      </c>
    </row>
    <row r="280" spans="1:22" ht="13" x14ac:dyDescent="0.3">
      <c r="A280" s="20" t="s">
        <v>977</v>
      </c>
      <c r="B280" s="20">
        <v>37602</v>
      </c>
      <c r="C280" s="20" t="s">
        <v>983</v>
      </c>
      <c r="D280" s="77" t="s">
        <v>458</v>
      </c>
      <c r="E280" s="77" t="s">
        <v>146</v>
      </c>
      <c r="F280" s="94">
        <v>0</v>
      </c>
      <c r="G280" s="94">
        <v>0</v>
      </c>
      <c r="H280" s="94">
        <v>0</v>
      </c>
      <c r="I280" s="94">
        <v>0</v>
      </c>
      <c r="J280" s="94">
        <v>0</v>
      </c>
      <c r="K280" s="94">
        <v>0</v>
      </c>
      <c r="L280" s="95">
        <v>0</v>
      </c>
      <c r="M280" s="94">
        <v>0</v>
      </c>
      <c r="N280" s="94">
        <v>0</v>
      </c>
      <c r="O280" s="94">
        <v>0</v>
      </c>
      <c r="P280" s="94">
        <v>0</v>
      </c>
      <c r="Q280" s="94">
        <v>0</v>
      </c>
      <c r="R280" s="94">
        <v>0</v>
      </c>
      <c r="S280" s="94">
        <v>0</v>
      </c>
      <c r="T280" s="94">
        <v>0</v>
      </c>
      <c r="U280" s="95">
        <v>0</v>
      </c>
      <c r="V280" s="96">
        <v>3.1E-2</v>
      </c>
    </row>
    <row r="281" spans="1:22" ht="13" x14ac:dyDescent="0.3">
      <c r="A281" s="20" t="s">
        <v>977</v>
      </c>
      <c r="B281" s="20">
        <v>37602</v>
      </c>
      <c r="C281" s="20" t="s">
        <v>983</v>
      </c>
      <c r="D281" s="77" t="s">
        <v>459</v>
      </c>
      <c r="E281" s="77" t="s">
        <v>146</v>
      </c>
      <c r="F281" s="94">
        <v>0</v>
      </c>
      <c r="G281" s="94">
        <v>0</v>
      </c>
      <c r="H281" s="94">
        <v>0</v>
      </c>
      <c r="I281" s="94">
        <v>0</v>
      </c>
      <c r="J281" s="94">
        <v>0</v>
      </c>
      <c r="K281" s="94">
        <v>0</v>
      </c>
      <c r="L281" s="95">
        <v>0</v>
      </c>
      <c r="M281" s="94">
        <v>0</v>
      </c>
      <c r="N281" s="94">
        <v>0</v>
      </c>
      <c r="O281" s="94">
        <v>0</v>
      </c>
      <c r="P281" s="94">
        <v>0</v>
      </c>
      <c r="Q281" s="94">
        <v>0</v>
      </c>
      <c r="R281" s="94">
        <v>0</v>
      </c>
      <c r="S281" s="94">
        <v>0</v>
      </c>
      <c r="T281" s="94">
        <v>0</v>
      </c>
      <c r="U281" s="95">
        <v>0</v>
      </c>
      <c r="V281" s="96">
        <v>3.1E-2</v>
      </c>
    </row>
    <row r="282" spans="1:22" ht="13" x14ac:dyDescent="0.3">
      <c r="A282" s="20" t="s">
        <v>977</v>
      </c>
      <c r="B282" s="20">
        <v>37800</v>
      </c>
      <c r="C282" s="20" t="s">
        <v>984</v>
      </c>
      <c r="D282" s="77" t="s">
        <v>460</v>
      </c>
      <c r="E282" s="77" t="s">
        <v>147</v>
      </c>
      <c r="F282" s="94">
        <v>918278.89999999991</v>
      </c>
      <c r="G282" s="94">
        <v>191688.46</v>
      </c>
      <c r="H282" s="94">
        <v>-45188.4</v>
      </c>
      <c r="I282" s="94">
        <v>0</v>
      </c>
      <c r="J282" s="94">
        <v>1064778.96</v>
      </c>
      <c r="K282" s="94">
        <v>957262.97846153833</v>
      </c>
      <c r="L282" s="95">
        <v>0</v>
      </c>
      <c r="M282" s="94">
        <v>-296213.84999999974</v>
      </c>
      <c r="N282" s="94">
        <v>-32242.280000000002</v>
      </c>
      <c r="O282" s="94">
        <v>45188.4</v>
      </c>
      <c r="P282" s="94">
        <v>6963.91</v>
      </c>
      <c r="Q282" s="94">
        <v>0</v>
      </c>
      <c r="R282" s="94">
        <v>0</v>
      </c>
      <c r="S282" s="94">
        <v>-276303.81999999977</v>
      </c>
      <c r="T282" s="94">
        <v>-280973.07461538434</v>
      </c>
      <c r="U282" s="95">
        <v>0</v>
      </c>
      <c r="V282" s="96">
        <v>3.4000000000000002E-2</v>
      </c>
    </row>
    <row r="283" spans="1:22" ht="13" x14ac:dyDescent="0.3">
      <c r="A283" s="20" t="s">
        <v>977</v>
      </c>
      <c r="B283" s="20">
        <v>37900</v>
      </c>
      <c r="C283" s="20" t="s">
        <v>985</v>
      </c>
      <c r="D283" s="77" t="s">
        <v>461</v>
      </c>
      <c r="E283" s="77" t="s">
        <v>148</v>
      </c>
      <c r="F283" s="94">
        <v>2585082.39</v>
      </c>
      <c r="G283" s="94">
        <v>40424.010000000009</v>
      </c>
      <c r="H283" s="94">
        <v>0</v>
      </c>
      <c r="I283" s="94">
        <v>0</v>
      </c>
      <c r="J283" s="94">
        <v>2625506.4000000004</v>
      </c>
      <c r="K283" s="94">
        <v>2615184.2861538464</v>
      </c>
      <c r="L283" s="95">
        <v>0</v>
      </c>
      <c r="M283" s="94">
        <v>-391196.9000000002</v>
      </c>
      <c r="N283" s="94">
        <v>-88887.010000000009</v>
      </c>
      <c r="O283" s="94">
        <v>0</v>
      </c>
      <c r="P283" s="94">
        <v>0</v>
      </c>
      <c r="Q283" s="94">
        <v>0</v>
      </c>
      <c r="R283" s="94">
        <v>0</v>
      </c>
      <c r="S283" s="94">
        <v>-480083.91000000021</v>
      </c>
      <c r="T283" s="94">
        <v>-435476.85846153874</v>
      </c>
      <c r="U283" s="95">
        <v>0</v>
      </c>
      <c r="V283" s="96">
        <v>3.4000000000000002E-2</v>
      </c>
    </row>
    <row r="284" spans="1:22" ht="13" x14ac:dyDescent="0.3">
      <c r="A284" s="20" t="s">
        <v>977</v>
      </c>
      <c r="B284" s="20">
        <v>38000</v>
      </c>
      <c r="C284" s="20" t="s">
        <v>986</v>
      </c>
      <c r="D284" s="77" t="s">
        <v>462</v>
      </c>
      <c r="E284" s="77" t="s">
        <v>149</v>
      </c>
      <c r="F284" s="94">
        <v>551112.63000000024</v>
      </c>
      <c r="G284" s="94">
        <v>14003.369999999999</v>
      </c>
      <c r="H284" s="94">
        <v>-16256.84</v>
      </c>
      <c r="I284" s="94">
        <v>0</v>
      </c>
      <c r="J284" s="94">
        <v>548859.16000000027</v>
      </c>
      <c r="K284" s="94">
        <v>552127.71307692339</v>
      </c>
      <c r="L284" s="95">
        <v>0</v>
      </c>
      <c r="M284" s="94">
        <v>-23625.490000000034</v>
      </c>
      <c r="N284" s="94">
        <v>-36458.420000000006</v>
      </c>
      <c r="O284" s="94">
        <v>16256.84</v>
      </c>
      <c r="P284" s="94">
        <v>23924.1</v>
      </c>
      <c r="Q284" s="94">
        <v>0</v>
      </c>
      <c r="R284" s="94">
        <v>0</v>
      </c>
      <c r="S284" s="94">
        <v>-19902.970000000038</v>
      </c>
      <c r="T284" s="94">
        <v>-24014.404615384647</v>
      </c>
      <c r="U284" s="95">
        <v>0</v>
      </c>
      <c r="V284" s="96">
        <v>6.5999999999999989E-2</v>
      </c>
    </row>
    <row r="285" spans="1:22" ht="13" x14ac:dyDescent="0.3">
      <c r="A285" s="20" t="s">
        <v>977</v>
      </c>
      <c r="B285" s="20">
        <v>38002</v>
      </c>
      <c r="C285" s="20" t="s">
        <v>987</v>
      </c>
      <c r="D285" s="77" t="s">
        <v>463</v>
      </c>
      <c r="E285" s="77" t="s">
        <v>150</v>
      </c>
      <c r="F285" s="94">
        <v>25081534.859999981</v>
      </c>
      <c r="G285" s="94">
        <v>2000893.9900000002</v>
      </c>
      <c r="H285" s="94">
        <v>-39532.620000000003</v>
      </c>
      <c r="I285" s="94">
        <v>0</v>
      </c>
      <c r="J285" s="94">
        <v>27042896.229999978</v>
      </c>
      <c r="K285" s="94">
        <v>25971769.3353846</v>
      </c>
      <c r="L285" s="95">
        <v>0</v>
      </c>
      <c r="M285" s="94">
        <v>-13324581.619999999</v>
      </c>
      <c r="N285" s="94">
        <v>-1294125.45</v>
      </c>
      <c r="O285" s="94">
        <v>39532.620000000003</v>
      </c>
      <c r="P285" s="94">
        <v>118301.03999999998</v>
      </c>
      <c r="Q285" s="94">
        <v>0</v>
      </c>
      <c r="R285" s="94">
        <v>0</v>
      </c>
      <c r="S285" s="94">
        <v>-14460873.41</v>
      </c>
      <c r="T285" s="94">
        <v>-13894549.126923077</v>
      </c>
      <c r="U285" s="95">
        <v>0</v>
      </c>
      <c r="V285" s="96">
        <v>0.05</v>
      </c>
    </row>
    <row r="286" spans="1:22" ht="13" x14ac:dyDescent="0.3">
      <c r="A286" s="20" t="s">
        <v>977</v>
      </c>
      <c r="B286" s="20">
        <v>38200</v>
      </c>
      <c r="C286" s="20" t="s">
        <v>988</v>
      </c>
      <c r="D286" s="77" t="s">
        <v>464</v>
      </c>
      <c r="E286" s="77" t="s">
        <v>152</v>
      </c>
      <c r="F286" s="94">
        <v>4268218.7400000012</v>
      </c>
      <c r="G286" s="94">
        <v>240187.19999999995</v>
      </c>
      <c r="H286" s="94">
        <v>-17154.46</v>
      </c>
      <c r="I286" s="94">
        <v>0</v>
      </c>
      <c r="J286" s="94">
        <v>4491251.4800000014</v>
      </c>
      <c r="K286" s="94">
        <v>4369655.3900000015</v>
      </c>
      <c r="L286" s="95">
        <v>0</v>
      </c>
      <c r="M286" s="94">
        <v>-2209216.9399999995</v>
      </c>
      <c r="N286" s="94">
        <v>-196178.53</v>
      </c>
      <c r="O286" s="94">
        <v>17154.46</v>
      </c>
      <c r="P286" s="94">
        <v>4948.57</v>
      </c>
      <c r="Q286" s="94">
        <v>0</v>
      </c>
      <c r="R286" s="94">
        <v>0</v>
      </c>
      <c r="S286" s="94">
        <v>-2383292.4399999995</v>
      </c>
      <c r="T286" s="94">
        <v>-2299296.6230769227</v>
      </c>
      <c r="U286" s="95">
        <v>0</v>
      </c>
      <c r="V286" s="96">
        <v>4.4999999999999998E-2</v>
      </c>
    </row>
    <row r="287" spans="1:22" ht="13" x14ac:dyDescent="0.3">
      <c r="A287" s="20" t="s">
        <v>977</v>
      </c>
      <c r="B287" s="20">
        <v>38300</v>
      </c>
      <c r="C287" s="20" t="s">
        <v>989</v>
      </c>
      <c r="D287" s="77" t="s">
        <v>465</v>
      </c>
      <c r="E287" s="77" t="s">
        <v>153</v>
      </c>
      <c r="F287" s="94">
        <v>648327.99999999988</v>
      </c>
      <c r="G287" s="94">
        <v>20879.57</v>
      </c>
      <c r="H287" s="94">
        <v>-1151.27</v>
      </c>
      <c r="I287" s="94">
        <v>0</v>
      </c>
      <c r="J287" s="94">
        <v>668056.29999999981</v>
      </c>
      <c r="K287" s="94">
        <v>656751.74615384615</v>
      </c>
      <c r="L287" s="95">
        <v>0</v>
      </c>
      <c r="M287" s="94">
        <v>-292497.39999999967</v>
      </c>
      <c r="N287" s="94">
        <v>-23609.17</v>
      </c>
      <c r="O287" s="94">
        <v>1151.27</v>
      </c>
      <c r="P287" s="94">
        <v>0</v>
      </c>
      <c r="Q287" s="94">
        <v>0</v>
      </c>
      <c r="R287" s="94">
        <v>0</v>
      </c>
      <c r="S287" s="94">
        <v>-314955.29999999964</v>
      </c>
      <c r="T287" s="94">
        <v>-304173.02461538423</v>
      </c>
      <c r="U287" s="95">
        <v>0</v>
      </c>
      <c r="V287" s="96">
        <v>3.5999999999999997E-2</v>
      </c>
    </row>
    <row r="288" spans="1:22" ht="13" x14ac:dyDescent="0.3">
      <c r="A288" s="20" t="s">
        <v>977</v>
      </c>
      <c r="B288" s="20">
        <v>38400</v>
      </c>
      <c r="C288" s="20" t="s">
        <v>990</v>
      </c>
      <c r="D288" s="77" t="s">
        <v>466</v>
      </c>
      <c r="E288" s="77" t="s">
        <v>154</v>
      </c>
      <c r="F288" s="94">
        <v>1840531.3399999989</v>
      </c>
      <c r="G288" s="94">
        <v>80062.44</v>
      </c>
      <c r="H288" s="94">
        <v>-1703.88</v>
      </c>
      <c r="I288" s="94">
        <v>0</v>
      </c>
      <c r="J288" s="94">
        <v>1918889.899999999</v>
      </c>
      <c r="K288" s="94">
        <v>1888194.4807692298</v>
      </c>
      <c r="L288" s="95">
        <v>0</v>
      </c>
      <c r="M288" s="94">
        <v>-1017939.8499999996</v>
      </c>
      <c r="N288" s="94">
        <v>-84853.639999999985</v>
      </c>
      <c r="O288" s="94">
        <v>1703.88</v>
      </c>
      <c r="P288" s="94">
        <v>1019.3299999999999</v>
      </c>
      <c r="Q288" s="94">
        <v>0</v>
      </c>
      <c r="R288" s="94">
        <v>0</v>
      </c>
      <c r="S288" s="94">
        <v>-1100070.2799999996</v>
      </c>
      <c r="T288" s="94">
        <v>-1057691.0361538457</v>
      </c>
      <c r="U288" s="95">
        <v>0</v>
      </c>
      <c r="V288" s="96">
        <v>4.4999999999999998E-2</v>
      </c>
    </row>
    <row r="289" spans="1:23" ht="13" x14ac:dyDescent="0.3">
      <c r="A289" s="20" t="s">
        <v>977</v>
      </c>
      <c r="B289" s="20">
        <v>38500</v>
      </c>
      <c r="C289" s="20" t="s">
        <v>991</v>
      </c>
      <c r="D289" s="77" t="s">
        <v>467</v>
      </c>
      <c r="E289" s="77" t="s">
        <v>155</v>
      </c>
      <c r="F289" s="94">
        <v>360759.32999999996</v>
      </c>
      <c r="G289" s="94">
        <v>0</v>
      </c>
      <c r="H289" s="94">
        <v>0</v>
      </c>
      <c r="I289" s="94">
        <v>0</v>
      </c>
      <c r="J289" s="94">
        <v>360759.32999999996</v>
      </c>
      <c r="K289" s="94">
        <v>360759.33</v>
      </c>
      <c r="L289" s="95">
        <v>0</v>
      </c>
      <c r="M289" s="94">
        <v>-173787.14999999982</v>
      </c>
      <c r="N289" s="94">
        <v>-11183.519999999997</v>
      </c>
      <c r="O289" s="94">
        <v>0</v>
      </c>
      <c r="P289" s="94">
        <v>0</v>
      </c>
      <c r="Q289" s="94">
        <v>0</v>
      </c>
      <c r="R289" s="94">
        <v>0</v>
      </c>
      <c r="S289" s="94">
        <v>-184970.66999999981</v>
      </c>
      <c r="T289" s="94">
        <v>-179378.9099999998</v>
      </c>
      <c r="U289" s="95">
        <v>0</v>
      </c>
      <c r="V289" s="96">
        <v>3.1E-2</v>
      </c>
    </row>
    <row r="290" spans="1:23" ht="13" x14ac:dyDescent="0.3">
      <c r="A290" s="20" t="s">
        <v>977</v>
      </c>
      <c r="B290" s="20">
        <v>38700</v>
      </c>
      <c r="C290" s="20" t="s">
        <v>992</v>
      </c>
      <c r="D290" s="77" t="s">
        <v>468</v>
      </c>
      <c r="E290" s="77" t="s">
        <v>156</v>
      </c>
      <c r="F290" s="94">
        <v>228722.22</v>
      </c>
      <c r="G290" s="94">
        <v>139871.48000000001</v>
      </c>
      <c r="H290" s="94">
        <v>0</v>
      </c>
      <c r="I290" s="94">
        <v>0</v>
      </c>
      <c r="J290" s="94">
        <v>368593.7</v>
      </c>
      <c r="K290" s="94">
        <v>343028.0446153846</v>
      </c>
      <c r="L290" s="95">
        <v>0</v>
      </c>
      <c r="M290" s="94">
        <v>-95433.940000000017</v>
      </c>
      <c r="N290" s="94">
        <v>-21476.589999999997</v>
      </c>
      <c r="O290" s="94">
        <v>0</v>
      </c>
      <c r="P290" s="94">
        <v>0</v>
      </c>
      <c r="Q290" s="94">
        <v>0</v>
      </c>
      <c r="R290" s="94">
        <v>0</v>
      </c>
      <c r="S290" s="94">
        <v>-116910.53000000001</v>
      </c>
      <c r="T290" s="94">
        <v>-105706.09230769231</v>
      </c>
      <c r="U290" s="95">
        <v>0</v>
      </c>
      <c r="V290" s="96">
        <v>6.3E-2</v>
      </c>
    </row>
    <row r="291" spans="1:23" ht="13" x14ac:dyDescent="0.3">
      <c r="A291" s="20" t="s">
        <v>977</v>
      </c>
      <c r="B291" s="20">
        <v>39100</v>
      </c>
      <c r="C291" s="20" t="s">
        <v>993</v>
      </c>
      <c r="D291" s="77" t="s">
        <v>469</v>
      </c>
      <c r="E291" s="77" t="s">
        <v>159</v>
      </c>
      <c r="F291" s="94">
        <v>61457.98</v>
      </c>
      <c r="G291" s="94">
        <v>0</v>
      </c>
      <c r="H291" s="94">
        <v>0</v>
      </c>
      <c r="I291" s="94">
        <v>0</v>
      </c>
      <c r="J291" s="94">
        <v>61457.98</v>
      </c>
      <c r="K291" s="94">
        <v>61457.979999999989</v>
      </c>
      <c r="L291" s="95">
        <v>0</v>
      </c>
      <c r="M291" s="94">
        <v>-54160.980000000069</v>
      </c>
      <c r="N291" s="94">
        <v>-4117.6799999999994</v>
      </c>
      <c r="O291" s="94">
        <v>0</v>
      </c>
      <c r="P291" s="94">
        <v>0</v>
      </c>
      <c r="Q291" s="94">
        <v>0</v>
      </c>
      <c r="R291" s="94">
        <v>0</v>
      </c>
      <c r="S291" s="94">
        <v>-58278.660000000069</v>
      </c>
      <c r="T291" s="94">
        <v>-56219.820000000072</v>
      </c>
      <c r="U291" s="95">
        <v>0</v>
      </c>
      <c r="V291" s="96">
        <v>6.7000000000000004E-2</v>
      </c>
    </row>
    <row r="292" spans="1:23" ht="13" x14ac:dyDescent="0.3">
      <c r="A292" s="20" t="s">
        <v>977</v>
      </c>
      <c r="B292" s="20">
        <v>39101</v>
      </c>
      <c r="C292" s="20" t="s">
        <v>994</v>
      </c>
      <c r="D292" s="77" t="s">
        <v>470</v>
      </c>
      <c r="E292" s="77" t="s">
        <v>160</v>
      </c>
      <c r="F292" s="94">
        <v>131418.64000000001</v>
      </c>
      <c r="G292" s="94">
        <v>26337.599999999999</v>
      </c>
      <c r="H292" s="94">
        <v>-25000</v>
      </c>
      <c r="I292" s="94">
        <v>0</v>
      </c>
      <c r="J292" s="94">
        <v>132756.24000000002</v>
      </c>
      <c r="K292" s="94">
        <v>128198.89153846154</v>
      </c>
      <c r="L292" s="95">
        <v>0</v>
      </c>
      <c r="M292" s="94">
        <v>-117465.37999999998</v>
      </c>
      <c r="N292" s="94">
        <v>-15977.400000000005</v>
      </c>
      <c r="O292" s="94">
        <v>25000</v>
      </c>
      <c r="P292" s="94">
        <v>0</v>
      </c>
      <c r="Q292" s="94">
        <v>0</v>
      </c>
      <c r="R292" s="94">
        <v>0</v>
      </c>
      <c r="S292" s="94">
        <v>-108442.77999999997</v>
      </c>
      <c r="T292" s="94">
        <v>-104226.47153846153</v>
      </c>
      <c r="U292" s="95">
        <v>0</v>
      </c>
      <c r="V292" s="96">
        <v>0.125</v>
      </c>
    </row>
    <row r="293" spans="1:23" ht="13" x14ac:dyDescent="0.3">
      <c r="A293" s="20" t="s">
        <v>977</v>
      </c>
      <c r="B293" s="20">
        <v>39102</v>
      </c>
      <c r="C293" s="20" t="s">
        <v>995</v>
      </c>
      <c r="D293" s="77" t="s">
        <v>471</v>
      </c>
      <c r="E293" s="77" t="s">
        <v>161</v>
      </c>
      <c r="F293" s="94">
        <v>45218.59</v>
      </c>
      <c r="G293" s="94">
        <v>0</v>
      </c>
      <c r="H293" s="94">
        <v>0</v>
      </c>
      <c r="I293" s="94">
        <v>0</v>
      </c>
      <c r="J293" s="94">
        <v>45218.59</v>
      </c>
      <c r="K293" s="94">
        <v>45218.589999999982</v>
      </c>
      <c r="L293" s="95">
        <v>0</v>
      </c>
      <c r="M293" s="94">
        <v>40558.870000000039</v>
      </c>
      <c r="N293" s="94">
        <v>-3029.6399999999994</v>
      </c>
      <c r="O293" s="94">
        <v>0</v>
      </c>
      <c r="P293" s="94">
        <v>0</v>
      </c>
      <c r="Q293" s="94">
        <v>0</v>
      </c>
      <c r="R293" s="94">
        <v>0</v>
      </c>
      <c r="S293" s="94">
        <v>37529.23000000004</v>
      </c>
      <c r="T293" s="94">
        <v>39044.050000000032</v>
      </c>
      <c r="U293" s="95">
        <v>0</v>
      </c>
      <c r="V293" s="96">
        <v>6.7000000000000004E-2</v>
      </c>
    </row>
    <row r="294" spans="1:23" ht="13" x14ac:dyDescent="0.3">
      <c r="A294" s="20" t="s">
        <v>977</v>
      </c>
      <c r="B294" s="20">
        <v>39201</v>
      </c>
      <c r="C294" s="20" t="s">
        <v>996</v>
      </c>
      <c r="D294" s="77" t="s">
        <v>472</v>
      </c>
      <c r="E294" s="77" t="s">
        <v>163</v>
      </c>
      <c r="F294" s="94">
        <v>361328.44000000006</v>
      </c>
      <c r="G294" s="94">
        <v>32454.82</v>
      </c>
      <c r="H294" s="94">
        <v>-40462.589999999997</v>
      </c>
      <c r="I294" s="94">
        <v>0</v>
      </c>
      <c r="J294" s="94">
        <v>353320.67000000004</v>
      </c>
      <c r="K294" s="94">
        <v>352725.20615384623</v>
      </c>
      <c r="L294" s="95">
        <v>0</v>
      </c>
      <c r="M294" s="94">
        <v>-167224.76999999987</v>
      </c>
      <c r="N294" s="94">
        <v>-39499.660000000003</v>
      </c>
      <c r="O294" s="94">
        <v>40462.589999999997</v>
      </c>
      <c r="P294" s="94">
        <v>-345.65</v>
      </c>
      <c r="Q294" s="94">
        <v>-7610</v>
      </c>
      <c r="R294" s="94">
        <v>0</v>
      </c>
      <c r="S294" s="94">
        <v>-174217.48999999987</v>
      </c>
      <c r="T294" s="94">
        <v>-168109.80999999985</v>
      </c>
      <c r="U294" s="95">
        <v>0</v>
      </c>
      <c r="V294" s="96">
        <v>0.112</v>
      </c>
    </row>
    <row r="295" spans="1:23" ht="13" x14ac:dyDescent="0.3">
      <c r="A295" s="20" t="s">
        <v>977</v>
      </c>
      <c r="B295" s="20">
        <v>39202</v>
      </c>
      <c r="C295" s="20" t="s">
        <v>997</v>
      </c>
      <c r="D295" s="77" t="s">
        <v>473</v>
      </c>
      <c r="E295" s="77" t="s">
        <v>164</v>
      </c>
      <c r="F295" s="94">
        <v>676431.93</v>
      </c>
      <c r="G295" s="94">
        <v>0</v>
      </c>
      <c r="H295" s="94">
        <v>-97071.679999999993</v>
      </c>
      <c r="I295" s="94">
        <v>0</v>
      </c>
      <c r="J295" s="94">
        <v>579360.25</v>
      </c>
      <c r="K295" s="94">
        <v>601761.40692307695</v>
      </c>
      <c r="L295" s="95">
        <v>0</v>
      </c>
      <c r="M295" s="94">
        <v>-310364.23999999987</v>
      </c>
      <c r="N295" s="94">
        <v>-76660.739999999991</v>
      </c>
      <c r="O295" s="94">
        <v>97071.679999999993</v>
      </c>
      <c r="P295" s="94">
        <v>-541.32000000000005</v>
      </c>
      <c r="Q295" s="94">
        <v>-15170</v>
      </c>
      <c r="R295" s="94">
        <v>0</v>
      </c>
      <c r="S295" s="94">
        <v>-305664.61999999988</v>
      </c>
      <c r="T295" s="94">
        <v>-287870.27692307683</v>
      </c>
      <c r="U295" s="95">
        <v>0</v>
      </c>
      <c r="V295" s="96">
        <v>0.127</v>
      </c>
    </row>
    <row r="296" spans="1:23" ht="13" x14ac:dyDescent="0.3">
      <c r="A296" s="20" t="s">
        <v>977</v>
      </c>
      <c r="B296" s="20">
        <v>39204</v>
      </c>
      <c r="C296" s="20" t="s">
        <v>998</v>
      </c>
      <c r="D296" s="77" t="s">
        <v>474</v>
      </c>
      <c r="E296" s="77" t="s">
        <v>166</v>
      </c>
      <c r="F296" s="94">
        <v>10440.9</v>
      </c>
      <c r="G296" s="94">
        <v>0</v>
      </c>
      <c r="H296" s="94">
        <v>0</v>
      </c>
      <c r="I296" s="94">
        <v>0</v>
      </c>
      <c r="J296" s="94">
        <v>10440.9</v>
      </c>
      <c r="K296" s="94">
        <v>10440.899999999998</v>
      </c>
      <c r="L296" s="95">
        <v>0</v>
      </c>
      <c r="M296" s="94">
        <v>8683.8100000000086</v>
      </c>
      <c r="N296" s="94">
        <v>-417.60000000000008</v>
      </c>
      <c r="O296" s="94">
        <v>0</v>
      </c>
      <c r="P296" s="94">
        <v>0</v>
      </c>
      <c r="Q296" s="94">
        <v>0</v>
      </c>
      <c r="R296" s="94">
        <v>0</v>
      </c>
      <c r="S296" s="94">
        <v>8266.2100000000082</v>
      </c>
      <c r="T296" s="94">
        <v>8475.0100000000111</v>
      </c>
      <c r="U296" s="95">
        <v>0</v>
      </c>
      <c r="V296" s="96">
        <v>0.04</v>
      </c>
    </row>
    <row r="297" spans="1:23" ht="13" x14ac:dyDescent="0.3">
      <c r="A297" s="20" t="s">
        <v>977</v>
      </c>
      <c r="B297" s="20">
        <v>39300</v>
      </c>
      <c r="C297" s="20" t="s">
        <v>999</v>
      </c>
      <c r="D297" s="77" t="s">
        <v>668</v>
      </c>
      <c r="E297" s="77" t="s">
        <v>168</v>
      </c>
      <c r="F297" s="94">
        <v>0</v>
      </c>
      <c r="G297" s="94">
        <v>1283.3900000000001</v>
      </c>
      <c r="H297" s="94">
        <v>0</v>
      </c>
      <c r="I297" s="94">
        <v>0</v>
      </c>
      <c r="J297" s="94">
        <v>1283.3900000000001</v>
      </c>
      <c r="K297" s="94">
        <v>1184.6676923076923</v>
      </c>
      <c r="L297" s="95">
        <v>0</v>
      </c>
      <c r="M297" s="94">
        <v>0</v>
      </c>
      <c r="N297" s="94">
        <v>-47.080000000000005</v>
      </c>
      <c r="O297" s="94">
        <v>0</v>
      </c>
      <c r="P297" s="94">
        <v>0</v>
      </c>
      <c r="Q297" s="94">
        <v>0</v>
      </c>
      <c r="R297" s="94">
        <v>0</v>
      </c>
      <c r="S297" s="94">
        <v>-47.080000000000005</v>
      </c>
      <c r="T297" s="94">
        <v>-21.729230769230771</v>
      </c>
      <c r="U297" s="95">
        <v>0</v>
      </c>
      <c r="V297" s="96">
        <v>0.04</v>
      </c>
      <c r="W297" s="99"/>
    </row>
    <row r="298" spans="1:23" ht="13" x14ac:dyDescent="0.3">
      <c r="A298" s="20" t="s">
        <v>977</v>
      </c>
      <c r="B298" s="20">
        <v>39400</v>
      </c>
      <c r="C298" s="20" t="s">
        <v>1000</v>
      </c>
      <c r="D298" s="77" t="s">
        <v>475</v>
      </c>
      <c r="E298" s="77" t="s">
        <v>169</v>
      </c>
      <c r="F298" s="94">
        <v>134574.13000000006</v>
      </c>
      <c r="G298" s="94">
        <v>27588.949999999997</v>
      </c>
      <c r="H298" s="94">
        <v>0</v>
      </c>
      <c r="I298" s="94">
        <v>0</v>
      </c>
      <c r="J298" s="94">
        <v>162163.08000000007</v>
      </c>
      <c r="K298" s="94">
        <v>148420.83538461544</v>
      </c>
      <c r="L298" s="95">
        <v>0</v>
      </c>
      <c r="M298" s="94">
        <v>-44964.719999999994</v>
      </c>
      <c r="N298" s="94">
        <v>-9720.16</v>
      </c>
      <c r="O298" s="94">
        <v>0</v>
      </c>
      <c r="P298" s="94">
        <v>0</v>
      </c>
      <c r="Q298" s="94">
        <v>0</v>
      </c>
      <c r="R298" s="94">
        <v>0</v>
      </c>
      <c r="S298" s="94">
        <v>-54684.87999999999</v>
      </c>
      <c r="T298" s="94">
        <v>-49785.859999999986</v>
      </c>
      <c r="U298" s="95">
        <v>0</v>
      </c>
      <c r="V298" s="96">
        <v>6.6000000000000003E-2</v>
      </c>
    </row>
    <row r="299" spans="1:23" ht="13" x14ac:dyDescent="0.3">
      <c r="A299" s="20" t="s">
        <v>977</v>
      </c>
      <c r="B299" s="20">
        <v>39600</v>
      </c>
      <c r="C299" s="20" t="s">
        <v>1001</v>
      </c>
      <c r="D299" s="77" t="s">
        <v>476</v>
      </c>
      <c r="E299" s="77" t="s">
        <v>171</v>
      </c>
      <c r="F299" s="94">
        <v>24579.420000000002</v>
      </c>
      <c r="G299" s="94">
        <v>0</v>
      </c>
      <c r="H299" s="94">
        <v>0</v>
      </c>
      <c r="I299" s="94">
        <v>0</v>
      </c>
      <c r="J299" s="94">
        <v>24579.420000000002</v>
      </c>
      <c r="K299" s="94">
        <v>24579.420000000002</v>
      </c>
      <c r="L299" s="95">
        <v>0</v>
      </c>
      <c r="M299" s="94">
        <v>13045.999999999984</v>
      </c>
      <c r="N299" s="94">
        <v>-1573.0799999999997</v>
      </c>
      <c r="O299" s="94">
        <v>0</v>
      </c>
      <c r="P299" s="94">
        <v>0</v>
      </c>
      <c r="Q299" s="94">
        <v>0</v>
      </c>
      <c r="R299" s="94">
        <v>0</v>
      </c>
      <c r="S299" s="94">
        <v>11472.919999999984</v>
      </c>
      <c r="T299" s="94">
        <v>12259.459999999983</v>
      </c>
      <c r="U299" s="95">
        <v>0</v>
      </c>
      <c r="V299" s="96">
        <v>6.4000000000000001E-2</v>
      </c>
    </row>
    <row r="300" spans="1:23" ht="13" x14ac:dyDescent="0.3">
      <c r="A300" s="20" t="s">
        <v>977</v>
      </c>
      <c r="B300" s="20">
        <v>39700</v>
      </c>
      <c r="C300" s="20" t="s">
        <v>1002</v>
      </c>
      <c r="D300" s="77" t="s">
        <v>477</v>
      </c>
      <c r="E300" s="77" t="s">
        <v>172</v>
      </c>
      <c r="F300" s="94">
        <v>60737.869999999981</v>
      </c>
      <c r="G300" s="94">
        <v>3821.47</v>
      </c>
      <c r="H300" s="94">
        <v>-24296.83</v>
      </c>
      <c r="I300" s="94">
        <v>0</v>
      </c>
      <c r="J300" s="94">
        <v>40262.50999999998</v>
      </c>
      <c r="K300" s="94">
        <v>43706.524615384609</v>
      </c>
      <c r="L300" s="95">
        <v>0</v>
      </c>
      <c r="M300" s="94">
        <v>-67450.749999999985</v>
      </c>
      <c r="N300" s="94">
        <v>-3695.4900000000007</v>
      </c>
      <c r="O300" s="94">
        <v>24296.83</v>
      </c>
      <c r="P300" s="94">
        <v>0</v>
      </c>
      <c r="Q300" s="94">
        <v>0</v>
      </c>
      <c r="R300" s="94">
        <v>0</v>
      </c>
      <c r="S300" s="94">
        <v>-46849.409999999989</v>
      </c>
      <c r="T300" s="94">
        <v>-48859.152307692268</v>
      </c>
      <c r="U300" s="95">
        <v>0</v>
      </c>
      <c r="V300" s="96">
        <v>8.4000000000000005E-2</v>
      </c>
    </row>
    <row r="301" spans="1:23" ht="13" x14ac:dyDescent="0.3">
      <c r="A301" s="20" t="s">
        <v>977</v>
      </c>
      <c r="B301" s="20">
        <v>39800</v>
      </c>
      <c r="C301" s="20" t="s">
        <v>1003</v>
      </c>
      <c r="D301" s="77" t="s">
        <v>478</v>
      </c>
      <c r="E301" s="77" t="s">
        <v>173</v>
      </c>
      <c r="F301" s="94">
        <v>140577.21</v>
      </c>
      <c r="G301" s="94">
        <v>0</v>
      </c>
      <c r="H301" s="94">
        <v>-18461.400000000001</v>
      </c>
      <c r="I301" s="94">
        <v>0</v>
      </c>
      <c r="J301" s="94">
        <v>122115.81</v>
      </c>
      <c r="K301" s="94">
        <v>124956.02538461542</v>
      </c>
      <c r="L301" s="95">
        <v>0</v>
      </c>
      <c r="M301" s="94">
        <v>-125353.9800000001</v>
      </c>
      <c r="N301" s="94">
        <v>-7386.3399999999983</v>
      </c>
      <c r="O301" s="94">
        <v>18461.400000000001</v>
      </c>
      <c r="P301" s="94">
        <v>0</v>
      </c>
      <c r="Q301" s="94">
        <v>0</v>
      </c>
      <c r="R301" s="94">
        <v>0</v>
      </c>
      <c r="S301" s="94">
        <v>-114278.9200000001</v>
      </c>
      <c r="T301" s="94">
        <v>-113495.78846153851</v>
      </c>
      <c r="U301" s="95">
        <v>0</v>
      </c>
      <c r="V301" s="96">
        <v>5.8999999999999997E-2</v>
      </c>
    </row>
    <row r="302" spans="1:23" ht="13" x14ac:dyDescent="0.3">
      <c r="A302" s="20" t="s">
        <v>1004</v>
      </c>
      <c r="B302" s="20">
        <v>30301</v>
      </c>
      <c r="C302" s="20" t="s">
        <v>1005</v>
      </c>
      <c r="D302" s="77" t="s">
        <v>479</v>
      </c>
      <c r="E302" s="77" t="s">
        <v>141</v>
      </c>
      <c r="F302" s="94">
        <v>19823.400000000001</v>
      </c>
      <c r="G302" s="94">
        <v>0</v>
      </c>
      <c r="H302" s="94">
        <v>-19823.400000000001</v>
      </c>
      <c r="I302" s="94">
        <v>0</v>
      </c>
      <c r="J302" s="94">
        <v>0</v>
      </c>
      <c r="K302" s="94">
        <v>3049.7538461538466</v>
      </c>
      <c r="L302" s="95">
        <v>0</v>
      </c>
      <c r="M302" s="94">
        <v>-19823.400000000001</v>
      </c>
      <c r="N302" s="94">
        <v>0</v>
      </c>
      <c r="O302" s="94">
        <v>19823.400000000001</v>
      </c>
      <c r="P302" s="94">
        <v>0</v>
      </c>
      <c r="Q302" s="94">
        <v>0</v>
      </c>
      <c r="R302" s="94">
        <v>0</v>
      </c>
      <c r="S302" s="94">
        <v>0</v>
      </c>
      <c r="T302" s="94">
        <v>-3049.7538461538466</v>
      </c>
      <c r="U302" s="95">
        <v>0</v>
      </c>
      <c r="V302" s="96">
        <v>6.7000000000000004E-2</v>
      </c>
    </row>
    <row r="303" spans="1:23" ht="13" x14ac:dyDescent="0.3">
      <c r="A303" s="20" t="s">
        <v>1004</v>
      </c>
      <c r="B303" s="20">
        <v>37400</v>
      </c>
      <c r="C303" s="20" t="s">
        <v>1006</v>
      </c>
      <c r="D303" s="77" t="s">
        <v>480</v>
      </c>
      <c r="E303" s="77" t="s">
        <v>142</v>
      </c>
      <c r="F303" s="94">
        <v>230941.37</v>
      </c>
      <c r="G303" s="94">
        <v>0</v>
      </c>
      <c r="H303" s="94">
        <v>0</v>
      </c>
      <c r="I303" s="94">
        <v>0</v>
      </c>
      <c r="J303" s="94">
        <v>230941.37</v>
      </c>
      <c r="K303" s="94">
        <v>230941.37000000008</v>
      </c>
      <c r="L303" s="95">
        <v>0</v>
      </c>
      <c r="M303" s="94">
        <v>0</v>
      </c>
      <c r="N303" s="94">
        <v>0</v>
      </c>
      <c r="O303" s="94">
        <v>0</v>
      </c>
      <c r="P303" s="94">
        <v>0</v>
      </c>
      <c r="Q303" s="94">
        <v>0</v>
      </c>
      <c r="R303" s="94">
        <v>0</v>
      </c>
      <c r="S303" s="94">
        <v>0</v>
      </c>
      <c r="T303" s="94">
        <v>0</v>
      </c>
      <c r="U303" s="95">
        <v>0</v>
      </c>
      <c r="V303" s="96">
        <v>0</v>
      </c>
    </row>
    <row r="304" spans="1:23" ht="13" x14ac:dyDescent="0.3">
      <c r="A304" s="20" t="s">
        <v>1004</v>
      </c>
      <c r="B304" s="20">
        <v>37402</v>
      </c>
      <c r="C304" s="20" t="s">
        <v>1007</v>
      </c>
      <c r="D304" s="77" t="s">
        <v>481</v>
      </c>
      <c r="E304" s="77" t="s">
        <v>143</v>
      </c>
      <c r="F304" s="94">
        <v>71001.27</v>
      </c>
      <c r="G304" s="94">
        <v>0</v>
      </c>
      <c r="H304" s="94">
        <v>0</v>
      </c>
      <c r="I304" s="94">
        <v>0</v>
      </c>
      <c r="J304" s="94">
        <v>71001.27</v>
      </c>
      <c r="K304" s="94">
        <v>71001.27</v>
      </c>
      <c r="L304" s="95">
        <v>0</v>
      </c>
      <c r="M304" s="94">
        <v>1328.919999999991</v>
      </c>
      <c r="N304" s="94">
        <v>-923.03999999999985</v>
      </c>
      <c r="O304" s="94">
        <v>0</v>
      </c>
      <c r="P304" s="94">
        <v>0</v>
      </c>
      <c r="Q304" s="94">
        <v>0</v>
      </c>
      <c r="R304" s="94">
        <v>0</v>
      </c>
      <c r="S304" s="94">
        <v>405.87999999999113</v>
      </c>
      <c r="T304" s="94">
        <v>867.39999999999054</v>
      </c>
      <c r="U304" s="95">
        <v>0</v>
      </c>
      <c r="V304" s="96">
        <v>1.2999999999999999E-2</v>
      </c>
    </row>
    <row r="305" spans="1:22" ht="13" x14ac:dyDescent="0.3">
      <c r="A305" s="20" t="s">
        <v>1004</v>
      </c>
      <c r="B305" s="20">
        <v>37500</v>
      </c>
      <c r="C305" s="20" t="s">
        <v>1008</v>
      </c>
      <c r="D305" s="77" t="s">
        <v>482</v>
      </c>
      <c r="E305" s="77" t="s">
        <v>144</v>
      </c>
      <c r="F305" s="94">
        <v>830970.18</v>
      </c>
      <c r="G305" s="94">
        <v>0</v>
      </c>
      <c r="H305" s="94">
        <v>0</v>
      </c>
      <c r="I305" s="94">
        <v>0</v>
      </c>
      <c r="J305" s="94">
        <v>830970.18</v>
      </c>
      <c r="K305" s="94">
        <v>830970.17999999982</v>
      </c>
      <c r="L305" s="95">
        <v>0</v>
      </c>
      <c r="M305" s="94">
        <v>-291164.34999999992</v>
      </c>
      <c r="N305" s="94">
        <v>-20774.28</v>
      </c>
      <c r="O305" s="94">
        <v>0</v>
      </c>
      <c r="P305" s="94">
        <v>0</v>
      </c>
      <c r="Q305" s="94">
        <v>0</v>
      </c>
      <c r="R305" s="94">
        <v>0</v>
      </c>
      <c r="S305" s="94">
        <v>-311938.62999999989</v>
      </c>
      <c r="T305" s="94">
        <v>-301551.49</v>
      </c>
      <c r="U305" s="95">
        <v>0</v>
      </c>
      <c r="V305" s="96">
        <v>2.5000000000000001E-2</v>
      </c>
    </row>
    <row r="306" spans="1:22" ht="13" x14ac:dyDescent="0.3">
      <c r="A306" s="20" t="s">
        <v>1004</v>
      </c>
      <c r="B306" s="20">
        <v>37600</v>
      </c>
      <c r="C306" s="20" t="s">
        <v>1009</v>
      </c>
      <c r="D306" s="77" t="s">
        <v>483</v>
      </c>
      <c r="E306" s="77" t="s">
        <v>145</v>
      </c>
      <c r="F306" s="94">
        <v>2884809.45</v>
      </c>
      <c r="G306" s="94">
        <v>482.08000000000015</v>
      </c>
      <c r="H306" s="94">
        <v>0</v>
      </c>
      <c r="I306" s="94">
        <v>0</v>
      </c>
      <c r="J306" s="94">
        <v>2885291.5300000003</v>
      </c>
      <c r="K306" s="94">
        <v>2884463.0284615383</v>
      </c>
      <c r="L306" s="95">
        <v>0</v>
      </c>
      <c r="M306" s="94">
        <v>-1771911.6699999971</v>
      </c>
      <c r="N306" s="94">
        <v>-121144.55</v>
      </c>
      <c r="O306" s="94">
        <v>0</v>
      </c>
      <c r="P306" s="94">
        <v>665.85000000000036</v>
      </c>
      <c r="Q306" s="94">
        <v>0</v>
      </c>
      <c r="R306" s="94">
        <v>0</v>
      </c>
      <c r="S306" s="94">
        <v>-1892390.3699999971</v>
      </c>
      <c r="T306" s="94">
        <v>-1833049.2769230744</v>
      </c>
      <c r="U306" s="95">
        <v>0</v>
      </c>
      <c r="V306" s="96">
        <v>4.2000000000000003E-2</v>
      </c>
    </row>
    <row r="307" spans="1:22" ht="13" x14ac:dyDescent="0.3">
      <c r="A307" s="20" t="s">
        <v>1004</v>
      </c>
      <c r="B307" s="20">
        <v>37602</v>
      </c>
      <c r="C307" s="20" t="s">
        <v>1010</v>
      </c>
      <c r="D307" s="77" t="s">
        <v>484</v>
      </c>
      <c r="E307" s="77" t="s">
        <v>146</v>
      </c>
      <c r="F307" s="94">
        <v>14809491.009999998</v>
      </c>
      <c r="G307" s="94">
        <v>517811.24</v>
      </c>
      <c r="H307" s="94">
        <v>-585</v>
      </c>
      <c r="I307" s="94">
        <v>0</v>
      </c>
      <c r="J307" s="94">
        <v>15326717.249999998</v>
      </c>
      <c r="K307" s="94">
        <v>15092740.780769229</v>
      </c>
      <c r="L307" s="95">
        <v>0</v>
      </c>
      <c r="M307" s="94">
        <v>-4728210.72</v>
      </c>
      <c r="N307" s="94">
        <v>-467270.52999999991</v>
      </c>
      <c r="O307" s="94">
        <v>585</v>
      </c>
      <c r="P307" s="94">
        <v>4443.8799999999983</v>
      </c>
      <c r="Q307" s="94">
        <v>0</v>
      </c>
      <c r="R307" s="94">
        <v>0</v>
      </c>
      <c r="S307" s="94">
        <v>-5190452.37</v>
      </c>
      <c r="T307" s="94">
        <v>-4962346.6361538451</v>
      </c>
      <c r="U307" s="95">
        <v>0</v>
      </c>
      <c r="V307" s="96">
        <v>3.1E-2</v>
      </c>
    </row>
    <row r="308" spans="1:22" ht="13" x14ac:dyDescent="0.3">
      <c r="A308" s="20" t="s">
        <v>1004</v>
      </c>
      <c r="B308" s="20">
        <v>37602</v>
      </c>
      <c r="C308" s="20" t="s">
        <v>1010</v>
      </c>
      <c r="D308" s="77" t="s">
        <v>485</v>
      </c>
      <c r="E308" s="77" t="s">
        <v>146</v>
      </c>
      <c r="F308" s="94">
        <v>0</v>
      </c>
      <c r="G308" s="94">
        <v>0</v>
      </c>
      <c r="H308" s="94">
        <v>0</v>
      </c>
      <c r="I308" s="94">
        <v>0</v>
      </c>
      <c r="J308" s="94">
        <v>0</v>
      </c>
      <c r="K308" s="94">
        <v>0</v>
      </c>
      <c r="L308" s="95">
        <v>0</v>
      </c>
      <c r="M308" s="94">
        <v>-75095.53</v>
      </c>
      <c r="N308" s="94">
        <v>0</v>
      </c>
      <c r="O308" s="94">
        <v>0</v>
      </c>
      <c r="P308" s="94">
        <v>0</v>
      </c>
      <c r="Q308" s="94">
        <v>0</v>
      </c>
      <c r="R308" s="94">
        <v>0</v>
      </c>
      <c r="S308" s="94">
        <v>-75095.53</v>
      </c>
      <c r="T308" s="94">
        <v>-75095.530000000013</v>
      </c>
      <c r="U308" s="95">
        <v>0</v>
      </c>
      <c r="V308" s="96">
        <v>3.1E-2</v>
      </c>
    </row>
    <row r="309" spans="1:22" ht="13" x14ac:dyDescent="0.3">
      <c r="A309" s="20" t="s">
        <v>1004</v>
      </c>
      <c r="B309" s="20">
        <v>37602</v>
      </c>
      <c r="C309" s="20" t="s">
        <v>1010</v>
      </c>
      <c r="D309" s="77" t="s">
        <v>486</v>
      </c>
      <c r="E309" s="77" t="s">
        <v>146</v>
      </c>
      <c r="F309" s="94">
        <v>0</v>
      </c>
      <c r="G309" s="94">
        <v>0</v>
      </c>
      <c r="H309" s="94">
        <v>0</v>
      </c>
      <c r="I309" s="94">
        <v>0</v>
      </c>
      <c r="J309" s="94">
        <v>0</v>
      </c>
      <c r="K309" s="94">
        <v>0</v>
      </c>
      <c r="L309" s="95">
        <v>0</v>
      </c>
      <c r="M309" s="94">
        <v>-16900.54</v>
      </c>
      <c r="N309" s="94">
        <v>0</v>
      </c>
      <c r="O309" s="94">
        <v>0</v>
      </c>
      <c r="P309" s="94">
        <v>0</v>
      </c>
      <c r="Q309" s="94">
        <v>0</v>
      </c>
      <c r="R309" s="94">
        <v>0</v>
      </c>
      <c r="S309" s="94">
        <v>-16900.54</v>
      </c>
      <c r="T309" s="94">
        <v>-16900.540000000005</v>
      </c>
      <c r="U309" s="95">
        <v>0</v>
      </c>
      <c r="V309" s="96">
        <v>3.1E-2</v>
      </c>
    </row>
    <row r="310" spans="1:22" ht="13" x14ac:dyDescent="0.3">
      <c r="A310" s="20" t="s">
        <v>1004</v>
      </c>
      <c r="B310" s="20">
        <v>37800</v>
      </c>
      <c r="C310" s="20" t="s">
        <v>1011</v>
      </c>
      <c r="D310" s="77" t="s">
        <v>487</v>
      </c>
      <c r="E310" s="77" t="s">
        <v>147</v>
      </c>
      <c r="F310" s="94">
        <v>4034.82</v>
      </c>
      <c r="G310" s="94">
        <v>547.42999999999995</v>
      </c>
      <c r="H310" s="94">
        <v>0</v>
      </c>
      <c r="I310" s="94">
        <v>0</v>
      </c>
      <c r="J310" s="94">
        <v>4582.25</v>
      </c>
      <c r="K310" s="94">
        <v>4371.7000000000007</v>
      </c>
      <c r="L310" s="95">
        <v>0</v>
      </c>
      <c r="M310" s="94">
        <v>77944.96000000005</v>
      </c>
      <c r="N310" s="94">
        <v>-148.07999999999998</v>
      </c>
      <c r="O310" s="94">
        <v>0</v>
      </c>
      <c r="P310" s="94">
        <v>0</v>
      </c>
      <c r="Q310" s="94">
        <v>0</v>
      </c>
      <c r="R310" s="94">
        <v>0</v>
      </c>
      <c r="S310" s="94">
        <v>77796.880000000048</v>
      </c>
      <c r="T310" s="94">
        <v>77873.020000000062</v>
      </c>
      <c r="U310" s="95">
        <v>0</v>
      </c>
      <c r="V310" s="96">
        <v>3.4000000000000002E-2</v>
      </c>
    </row>
    <row r="311" spans="1:22" ht="13" x14ac:dyDescent="0.3">
      <c r="A311" s="20" t="s">
        <v>1004</v>
      </c>
      <c r="B311" s="20">
        <v>37900</v>
      </c>
      <c r="C311" s="20" t="s">
        <v>1012</v>
      </c>
      <c r="D311" s="77" t="s">
        <v>488</v>
      </c>
      <c r="E311" s="77" t="s">
        <v>148</v>
      </c>
      <c r="F311" s="94">
        <v>2408220.5699999998</v>
      </c>
      <c r="G311" s="94">
        <v>-2165.83</v>
      </c>
      <c r="H311" s="94">
        <v>0</v>
      </c>
      <c r="I311" s="94">
        <v>0</v>
      </c>
      <c r="J311" s="94">
        <v>2406054.7399999998</v>
      </c>
      <c r="K311" s="94">
        <v>2407220.9561538454</v>
      </c>
      <c r="L311" s="95">
        <v>0</v>
      </c>
      <c r="M311" s="94">
        <v>-614280.59999999963</v>
      </c>
      <c r="N311" s="94">
        <v>-81848.830000000016</v>
      </c>
      <c r="O311" s="94">
        <v>0</v>
      </c>
      <c r="P311" s="94">
        <v>0</v>
      </c>
      <c r="Q311" s="94">
        <v>0</v>
      </c>
      <c r="R311" s="94">
        <v>0</v>
      </c>
      <c r="S311" s="94">
        <v>-696129.4299999997</v>
      </c>
      <c r="T311" s="94">
        <v>-655213.26692307682</v>
      </c>
      <c r="U311" s="95">
        <v>0</v>
      </c>
      <c r="V311" s="96">
        <v>3.4000000000000002E-2</v>
      </c>
    </row>
    <row r="312" spans="1:22" ht="13" x14ac:dyDescent="0.3">
      <c r="A312" s="20" t="s">
        <v>1004</v>
      </c>
      <c r="B312" s="20">
        <v>38000</v>
      </c>
      <c r="C312" s="20" t="s">
        <v>1013</v>
      </c>
      <c r="D312" s="77" t="s">
        <v>489</v>
      </c>
      <c r="E312" s="77" t="s">
        <v>149</v>
      </c>
      <c r="F312" s="94">
        <v>56223.390000000007</v>
      </c>
      <c r="G312" s="94">
        <v>887.71</v>
      </c>
      <c r="H312" s="94">
        <v>0</v>
      </c>
      <c r="I312" s="94">
        <v>0</v>
      </c>
      <c r="J312" s="94">
        <v>57111.100000000006</v>
      </c>
      <c r="K312" s="94">
        <v>56291.675384615388</v>
      </c>
      <c r="L312" s="95">
        <v>0</v>
      </c>
      <c r="M312" s="94">
        <v>-64949.310000000005</v>
      </c>
      <c r="N312" s="94">
        <v>-3710.76</v>
      </c>
      <c r="O312" s="94">
        <v>0</v>
      </c>
      <c r="P312" s="94">
        <v>14.480000000000004</v>
      </c>
      <c r="Q312" s="94">
        <v>0</v>
      </c>
      <c r="R312" s="94">
        <v>0</v>
      </c>
      <c r="S312" s="94">
        <v>-68645.590000000011</v>
      </c>
      <c r="T312" s="94">
        <v>-66815.527692307689</v>
      </c>
      <c r="U312" s="95">
        <v>0</v>
      </c>
      <c r="V312" s="96">
        <v>6.5999999999999989E-2</v>
      </c>
    </row>
    <row r="313" spans="1:22" ht="13" x14ac:dyDescent="0.3">
      <c r="A313" s="20" t="s">
        <v>1004</v>
      </c>
      <c r="B313" s="20">
        <v>38002</v>
      </c>
      <c r="C313" s="20" t="s">
        <v>1014</v>
      </c>
      <c r="D313" s="77" t="s">
        <v>490</v>
      </c>
      <c r="E313" s="77" t="s">
        <v>150</v>
      </c>
      <c r="F313" s="94">
        <v>7006697.330000001</v>
      </c>
      <c r="G313" s="94">
        <v>208828.59999999998</v>
      </c>
      <c r="H313" s="94">
        <v>-7527.37</v>
      </c>
      <c r="I313" s="94">
        <v>0</v>
      </c>
      <c r="J313" s="94">
        <v>7207998.5600000005</v>
      </c>
      <c r="K313" s="94">
        <v>7097350.1884615403</v>
      </c>
      <c r="L313" s="95">
        <v>0</v>
      </c>
      <c r="M313" s="94">
        <v>-3982623.0799999996</v>
      </c>
      <c r="N313" s="94">
        <v>-354406.5</v>
      </c>
      <c r="O313" s="94">
        <v>7527.37</v>
      </c>
      <c r="P313" s="94">
        <v>24225.07</v>
      </c>
      <c r="Q313" s="94">
        <v>0</v>
      </c>
      <c r="R313" s="94">
        <v>0</v>
      </c>
      <c r="S313" s="94">
        <v>-4305277.1399999997</v>
      </c>
      <c r="T313" s="94">
        <v>-4135559.8507692316</v>
      </c>
      <c r="U313" s="95">
        <v>0</v>
      </c>
      <c r="V313" s="96">
        <v>0.05</v>
      </c>
    </row>
    <row r="314" spans="1:22" ht="13" x14ac:dyDescent="0.3">
      <c r="A314" s="20" t="s">
        <v>1004</v>
      </c>
      <c r="B314" s="20">
        <v>38200</v>
      </c>
      <c r="C314" s="20" t="s">
        <v>1015</v>
      </c>
      <c r="D314" s="77" t="s">
        <v>491</v>
      </c>
      <c r="E314" s="77" t="s">
        <v>152</v>
      </c>
      <c r="F314" s="94">
        <v>1369048.1800000002</v>
      </c>
      <c r="G314" s="94">
        <v>42339.289999999994</v>
      </c>
      <c r="H314" s="94">
        <v>0</v>
      </c>
      <c r="I314" s="94">
        <v>0</v>
      </c>
      <c r="J314" s="94">
        <v>1411387.4700000002</v>
      </c>
      <c r="K314" s="94">
        <v>1387008.5592307693</v>
      </c>
      <c r="L314" s="95">
        <v>0</v>
      </c>
      <c r="M314" s="94">
        <v>-967804.48000000021</v>
      </c>
      <c r="N314" s="94">
        <v>-62323.96</v>
      </c>
      <c r="O314" s="94">
        <v>0</v>
      </c>
      <c r="P314" s="94">
        <v>0</v>
      </c>
      <c r="Q314" s="94">
        <v>0</v>
      </c>
      <c r="R314" s="94">
        <v>0</v>
      </c>
      <c r="S314" s="94">
        <v>-1030128.4400000002</v>
      </c>
      <c r="T314" s="94">
        <v>-998835.07615384634</v>
      </c>
      <c r="U314" s="95">
        <v>0</v>
      </c>
      <c r="V314" s="96">
        <v>4.4999999999999998E-2</v>
      </c>
    </row>
    <row r="315" spans="1:22" ht="13" x14ac:dyDescent="0.3">
      <c r="A315" s="20" t="s">
        <v>1004</v>
      </c>
      <c r="B315" s="20">
        <v>38300</v>
      </c>
      <c r="C315" s="20" t="s">
        <v>1016</v>
      </c>
      <c r="D315" s="77" t="s">
        <v>492</v>
      </c>
      <c r="E315" s="77" t="s">
        <v>153</v>
      </c>
      <c r="F315" s="94">
        <v>242853.09999999995</v>
      </c>
      <c r="G315" s="94">
        <v>1125.56</v>
      </c>
      <c r="H315" s="94">
        <v>0</v>
      </c>
      <c r="I315" s="94">
        <v>0</v>
      </c>
      <c r="J315" s="94">
        <v>243978.65999999995</v>
      </c>
      <c r="K315" s="94">
        <v>243711.78153846154</v>
      </c>
      <c r="L315" s="95">
        <v>0</v>
      </c>
      <c r="M315" s="94">
        <v>-120710.58</v>
      </c>
      <c r="N315" s="94">
        <v>-8772.8600000000024</v>
      </c>
      <c r="O315" s="94">
        <v>0</v>
      </c>
      <c r="P315" s="94">
        <v>0</v>
      </c>
      <c r="Q315" s="94">
        <v>0</v>
      </c>
      <c r="R315" s="94">
        <v>0</v>
      </c>
      <c r="S315" s="94">
        <v>-129483.44</v>
      </c>
      <c r="T315" s="94">
        <v>-125093.56538461539</v>
      </c>
      <c r="U315" s="95">
        <v>0</v>
      </c>
      <c r="V315" s="96">
        <v>3.5999999999999997E-2</v>
      </c>
    </row>
    <row r="316" spans="1:22" ht="13" x14ac:dyDescent="0.3">
      <c r="A316" s="20" t="s">
        <v>1004</v>
      </c>
      <c r="B316" s="20">
        <v>38400</v>
      </c>
      <c r="C316" s="20" t="s">
        <v>1017</v>
      </c>
      <c r="D316" s="77" t="s">
        <v>493</v>
      </c>
      <c r="E316" s="77" t="s">
        <v>154</v>
      </c>
      <c r="F316" s="94">
        <v>518455.64</v>
      </c>
      <c r="G316" s="94">
        <v>29360.569999999996</v>
      </c>
      <c r="H316" s="94">
        <v>0</v>
      </c>
      <c r="I316" s="94">
        <v>0</v>
      </c>
      <c r="J316" s="94">
        <v>547816.21</v>
      </c>
      <c r="K316" s="94">
        <v>527669.956923077</v>
      </c>
      <c r="L316" s="95">
        <v>0</v>
      </c>
      <c r="M316" s="94">
        <v>-359512.48000000016</v>
      </c>
      <c r="N316" s="94">
        <v>-23669.62</v>
      </c>
      <c r="O316" s="94">
        <v>0</v>
      </c>
      <c r="P316" s="94">
        <v>0</v>
      </c>
      <c r="Q316" s="94">
        <v>0</v>
      </c>
      <c r="R316" s="94">
        <v>0</v>
      </c>
      <c r="S316" s="94">
        <v>-383182.10000000015</v>
      </c>
      <c r="T316" s="94">
        <v>-371271.43230769254</v>
      </c>
      <c r="U316" s="95">
        <v>0</v>
      </c>
      <c r="V316" s="96">
        <v>4.4999999999999998E-2</v>
      </c>
    </row>
    <row r="317" spans="1:22" ht="13" x14ac:dyDescent="0.3">
      <c r="A317" s="20" t="s">
        <v>1004</v>
      </c>
      <c r="B317" s="20">
        <v>38500</v>
      </c>
      <c r="C317" s="20" t="s">
        <v>1018</v>
      </c>
      <c r="D317" s="77" t="s">
        <v>494</v>
      </c>
      <c r="E317" s="77" t="s">
        <v>155</v>
      </c>
      <c r="F317" s="94">
        <v>43028.87</v>
      </c>
      <c r="G317" s="94">
        <v>0</v>
      </c>
      <c r="H317" s="94">
        <v>0</v>
      </c>
      <c r="I317" s="94">
        <v>0</v>
      </c>
      <c r="J317" s="94">
        <v>43028.87</v>
      </c>
      <c r="K317" s="94">
        <v>43028.87</v>
      </c>
      <c r="L317" s="95">
        <v>0</v>
      </c>
      <c r="M317" s="94">
        <v>-9333.6299999999974</v>
      </c>
      <c r="N317" s="94">
        <v>-1333.92</v>
      </c>
      <c r="O317" s="94">
        <v>0</v>
      </c>
      <c r="P317" s="94">
        <v>0</v>
      </c>
      <c r="Q317" s="94">
        <v>0</v>
      </c>
      <c r="R317" s="94">
        <v>0</v>
      </c>
      <c r="S317" s="94">
        <v>-10667.549999999997</v>
      </c>
      <c r="T317" s="94">
        <v>-10000.589999999997</v>
      </c>
      <c r="U317" s="95">
        <v>0</v>
      </c>
      <c r="V317" s="96">
        <v>3.1E-2</v>
      </c>
    </row>
    <row r="318" spans="1:22" ht="13" x14ac:dyDescent="0.3">
      <c r="A318" s="20" t="s">
        <v>1004</v>
      </c>
      <c r="B318" s="20">
        <v>38700</v>
      </c>
      <c r="C318" s="20" t="s">
        <v>1019</v>
      </c>
      <c r="D318" s="77" t="s">
        <v>495</v>
      </c>
      <c r="E318" s="77" t="s">
        <v>156</v>
      </c>
      <c r="F318" s="94">
        <v>75627.679999999993</v>
      </c>
      <c r="G318" s="94">
        <v>7898.66</v>
      </c>
      <c r="H318" s="94">
        <v>0</v>
      </c>
      <c r="I318" s="94">
        <v>0</v>
      </c>
      <c r="J318" s="94">
        <v>83526.34</v>
      </c>
      <c r="K318" s="94">
        <v>79880.804615384593</v>
      </c>
      <c r="L318" s="95">
        <v>0</v>
      </c>
      <c r="M318" s="94">
        <v>-41947.410000000025</v>
      </c>
      <c r="N318" s="94">
        <v>-5013.3600000000015</v>
      </c>
      <c r="O318" s="94">
        <v>0</v>
      </c>
      <c r="P318" s="94">
        <v>0</v>
      </c>
      <c r="Q318" s="94">
        <v>0</v>
      </c>
      <c r="R318" s="94">
        <v>0</v>
      </c>
      <c r="S318" s="94">
        <v>-46960.770000000026</v>
      </c>
      <c r="T318" s="94">
        <v>-44396.683846153886</v>
      </c>
      <c r="U318" s="95">
        <v>0</v>
      </c>
      <c r="V318" s="96">
        <v>6.3E-2</v>
      </c>
    </row>
    <row r="319" spans="1:22" ht="13" x14ac:dyDescent="0.3">
      <c r="A319" s="20" t="s">
        <v>1004</v>
      </c>
      <c r="B319" s="20">
        <v>39000</v>
      </c>
      <c r="C319" s="20" t="s">
        <v>1020</v>
      </c>
      <c r="D319" s="77" t="s">
        <v>496</v>
      </c>
      <c r="E319" s="77" t="s">
        <v>157</v>
      </c>
      <c r="F319" s="94">
        <v>9582.32</v>
      </c>
      <c r="G319" s="94">
        <v>0</v>
      </c>
      <c r="H319" s="94">
        <v>0</v>
      </c>
      <c r="I319" s="94">
        <v>0</v>
      </c>
      <c r="J319" s="94">
        <v>9582.32</v>
      </c>
      <c r="K319" s="94">
        <v>9582.3200000000033</v>
      </c>
      <c r="L319" s="95">
        <v>0</v>
      </c>
      <c r="M319" s="94">
        <v>32391.280000000028</v>
      </c>
      <c r="N319" s="94">
        <v>-239.52000000000007</v>
      </c>
      <c r="O319" s="94">
        <v>0</v>
      </c>
      <c r="P319" s="94">
        <v>0</v>
      </c>
      <c r="Q319" s="94">
        <v>0</v>
      </c>
      <c r="R319" s="94">
        <v>0</v>
      </c>
      <c r="S319" s="94">
        <v>32151.760000000028</v>
      </c>
      <c r="T319" s="94">
        <v>32271.520000000037</v>
      </c>
      <c r="U319" s="95">
        <v>0</v>
      </c>
      <c r="V319" s="96">
        <v>2.5000000000000001E-2</v>
      </c>
    </row>
    <row r="320" spans="1:22" ht="13" x14ac:dyDescent="0.3">
      <c r="A320" s="20" t="s">
        <v>1004</v>
      </c>
      <c r="B320" s="20">
        <v>39002</v>
      </c>
      <c r="C320" s="20" t="s">
        <v>1021</v>
      </c>
      <c r="D320" s="77" t="s">
        <v>497</v>
      </c>
      <c r="E320" s="77" t="s">
        <v>158</v>
      </c>
      <c r="F320" s="94">
        <v>0</v>
      </c>
      <c r="G320" s="94">
        <v>0</v>
      </c>
      <c r="H320" s="94">
        <v>0</v>
      </c>
      <c r="I320" s="94">
        <v>0</v>
      </c>
      <c r="J320" s="94">
        <v>0</v>
      </c>
      <c r="K320" s="94">
        <v>0</v>
      </c>
      <c r="L320" s="95">
        <v>0</v>
      </c>
      <c r="M320" s="94">
        <v>0</v>
      </c>
      <c r="N320" s="94">
        <v>0</v>
      </c>
      <c r="O320" s="94">
        <v>0</v>
      </c>
      <c r="P320" s="94">
        <v>0</v>
      </c>
      <c r="Q320" s="94">
        <v>0</v>
      </c>
      <c r="R320" s="94">
        <v>0</v>
      </c>
      <c r="S320" s="94">
        <v>0</v>
      </c>
      <c r="T320" s="94">
        <v>0</v>
      </c>
      <c r="U320" s="95">
        <v>0</v>
      </c>
      <c r="V320" s="96">
        <v>2.5000000000000001E-2</v>
      </c>
    </row>
    <row r="321" spans="1:22" ht="13" x14ac:dyDescent="0.3">
      <c r="A321" s="20" t="s">
        <v>1004</v>
      </c>
      <c r="B321" s="20">
        <v>39100</v>
      </c>
      <c r="C321" s="20" t="s">
        <v>1022</v>
      </c>
      <c r="D321" s="77" t="s">
        <v>498</v>
      </c>
      <c r="E321" s="77" t="s">
        <v>159</v>
      </c>
      <c r="F321" s="94">
        <v>73604.08</v>
      </c>
      <c r="G321" s="94">
        <v>0</v>
      </c>
      <c r="H321" s="94">
        <v>0</v>
      </c>
      <c r="I321" s="94">
        <v>0</v>
      </c>
      <c r="J321" s="94">
        <v>73604.08</v>
      </c>
      <c r="K321" s="94">
        <v>73604.079999999987</v>
      </c>
      <c r="L321" s="95">
        <v>0</v>
      </c>
      <c r="M321" s="94">
        <v>-64364.719999999928</v>
      </c>
      <c r="N321" s="94">
        <v>-4931.5199999999995</v>
      </c>
      <c r="O321" s="94">
        <v>0</v>
      </c>
      <c r="P321" s="94">
        <v>0</v>
      </c>
      <c r="Q321" s="94">
        <v>0</v>
      </c>
      <c r="R321" s="94">
        <v>0</v>
      </c>
      <c r="S321" s="94">
        <v>-69296.239999999932</v>
      </c>
      <c r="T321" s="94">
        <v>-66830.479999999967</v>
      </c>
      <c r="U321" s="95">
        <v>0</v>
      </c>
      <c r="V321" s="96">
        <v>6.7000000000000004E-2</v>
      </c>
    </row>
    <row r="322" spans="1:22" ht="13" x14ac:dyDescent="0.3">
      <c r="A322" s="20" t="s">
        <v>1004</v>
      </c>
      <c r="B322" s="20">
        <v>39101</v>
      </c>
      <c r="C322" s="20" t="s">
        <v>1023</v>
      </c>
      <c r="D322" s="77" t="s">
        <v>499</v>
      </c>
      <c r="E322" s="77" t="s">
        <v>160</v>
      </c>
      <c r="F322" s="94">
        <v>21643.679999999993</v>
      </c>
      <c r="G322" s="94">
        <v>0</v>
      </c>
      <c r="H322" s="94">
        <v>0</v>
      </c>
      <c r="I322" s="94">
        <v>0</v>
      </c>
      <c r="J322" s="94">
        <v>21643.679999999993</v>
      </c>
      <c r="K322" s="94">
        <v>21643.679999999993</v>
      </c>
      <c r="L322" s="95">
        <v>0</v>
      </c>
      <c r="M322" s="94">
        <v>18883.500000000025</v>
      </c>
      <c r="N322" s="94">
        <v>-2705.52</v>
      </c>
      <c r="O322" s="94">
        <v>0</v>
      </c>
      <c r="P322" s="94">
        <v>0</v>
      </c>
      <c r="Q322" s="94">
        <v>0</v>
      </c>
      <c r="R322" s="94">
        <v>0</v>
      </c>
      <c r="S322" s="94">
        <v>16177.980000000025</v>
      </c>
      <c r="T322" s="94">
        <v>17530.740000000031</v>
      </c>
      <c r="U322" s="95">
        <v>0</v>
      </c>
      <c r="V322" s="96">
        <v>0.125</v>
      </c>
    </row>
    <row r="323" spans="1:22" ht="13" x14ac:dyDescent="0.3">
      <c r="A323" s="20" t="s">
        <v>1004</v>
      </c>
      <c r="B323" s="20">
        <v>39102</v>
      </c>
      <c r="C323" s="20" t="s">
        <v>1024</v>
      </c>
      <c r="D323" s="77" t="s">
        <v>500</v>
      </c>
      <c r="E323" s="77" t="s">
        <v>161</v>
      </c>
      <c r="F323" s="94">
        <v>4367.43</v>
      </c>
      <c r="G323" s="94">
        <v>0</v>
      </c>
      <c r="H323" s="94">
        <v>0</v>
      </c>
      <c r="I323" s="94">
        <v>0</v>
      </c>
      <c r="J323" s="94">
        <v>4367.43</v>
      </c>
      <c r="K323" s="94">
        <v>4367.43</v>
      </c>
      <c r="L323" s="95">
        <v>0</v>
      </c>
      <c r="M323" s="94">
        <v>-2436.5500000000038</v>
      </c>
      <c r="N323" s="94">
        <v>-292.56</v>
      </c>
      <c r="O323" s="94">
        <v>0</v>
      </c>
      <c r="P323" s="94">
        <v>0</v>
      </c>
      <c r="Q323" s="94">
        <v>0</v>
      </c>
      <c r="R323" s="94">
        <v>0</v>
      </c>
      <c r="S323" s="94">
        <v>-2729.1100000000038</v>
      </c>
      <c r="T323" s="94">
        <v>-2582.8300000000049</v>
      </c>
      <c r="U323" s="95">
        <v>0</v>
      </c>
      <c r="V323" s="96">
        <v>6.7000000000000004E-2</v>
      </c>
    </row>
    <row r="324" spans="1:22" ht="13" x14ac:dyDescent="0.3">
      <c r="A324" s="20" t="s">
        <v>1004</v>
      </c>
      <c r="B324" s="20">
        <v>39201</v>
      </c>
      <c r="C324" s="20" t="s">
        <v>1025</v>
      </c>
      <c r="D324" s="77" t="s">
        <v>501</v>
      </c>
      <c r="E324" s="77" t="s">
        <v>163</v>
      </c>
      <c r="F324" s="94">
        <v>141315.93000000002</v>
      </c>
      <c r="G324" s="94">
        <v>33878.22</v>
      </c>
      <c r="H324" s="94">
        <v>0</v>
      </c>
      <c r="I324" s="94">
        <v>-30266.58</v>
      </c>
      <c r="J324" s="94">
        <v>144927.57</v>
      </c>
      <c r="K324" s="94">
        <v>132558.77307692313</v>
      </c>
      <c r="L324" s="95">
        <v>0</v>
      </c>
      <c r="M324" s="94">
        <v>-68273.75</v>
      </c>
      <c r="N324" s="94">
        <v>-14731.149999999998</v>
      </c>
      <c r="O324" s="94">
        <v>0</v>
      </c>
      <c r="P324" s="94">
        <v>0</v>
      </c>
      <c r="Q324" s="94">
        <v>0</v>
      </c>
      <c r="R324" s="94">
        <v>9482.7899999999991</v>
      </c>
      <c r="S324" s="94">
        <v>-73522.11</v>
      </c>
      <c r="T324" s="94">
        <v>-71509.150769230764</v>
      </c>
      <c r="U324" s="95">
        <v>0</v>
      </c>
      <c r="V324" s="96">
        <v>0.112</v>
      </c>
    </row>
    <row r="325" spans="1:22" ht="13" x14ac:dyDescent="0.3">
      <c r="A325" s="20" t="s">
        <v>1004</v>
      </c>
      <c r="B325" s="20">
        <v>39202</v>
      </c>
      <c r="C325" s="20" t="s">
        <v>1026</v>
      </c>
      <c r="D325" s="77" t="s">
        <v>502</v>
      </c>
      <c r="E325" s="77" t="s">
        <v>164</v>
      </c>
      <c r="F325" s="94">
        <v>140211.22</v>
      </c>
      <c r="G325" s="94">
        <v>45384.55</v>
      </c>
      <c r="H325" s="94">
        <v>0</v>
      </c>
      <c r="I325" s="94">
        <v>0</v>
      </c>
      <c r="J325" s="94">
        <v>185595.77000000002</v>
      </c>
      <c r="K325" s="94">
        <v>157791.56000000003</v>
      </c>
      <c r="L325" s="95">
        <v>0</v>
      </c>
      <c r="M325" s="94">
        <v>-63182.939999999995</v>
      </c>
      <c r="N325" s="94">
        <v>-19745.25</v>
      </c>
      <c r="O325" s="94">
        <v>0</v>
      </c>
      <c r="P325" s="94">
        <v>0</v>
      </c>
      <c r="Q325" s="94">
        <v>0</v>
      </c>
      <c r="R325" s="94">
        <v>0</v>
      </c>
      <c r="S325" s="94">
        <v>-82928.19</v>
      </c>
      <c r="T325" s="94">
        <v>-72459.50769230767</v>
      </c>
      <c r="U325" s="95">
        <v>0</v>
      </c>
      <c r="V325" s="96">
        <v>0.127</v>
      </c>
    </row>
    <row r="326" spans="1:22" ht="13" x14ac:dyDescent="0.3">
      <c r="A326" s="20" t="s">
        <v>1004</v>
      </c>
      <c r="B326" s="20">
        <v>39204</v>
      </c>
      <c r="C326" s="20" t="s">
        <v>1027</v>
      </c>
      <c r="D326" s="77" t="s">
        <v>503</v>
      </c>
      <c r="E326" s="77" t="s">
        <v>166</v>
      </c>
      <c r="F326" s="94">
        <v>0</v>
      </c>
      <c r="G326" s="94">
        <v>0</v>
      </c>
      <c r="H326" s="94">
        <v>0</v>
      </c>
      <c r="I326" s="94">
        <v>0</v>
      </c>
      <c r="J326" s="94">
        <v>0</v>
      </c>
      <c r="K326" s="94">
        <v>0</v>
      </c>
      <c r="L326" s="95">
        <v>0</v>
      </c>
      <c r="M326" s="94">
        <v>-4.3699999999982992</v>
      </c>
      <c r="N326" s="94">
        <v>0</v>
      </c>
      <c r="O326" s="94">
        <v>0</v>
      </c>
      <c r="P326" s="94">
        <v>0</v>
      </c>
      <c r="Q326" s="94">
        <v>0</v>
      </c>
      <c r="R326" s="94">
        <v>0</v>
      </c>
      <c r="S326" s="94">
        <v>-4.3699999999982992</v>
      </c>
      <c r="T326" s="94">
        <v>-4.3699999999982992</v>
      </c>
      <c r="U326" s="95">
        <v>0</v>
      </c>
      <c r="V326" s="96">
        <v>0.04</v>
      </c>
    </row>
    <row r="327" spans="1:22" ht="13" x14ac:dyDescent="0.3">
      <c r="A327" s="20" t="s">
        <v>1004</v>
      </c>
      <c r="B327" s="20">
        <v>39205</v>
      </c>
      <c r="C327" s="20" t="s">
        <v>1028</v>
      </c>
      <c r="D327" s="77" t="s">
        <v>504</v>
      </c>
      <c r="E327" s="77" t="s">
        <v>167</v>
      </c>
      <c r="F327" s="94">
        <v>0</v>
      </c>
      <c r="G327" s="94">
        <v>0</v>
      </c>
      <c r="H327" s="94">
        <v>0</v>
      </c>
      <c r="I327" s="94">
        <v>0</v>
      </c>
      <c r="J327" s="94">
        <v>0</v>
      </c>
      <c r="K327" s="94">
        <v>0</v>
      </c>
      <c r="L327" s="95">
        <v>0</v>
      </c>
      <c r="M327" s="94">
        <v>0</v>
      </c>
      <c r="N327" s="94">
        <v>0</v>
      </c>
      <c r="O327" s="94">
        <v>0</v>
      </c>
      <c r="P327" s="94">
        <v>0</v>
      </c>
      <c r="Q327" s="94">
        <v>0</v>
      </c>
      <c r="R327" s="94">
        <v>0</v>
      </c>
      <c r="S327" s="94">
        <v>0</v>
      </c>
      <c r="T327" s="94">
        <v>0</v>
      </c>
      <c r="U327" s="95">
        <v>0</v>
      </c>
      <c r="V327" s="96">
        <v>7.3999999999999996E-2</v>
      </c>
    </row>
    <row r="328" spans="1:22" ht="13" x14ac:dyDescent="0.3">
      <c r="A328" s="20" t="s">
        <v>1004</v>
      </c>
      <c r="B328" s="20">
        <v>39300</v>
      </c>
      <c r="C328" s="20" t="s">
        <v>1029</v>
      </c>
      <c r="D328" s="77" t="s">
        <v>505</v>
      </c>
      <c r="E328" s="77" t="s">
        <v>168</v>
      </c>
      <c r="F328" s="94">
        <v>0</v>
      </c>
      <c r="G328" s="94">
        <v>0</v>
      </c>
      <c r="H328" s="94">
        <v>0</v>
      </c>
      <c r="I328" s="94">
        <v>0</v>
      </c>
      <c r="J328" s="94">
        <v>0</v>
      </c>
      <c r="K328" s="94">
        <v>0</v>
      </c>
      <c r="L328" s="95">
        <v>0</v>
      </c>
      <c r="M328" s="94">
        <v>236.99000000000024</v>
      </c>
      <c r="N328" s="94">
        <v>0</v>
      </c>
      <c r="O328" s="94">
        <v>0</v>
      </c>
      <c r="P328" s="94">
        <v>0</v>
      </c>
      <c r="Q328" s="94">
        <v>0</v>
      </c>
      <c r="R328" s="94">
        <v>0</v>
      </c>
      <c r="S328" s="94">
        <v>236.99000000000024</v>
      </c>
      <c r="T328" s="94">
        <v>236.99000000000024</v>
      </c>
      <c r="U328" s="95">
        <v>0</v>
      </c>
      <c r="V328" s="96">
        <v>0.04</v>
      </c>
    </row>
    <row r="329" spans="1:22" ht="13" x14ac:dyDescent="0.3">
      <c r="A329" s="20" t="s">
        <v>1004</v>
      </c>
      <c r="B329" s="20">
        <v>39400</v>
      </c>
      <c r="C329" s="20" t="s">
        <v>1030</v>
      </c>
      <c r="D329" s="77" t="s">
        <v>506</v>
      </c>
      <c r="E329" s="77" t="s">
        <v>169</v>
      </c>
      <c r="F329" s="94">
        <v>48806.19</v>
      </c>
      <c r="G329" s="94">
        <v>21759.39</v>
      </c>
      <c r="H329" s="94">
        <v>0</v>
      </c>
      <c r="I329" s="94">
        <v>0</v>
      </c>
      <c r="J329" s="94">
        <v>70565.58</v>
      </c>
      <c r="K329" s="94">
        <v>51956.49615384615</v>
      </c>
      <c r="L329" s="95">
        <v>0</v>
      </c>
      <c r="M329" s="94">
        <v>-29058.580000000013</v>
      </c>
      <c r="N329" s="94">
        <v>-3326.7599999999998</v>
      </c>
      <c r="O329" s="94">
        <v>0</v>
      </c>
      <c r="P329" s="94">
        <v>0</v>
      </c>
      <c r="Q329" s="94">
        <v>0</v>
      </c>
      <c r="R329" s="94">
        <v>0</v>
      </c>
      <c r="S329" s="94">
        <v>-32385.340000000011</v>
      </c>
      <c r="T329" s="94">
        <v>-30674.5753846154</v>
      </c>
      <c r="U329" s="95">
        <v>0</v>
      </c>
      <c r="V329" s="96">
        <v>6.6000000000000003E-2</v>
      </c>
    </row>
    <row r="330" spans="1:22" ht="13" x14ac:dyDescent="0.3">
      <c r="A330" s="20" t="s">
        <v>1004</v>
      </c>
      <c r="B330" s="20">
        <v>39600</v>
      </c>
      <c r="C330" s="20" t="s">
        <v>1031</v>
      </c>
      <c r="D330" s="77" t="s">
        <v>507</v>
      </c>
      <c r="E330" s="77" t="s">
        <v>171</v>
      </c>
      <c r="F330" s="94">
        <v>0</v>
      </c>
      <c r="G330" s="94">
        <v>0</v>
      </c>
      <c r="H330" s="94">
        <v>0</v>
      </c>
      <c r="I330" s="94">
        <v>0</v>
      </c>
      <c r="J330" s="94">
        <v>0</v>
      </c>
      <c r="K330" s="94">
        <v>0</v>
      </c>
      <c r="L330" s="95">
        <v>0</v>
      </c>
      <c r="M330" s="94">
        <v>-2409.7899999999972</v>
      </c>
      <c r="N330" s="94">
        <v>0</v>
      </c>
      <c r="O330" s="94">
        <v>0</v>
      </c>
      <c r="P330" s="94">
        <v>0</v>
      </c>
      <c r="Q330" s="94">
        <v>0</v>
      </c>
      <c r="R330" s="94">
        <v>0</v>
      </c>
      <c r="S330" s="94">
        <v>-2409.7899999999972</v>
      </c>
      <c r="T330" s="94">
        <v>-2409.7899999999972</v>
      </c>
      <c r="U330" s="95">
        <v>0</v>
      </c>
      <c r="V330" s="96">
        <v>6.4000000000000001E-2</v>
      </c>
    </row>
    <row r="331" spans="1:22" ht="13" x14ac:dyDescent="0.3">
      <c r="A331" s="20" t="s">
        <v>1004</v>
      </c>
      <c r="B331" s="20">
        <v>39700</v>
      </c>
      <c r="C331" s="20" t="s">
        <v>1032</v>
      </c>
      <c r="D331" s="77" t="s">
        <v>508</v>
      </c>
      <c r="E331" s="77" t="s">
        <v>172</v>
      </c>
      <c r="F331" s="94">
        <v>35840.239999999991</v>
      </c>
      <c r="G331" s="94">
        <v>38213.69</v>
      </c>
      <c r="H331" s="94">
        <v>0</v>
      </c>
      <c r="I331" s="94">
        <v>0</v>
      </c>
      <c r="J331" s="94">
        <v>74053.929999999993</v>
      </c>
      <c r="K331" s="94">
        <v>45697.878461538457</v>
      </c>
      <c r="L331" s="95">
        <v>0</v>
      </c>
      <c r="M331" s="94">
        <v>21302.740000000085</v>
      </c>
      <c r="N331" s="94">
        <v>-3640.1000000000008</v>
      </c>
      <c r="O331" s="94">
        <v>0</v>
      </c>
      <c r="P331" s="94">
        <v>0</v>
      </c>
      <c r="Q331" s="94">
        <v>0</v>
      </c>
      <c r="R331" s="94">
        <v>0</v>
      </c>
      <c r="S331" s="94">
        <v>17662.640000000083</v>
      </c>
      <c r="T331" s="94">
        <v>19667.81846153854</v>
      </c>
      <c r="U331" s="95">
        <v>0</v>
      </c>
      <c r="V331" s="96">
        <v>8.4000000000000005E-2</v>
      </c>
    </row>
    <row r="332" spans="1:22" ht="13" x14ac:dyDescent="0.3">
      <c r="A332" s="20" t="s">
        <v>1004</v>
      </c>
      <c r="B332" s="20">
        <v>39800</v>
      </c>
      <c r="C332" s="20" t="s">
        <v>1033</v>
      </c>
      <c r="D332" s="77" t="s">
        <v>509</v>
      </c>
      <c r="E332" s="77" t="s">
        <v>173</v>
      </c>
      <c r="F332" s="94">
        <v>7486.9</v>
      </c>
      <c r="G332" s="94">
        <v>0</v>
      </c>
      <c r="H332" s="94">
        <v>0</v>
      </c>
      <c r="I332" s="94">
        <v>0</v>
      </c>
      <c r="J332" s="94">
        <v>7486.9</v>
      </c>
      <c r="K332" s="94">
        <v>7486.8999999999987</v>
      </c>
      <c r="L332" s="95">
        <v>0</v>
      </c>
      <c r="M332" s="94">
        <v>-2328.3499999999963</v>
      </c>
      <c r="N332" s="94">
        <v>-441.72</v>
      </c>
      <c r="O332" s="94">
        <v>0</v>
      </c>
      <c r="P332" s="94">
        <v>0</v>
      </c>
      <c r="Q332" s="94">
        <v>0</v>
      </c>
      <c r="R332" s="94">
        <v>0</v>
      </c>
      <c r="S332" s="94">
        <v>-2770.0699999999961</v>
      </c>
      <c r="T332" s="94">
        <v>-2549.2099999999959</v>
      </c>
      <c r="U332" s="95">
        <v>0</v>
      </c>
      <c r="V332" s="96">
        <v>5.8999999999999997E-2</v>
      </c>
    </row>
    <row r="333" spans="1:22" ht="13" x14ac:dyDescent="0.3">
      <c r="A333" s="20" t="s">
        <v>1034</v>
      </c>
      <c r="B333" s="20">
        <v>30100</v>
      </c>
      <c r="C333" s="20" t="s">
        <v>1035</v>
      </c>
      <c r="D333" s="77" t="s">
        <v>510</v>
      </c>
      <c r="E333" s="77" t="s">
        <v>138</v>
      </c>
      <c r="F333" s="94">
        <v>498.5</v>
      </c>
      <c r="G333" s="94">
        <v>0</v>
      </c>
      <c r="H333" s="94">
        <v>0</v>
      </c>
      <c r="I333" s="94">
        <v>0</v>
      </c>
      <c r="J333" s="94">
        <v>498.5</v>
      </c>
      <c r="K333" s="94">
        <v>498.5</v>
      </c>
      <c r="L333" s="95">
        <v>0</v>
      </c>
      <c r="M333" s="94">
        <v>0</v>
      </c>
      <c r="N333" s="94">
        <v>0</v>
      </c>
      <c r="O333" s="94">
        <v>0</v>
      </c>
      <c r="P333" s="94">
        <v>0</v>
      </c>
      <c r="Q333" s="94">
        <v>0</v>
      </c>
      <c r="R333" s="94">
        <v>0</v>
      </c>
      <c r="S333" s="94">
        <v>0</v>
      </c>
      <c r="T333" s="94">
        <v>0</v>
      </c>
      <c r="U333" s="95">
        <v>0</v>
      </c>
      <c r="V333" s="96">
        <v>0</v>
      </c>
    </row>
    <row r="334" spans="1:22" ht="13" x14ac:dyDescent="0.3">
      <c r="A334" s="20" t="s">
        <v>1034</v>
      </c>
      <c r="B334" s="20">
        <v>30200</v>
      </c>
      <c r="C334" s="20" t="s">
        <v>1036</v>
      </c>
      <c r="D334" s="77" t="s">
        <v>511</v>
      </c>
      <c r="E334" s="77" t="s">
        <v>139</v>
      </c>
      <c r="F334" s="94">
        <v>0</v>
      </c>
      <c r="G334" s="94">
        <v>0</v>
      </c>
      <c r="H334" s="94">
        <v>0</v>
      </c>
      <c r="I334" s="94">
        <v>0</v>
      </c>
      <c r="J334" s="94">
        <v>0</v>
      </c>
      <c r="K334" s="94">
        <v>0</v>
      </c>
      <c r="L334" s="95">
        <v>0</v>
      </c>
      <c r="M334" s="94">
        <v>0</v>
      </c>
      <c r="N334" s="94">
        <v>0</v>
      </c>
      <c r="O334" s="94">
        <v>0</v>
      </c>
      <c r="P334" s="94">
        <v>0</v>
      </c>
      <c r="Q334" s="94">
        <v>0</v>
      </c>
      <c r="R334" s="94">
        <v>0</v>
      </c>
      <c r="S334" s="94">
        <v>0</v>
      </c>
      <c r="T334" s="94">
        <v>0</v>
      </c>
      <c r="U334" s="95">
        <v>0</v>
      </c>
      <c r="V334" s="96">
        <v>0.04</v>
      </c>
    </row>
    <row r="335" spans="1:22" ht="13" x14ac:dyDescent="0.3">
      <c r="A335" s="20" t="s">
        <v>1034</v>
      </c>
      <c r="B335" s="20">
        <v>30300</v>
      </c>
      <c r="C335" s="20" t="s">
        <v>1037</v>
      </c>
      <c r="D335" s="77" t="s">
        <v>512</v>
      </c>
      <c r="E335" s="77" t="s">
        <v>140</v>
      </c>
      <c r="F335" s="94">
        <v>302653.38</v>
      </c>
      <c r="G335" s="94">
        <v>0</v>
      </c>
      <c r="H335" s="94">
        <v>0</v>
      </c>
      <c r="I335" s="94">
        <v>0</v>
      </c>
      <c r="J335" s="94">
        <v>302653.38</v>
      </c>
      <c r="K335" s="94">
        <v>302653.37999999995</v>
      </c>
      <c r="L335" s="95">
        <v>0</v>
      </c>
      <c r="M335" s="94">
        <v>-272172.40000000014</v>
      </c>
      <c r="N335" s="94">
        <v>-12106.08</v>
      </c>
      <c r="O335" s="94">
        <v>0</v>
      </c>
      <c r="P335" s="94">
        <v>0</v>
      </c>
      <c r="Q335" s="94">
        <v>0</v>
      </c>
      <c r="R335" s="94">
        <v>0</v>
      </c>
      <c r="S335" s="94">
        <v>-284278.48000000016</v>
      </c>
      <c r="T335" s="94">
        <v>-278225.44000000035</v>
      </c>
      <c r="U335" s="95">
        <v>0</v>
      </c>
      <c r="V335" s="96">
        <v>0.04</v>
      </c>
    </row>
    <row r="336" spans="1:22" ht="13" x14ac:dyDescent="0.3">
      <c r="A336" s="20" t="s">
        <v>1034</v>
      </c>
      <c r="B336" s="20">
        <v>30301</v>
      </c>
      <c r="C336" s="20" t="s">
        <v>1038</v>
      </c>
      <c r="D336" s="77" t="s">
        <v>513</v>
      </c>
      <c r="E336" s="77" t="s">
        <v>141</v>
      </c>
      <c r="F336" s="94">
        <v>21593.74</v>
      </c>
      <c r="G336" s="94">
        <v>0</v>
      </c>
      <c r="H336" s="94">
        <v>-21593.74</v>
      </c>
      <c r="I336" s="94">
        <v>0</v>
      </c>
      <c r="J336" s="94">
        <v>0</v>
      </c>
      <c r="K336" s="94">
        <v>3322.1138461538462</v>
      </c>
      <c r="L336" s="95">
        <v>0</v>
      </c>
      <c r="M336" s="94">
        <v>-21593.740000000016</v>
      </c>
      <c r="N336" s="94">
        <v>0</v>
      </c>
      <c r="O336" s="94">
        <v>21593.74</v>
      </c>
      <c r="P336" s="94">
        <v>0</v>
      </c>
      <c r="Q336" s="94">
        <v>0</v>
      </c>
      <c r="R336" s="94">
        <v>0</v>
      </c>
      <c r="S336" s="94">
        <v>-1.4551915228366852E-11</v>
      </c>
      <c r="T336" s="94">
        <v>-3322.1138461538608</v>
      </c>
      <c r="U336" s="95">
        <v>0</v>
      </c>
      <c r="V336" s="96">
        <v>6.7000000000000004E-2</v>
      </c>
    </row>
    <row r="337" spans="1:22" ht="13" x14ac:dyDescent="0.3">
      <c r="A337" s="20" t="s">
        <v>1034</v>
      </c>
      <c r="B337" s="20">
        <v>37400</v>
      </c>
      <c r="C337" s="20" t="s">
        <v>1039</v>
      </c>
      <c r="D337" s="77" t="s">
        <v>514</v>
      </c>
      <c r="E337" s="77" t="s">
        <v>142</v>
      </c>
      <c r="F337" s="94">
        <v>1006884.63</v>
      </c>
      <c r="G337" s="94">
        <v>0</v>
      </c>
      <c r="H337" s="94">
        <v>0</v>
      </c>
      <c r="I337" s="94">
        <v>0</v>
      </c>
      <c r="J337" s="94">
        <v>1006884.63</v>
      </c>
      <c r="K337" s="94">
        <v>1006884.6300000002</v>
      </c>
      <c r="L337" s="95">
        <v>0</v>
      </c>
      <c r="M337" s="94">
        <v>0</v>
      </c>
      <c r="N337" s="94">
        <v>0</v>
      </c>
      <c r="O337" s="94">
        <v>0</v>
      </c>
      <c r="P337" s="94">
        <v>0</v>
      </c>
      <c r="Q337" s="94">
        <v>0</v>
      </c>
      <c r="R337" s="94">
        <v>0</v>
      </c>
      <c r="S337" s="94">
        <v>0</v>
      </c>
      <c r="T337" s="94">
        <v>0</v>
      </c>
      <c r="U337" s="95">
        <v>0</v>
      </c>
      <c r="V337" s="96">
        <v>0</v>
      </c>
    </row>
    <row r="338" spans="1:22" ht="13" x14ac:dyDescent="0.3">
      <c r="A338" s="20" t="s">
        <v>1034</v>
      </c>
      <c r="B338" s="20">
        <v>37500</v>
      </c>
      <c r="C338" s="20" t="s">
        <v>1040</v>
      </c>
      <c r="D338" s="77" t="s">
        <v>515</v>
      </c>
      <c r="E338" s="77" t="s">
        <v>144</v>
      </c>
      <c r="F338" s="94">
        <v>969236.87</v>
      </c>
      <c r="G338" s="94">
        <v>69569.51999999999</v>
      </c>
      <c r="H338" s="94">
        <v>0</v>
      </c>
      <c r="I338" s="94">
        <v>0</v>
      </c>
      <c r="J338" s="94">
        <v>1038806.39</v>
      </c>
      <c r="K338" s="94">
        <v>983035.82692307676</v>
      </c>
      <c r="L338" s="95">
        <v>0</v>
      </c>
      <c r="M338" s="94">
        <v>-225365.99</v>
      </c>
      <c r="N338" s="94">
        <v>-24459.659999999996</v>
      </c>
      <c r="O338" s="94">
        <v>0</v>
      </c>
      <c r="P338" s="94">
        <v>0</v>
      </c>
      <c r="Q338" s="94">
        <v>0</v>
      </c>
      <c r="R338" s="94">
        <v>0</v>
      </c>
      <c r="S338" s="94">
        <v>-249825.65</v>
      </c>
      <c r="T338" s="94">
        <v>-237543.02461538458</v>
      </c>
      <c r="U338" s="95">
        <v>0</v>
      </c>
      <c r="V338" s="96">
        <v>2.5000000000000001E-2</v>
      </c>
    </row>
    <row r="339" spans="1:22" ht="13" x14ac:dyDescent="0.3">
      <c r="A339" s="20" t="s">
        <v>1034</v>
      </c>
      <c r="B339" s="20">
        <v>37600</v>
      </c>
      <c r="C339" s="20" t="s">
        <v>1041</v>
      </c>
      <c r="D339" s="77" t="s">
        <v>516</v>
      </c>
      <c r="E339" s="77" t="s">
        <v>145</v>
      </c>
      <c r="F339" s="94">
        <v>3970399.8799999994</v>
      </c>
      <c r="G339" s="94">
        <v>71763.73</v>
      </c>
      <c r="H339" s="94">
        <v>-2700.41</v>
      </c>
      <c r="I339" s="94">
        <v>0</v>
      </c>
      <c r="J339" s="94">
        <v>4039463.1999999993</v>
      </c>
      <c r="K339" s="94">
        <v>4012633.3146153837</v>
      </c>
      <c r="L339" s="95">
        <v>0</v>
      </c>
      <c r="M339" s="94">
        <v>-4422255.7100000028</v>
      </c>
      <c r="N339" s="94">
        <v>-168436.67</v>
      </c>
      <c r="O339" s="94">
        <v>2700.41</v>
      </c>
      <c r="P339" s="94">
        <v>-1271.7100000000028</v>
      </c>
      <c r="Q339" s="94">
        <v>0</v>
      </c>
      <c r="R339" s="94">
        <v>0</v>
      </c>
      <c r="S339" s="94">
        <v>-4589263.6800000025</v>
      </c>
      <c r="T339" s="94">
        <v>-4498620.7353846179</v>
      </c>
      <c r="U339" s="95">
        <v>0</v>
      </c>
      <c r="V339" s="96">
        <v>4.2000000000000003E-2</v>
      </c>
    </row>
    <row r="340" spans="1:22" ht="13" x14ac:dyDescent="0.3">
      <c r="A340" s="20" t="s">
        <v>1034</v>
      </c>
      <c r="B340" s="20">
        <v>37602</v>
      </c>
      <c r="C340" s="20" t="s">
        <v>1042</v>
      </c>
      <c r="D340" s="77" t="s">
        <v>517</v>
      </c>
      <c r="E340" s="77" t="s">
        <v>146</v>
      </c>
      <c r="F340" s="94">
        <v>12412121.479999999</v>
      </c>
      <c r="G340" s="94">
        <v>248007.66999999998</v>
      </c>
      <c r="H340" s="94">
        <v>0</v>
      </c>
      <c r="I340" s="94">
        <v>0</v>
      </c>
      <c r="J340" s="94">
        <v>12660129.149999999</v>
      </c>
      <c r="K340" s="94">
        <v>12555227.135384617</v>
      </c>
      <c r="L340" s="95">
        <v>0</v>
      </c>
      <c r="M340" s="94">
        <v>-6921696.1299999952</v>
      </c>
      <c r="N340" s="94">
        <v>-388941.04</v>
      </c>
      <c r="O340" s="94">
        <v>0</v>
      </c>
      <c r="P340" s="94">
        <v>-3869.4000000000015</v>
      </c>
      <c r="Q340" s="94">
        <v>0</v>
      </c>
      <c r="R340" s="94">
        <v>0</v>
      </c>
      <c r="S340" s="94">
        <v>-7314506.5699999956</v>
      </c>
      <c r="T340" s="94">
        <v>-7099013.2769230735</v>
      </c>
      <c r="U340" s="95">
        <v>0</v>
      </c>
      <c r="V340" s="96">
        <v>3.1E-2</v>
      </c>
    </row>
    <row r="341" spans="1:22" ht="13" x14ac:dyDescent="0.3">
      <c r="A341" s="20" t="s">
        <v>1034</v>
      </c>
      <c r="B341" s="20">
        <v>37602</v>
      </c>
      <c r="C341" s="20" t="s">
        <v>1042</v>
      </c>
      <c r="D341" s="77" t="s">
        <v>518</v>
      </c>
      <c r="E341" s="77" t="s">
        <v>146</v>
      </c>
      <c r="F341" s="94">
        <v>0</v>
      </c>
      <c r="G341" s="94">
        <v>0</v>
      </c>
      <c r="H341" s="94">
        <v>0</v>
      </c>
      <c r="I341" s="94">
        <v>0</v>
      </c>
      <c r="J341" s="94">
        <v>0</v>
      </c>
      <c r="K341" s="94">
        <v>0</v>
      </c>
      <c r="L341" s="95">
        <v>0</v>
      </c>
      <c r="M341" s="94">
        <v>-21794.47</v>
      </c>
      <c r="N341" s="94">
        <v>0</v>
      </c>
      <c r="O341" s="94">
        <v>0</v>
      </c>
      <c r="P341" s="94">
        <v>0</v>
      </c>
      <c r="Q341" s="94">
        <v>0</v>
      </c>
      <c r="R341" s="94">
        <v>0</v>
      </c>
      <c r="S341" s="94">
        <v>-21794.47</v>
      </c>
      <c r="T341" s="94">
        <v>-21794.469999999998</v>
      </c>
      <c r="U341" s="95">
        <v>0</v>
      </c>
      <c r="V341" s="96">
        <v>3.1E-2</v>
      </c>
    </row>
    <row r="342" spans="1:22" ht="13" x14ac:dyDescent="0.3">
      <c r="A342" s="20" t="s">
        <v>1034</v>
      </c>
      <c r="B342" s="20">
        <v>37602</v>
      </c>
      <c r="C342" s="20" t="s">
        <v>1042</v>
      </c>
      <c r="D342" s="77" t="s">
        <v>519</v>
      </c>
      <c r="E342" s="77" t="s">
        <v>146</v>
      </c>
      <c r="F342" s="94">
        <v>0</v>
      </c>
      <c r="G342" s="94">
        <v>0</v>
      </c>
      <c r="H342" s="94">
        <v>0</v>
      </c>
      <c r="I342" s="94">
        <v>0</v>
      </c>
      <c r="J342" s="94">
        <v>0</v>
      </c>
      <c r="K342" s="94">
        <v>0</v>
      </c>
      <c r="L342" s="95">
        <v>0</v>
      </c>
      <c r="M342" s="94">
        <v>-3489.1400000000003</v>
      </c>
      <c r="N342" s="94">
        <v>0</v>
      </c>
      <c r="O342" s="94">
        <v>0</v>
      </c>
      <c r="P342" s="94">
        <v>0</v>
      </c>
      <c r="Q342" s="94">
        <v>0</v>
      </c>
      <c r="R342" s="94">
        <v>0</v>
      </c>
      <c r="S342" s="94">
        <v>-3489.1400000000003</v>
      </c>
      <c r="T342" s="94">
        <v>-3489.14</v>
      </c>
      <c r="U342" s="95">
        <v>0</v>
      </c>
      <c r="V342" s="96">
        <v>3.1E-2</v>
      </c>
    </row>
    <row r="343" spans="1:22" ht="13" x14ac:dyDescent="0.3">
      <c r="A343" s="20" t="s">
        <v>1034</v>
      </c>
      <c r="B343" s="20">
        <v>37800</v>
      </c>
      <c r="C343" s="20" t="s">
        <v>1043</v>
      </c>
      <c r="D343" s="77" t="s">
        <v>520</v>
      </c>
      <c r="E343" s="77" t="s">
        <v>147</v>
      </c>
      <c r="F343" s="94">
        <v>289212.03000000003</v>
      </c>
      <c r="G343" s="94">
        <v>723.06</v>
      </c>
      <c r="H343" s="94">
        <v>0</v>
      </c>
      <c r="I343" s="94">
        <v>0</v>
      </c>
      <c r="J343" s="94">
        <v>289935.09000000003</v>
      </c>
      <c r="K343" s="94">
        <v>289323.27000000008</v>
      </c>
      <c r="L343" s="95">
        <v>0</v>
      </c>
      <c r="M343" s="94">
        <v>-54171.199999999983</v>
      </c>
      <c r="N343" s="94">
        <v>-9835.2100000000009</v>
      </c>
      <c r="O343" s="94">
        <v>0</v>
      </c>
      <c r="P343" s="94">
        <v>0</v>
      </c>
      <c r="Q343" s="94">
        <v>0</v>
      </c>
      <c r="R343" s="94">
        <v>0</v>
      </c>
      <c r="S343" s="94">
        <v>-64006.409999999982</v>
      </c>
      <c r="T343" s="94">
        <v>-59087.937692307671</v>
      </c>
      <c r="U343" s="95">
        <v>0</v>
      </c>
      <c r="V343" s="96">
        <v>3.4000000000000002E-2</v>
      </c>
    </row>
    <row r="344" spans="1:22" ht="13" x14ac:dyDescent="0.3">
      <c r="A344" s="20" t="s">
        <v>1034</v>
      </c>
      <c r="B344" s="20">
        <v>37800</v>
      </c>
      <c r="C344" s="20" t="s">
        <v>1043</v>
      </c>
      <c r="D344" s="77" t="s">
        <v>521</v>
      </c>
      <c r="E344" s="77" t="s">
        <v>147</v>
      </c>
      <c r="F344" s="94">
        <v>25582.469999999998</v>
      </c>
      <c r="G344" s="94">
        <v>0</v>
      </c>
      <c r="H344" s="94">
        <v>0</v>
      </c>
      <c r="I344" s="94">
        <v>0</v>
      </c>
      <c r="J344" s="94">
        <v>25582.469999999998</v>
      </c>
      <c r="K344" s="94">
        <v>25582.469999999994</v>
      </c>
      <c r="L344" s="95">
        <v>0</v>
      </c>
      <c r="M344" s="94">
        <v>-48913.249999999971</v>
      </c>
      <c r="N344" s="94">
        <v>-869.7600000000001</v>
      </c>
      <c r="O344" s="94">
        <v>0</v>
      </c>
      <c r="P344" s="94">
        <v>0</v>
      </c>
      <c r="Q344" s="94">
        <v>0</v>
      </c>
      <c r="R344" s="94">
        <v>0</v>
      </c>
      <c r="S344" s="94">
        <v>-49783.009999999973</v>
      </c>
      <c r="T344" s="94">
        <v>-49348.13</v>
      </c>
      <c r="U344" s="95">
        <v>0</v>
      </c>
      <c r="V344" s="96">
        <v>3.4000000000000002E-2</v>
      </c>
    </row>
    <row r="345" spans="1:22" ht="13" x14ac:dyDescent="0.3">
      <c r="A345" s="20" t="s">
        <v>1034</v>
      </c>
      <c r="B345" s="20">
        <v>37900</v>
      </c>
      <c r="C345" s="20" t="s">
        <v>1044</v>
      </c>
      <c r="D345" s="77" t="s">
        <v>522</v>
      </c>
      <c r="E345" s="77" t="s">
        <v>148</v>
      </c>
      <c r="F345" s="94">
        <v>1923578.4000000004</v>
      </c>
      <c r="G345" s="94">
        <v>6393.48</v>
      </c>
      <c r="H345" s="94">
        <v>0</v>
      </c>
      <c r="I345" s="94">
        <v>0</v>
      </c>
      <c r="J345" s="94">
        <v>1929971.8800000004</v>
      </c>
      <c r="K345" s="94">
        <v>1931337.7507692305</v>
      </c>
      <c r="L345" s="95">
        <v>0</v>
      </c>
      <c r="M345" s="94">
        <v>-299639.22000000003</v>
      </c>
      <c r="N345" s="94">
        <v>-65669.289999999979</v>
      </c>
      <c r="O345" s="94">
        <v>0</v>
      </c>
      <c r="P345" s="94">
        <v>0</v>
      </c>
      <c r="Q345" s="94">
        <v>0</v>
      </c>
      <c r="R345" s="94">
        <v>0</v>
      </c>
      <c r="S345" s="94">
        <v>-365308.51</v>
      </c>
      <c r="T345" s="94">
        <v>-332466.20307692327</v>
      </c>
      <c r="U345" s="95">
        <v>0</v>
      </c>
      <c r="V345" s="96">
        <v>3.4000000000000002E-2</v>
      </c>
    </row>
    <row r="346" spans="1:22" ht="13" x14ac:dyDescent="0.3">
      <c r="A346" s="20" t="s">
        <v>1034</v>
      </c>
      <c r="B346" s="20">
        <v>37900</v>
      </c>
      <c r="C346" s="20" t="s">
        <v>1044</v>
      </c>
      <c r="D346" s="77" t="s">
        <v>523</v>
      </c>
      <c r="E346" s="77" t="s">
        <v>148</v>
      </c>
      <c r="F346" s="94">
        <v>15389.48</v>
      </c>
      <c r="G346" s="94">
        <v>0</v>
      </c>
      <c r="H346" s="94">
        <v>0</v>
      </c>
      <c r="I346" s="94">
        <v>0</v>
      </c>
      <c r="J346" s="94">
        <v>15389.48</v>
      </c>
      <c r="K346" s="94">
        <v>15389.480000000001</v>
      </c>
      <c r="L346" s="95">
        <v>0</v>
      </c>
      <c r="M346" s="94">
        <v>-15112.000000000027</v>
      </c>
      <c r="N346" s="94">
        <v>-523.32000000000005</v>
      </c>
      <c r="O346" s="94">
        <v>0</v>
      </c>
      <c r="P346" s="94">
        <v>0</v>
      </c>
      <c r="Q346" s="94">
        <v>0</v>
      </c>
      <c r="R346" s="94">
        <v>0</v>
      </c>
      <c r="S346" s="94">
        <v>-15635.320000000027</v>
      </c>
      <c r="T346" s="94">
        <v>-15373.660000000029</v>
      </c>
      <c r="U346" s="95">
        <v>0</v>
      </c>
      <c r="V346" s="96">
        <v>3.4000000000000002E-2</v>
      </c>
    </row>
    <row r="347" spans="1:22" ht="13" x14ac:dyDescent="0.3">
      <c r="A347" s="20" t="s">
        <v>1034</v>
      </c>
      <c r="B347" s="20">
        <v>38000</v>
      </c>
      <c r="C347" s="20" t="s">
        <v>1045</v>
      </c>
      <c r="D347" s="77" t="s">
        <v>524</v>
      </c>
      <c r="E347" s="77" t="s">
        <v>149</v>
      </c>
      <c r="F347" s="94">
        <v>561504.00999999989</v>
      </c>
      <c r="G347" s="94">
        <v>250.16</v>
      </c>
      <c r="H347" s="94">
        <v>-10576.77</v>
      </c>
      <c r="I347" s="94">
        <v>0</v>
      </c>
      <c r="J347" s="94">
        <v>551177.39999999991</v>
      </c>
      <c r="K347" s="94">
        <v>557917.73076923075</v>
      </c>
      <c r="L347" s="95">
        <v>0</v>
      </c>
      <c r="M347" s="94">
        <v>-342207.91000000027</v>
      </c>
      <c r="N347" s="94">
        <v>-36859.609999999993</v>
      </c>
      <c r="O347" s="94">
        <v>10576.77</v>
      </c>
      <c r="P347" s="94">
        <v>80738.080000000002</v>
      </c>
      <c r="Q347" s="94">
        <v>0</v>
      </c>
      <c r="R347" s="94">
        <v>0</v>
      </c>
      <c r="S347" s="94">
        <v>-287752.67000000022</v>
      </c>
      <c r="T347" s="94">
        <v>-333912.20692307723</v>
      </c>
      <c r="U347" s="95">
        <v>0</v>
      </c>
      <c r="V347" s="96">
        <v>6.5999999999999989E-2</v>
      </c>
    </row>
    <row r="348" spans="1:22" ht="13" x14ac:dyDescent="0.3">
      <c r="A348" s="20" t="s">
        <v>1034</v>
      </c>
      <c r="B348" s="20">
        <v>38002</v>
      </c>
      <c r="C348" s="20" t="s">
        <v>1046</v>
      </c>
      <c r="D348" s="77" t="s">
        <v>525</v>
      </c>
      <c r="E348" s="77" t="s">
        <v>150</v>
      </c>
      <c r="F348" s="94">
        <v>9354313.0499999952</v>
      </c>
      <c r="G348" s="94">
        <v>604679.59</v>
      </c>
      <c r="H348" s="94">
        <v>-38513.68</v>
      </c>
      <c r="I348" s="94">
        <v>0</v>
      </c>
      <c r="J348" s="94">
        <v>9920478.9599999953</v>
      </c>
      <c r="K348" s="94">
        <v>9622273.1961538419</v>
      </c>
      <c r="L348" s="95">
        <v>0</v>
      </c>
      <c r="M348" s="94">
        <v>-4059711.4799999986</v>
      </c>
      <c r="N348" s="94">
        <v>-479871.14</v>
      </c>
      <c r="O348" s="94">
        <v>38513.68</v>
      </c>
      <c r="P348" s="94">
        <v>140799.27000000002</v>
      </c>
      <c r="Q348" s="94">
        <v>0</v>
      </c>
      <c r="R348" s="94">
        <v>0</v>
      </c>
      <c r="S348" s="94">
        <v>-4360269.6699999981</v>
      </c>
      <c r="T348" s="94">
        <v>-4208653.325384615</v>
      </c>
      <c r="U348" s="95">
        <v>0</v>
      </c>
      <c r="V348" s="96">
        <v>0.05</v>
      </c>
    </row>
    <row r="349" spans="1:22" ht="13" x14ac:dyDescent="0.3">
      <c r="A349" s="20" t="s">
        <v>1034</v>
      </c>
      <c r="B349" s="20">
        <v>38100</v>
      </c>
      <c r="C349" s="20" t="s">
        <v>1047</v>
      </c>
      <c r="D349" s="77" t="s">
        <v>526</v>
      </c>
      <c r="E349" s="77" t="s">
        <v>151</v>
      </c>
      <c r="F349" s="94">
        <v>493567.30999999988</v>
      </c>
      <c r="G349" s="94">
        <v>0</v>
      </c>
      <c r="H349" s="94">
        <v>-10007.530000000001</v>
      </c>
      <c r="I349" s="94">
        <v>0</v>
      </c>
      <c r="J349" s="94">
        <v>483559.77999999985</v>
      </c>
      <c r="K349" s="94">
        <v>488026.12076923077</v>
      </c>
      <c r="L349" s="95">
        <v>0</v>
      </c>
      <c r="M349" s="94">
        <v>-637987.88000000024</v>
      </c>
      <c r="N349" s="94">
        <v>-28815.51</v>
      </c>
      <c r="O349" s="94">
        <v>10007.530000000001</v>
      </c>
      <c r="P349" s="94">
        <v>7877.07</v>
      </c>
      <c r="Q349" s="94">
        <v>-16519.84</v>
      </c>
      <c r="R349" s="94">
        <v>0</v>
      </c>
      <c r="S349" s="94">
        <v>-665438.63000000024</v>
      </c>
      <c r="T349" s="94">
        <v>-653497.52384615387</v>
      </c>
      <c r="U349" s="95">
        <v>0</v>
      </c>
      <c r="V349" s="96">
        <v>5.9000000000000004E-2</v>
      </c>
    </row>
    <row r="350" spans="1:22" ht="13" x14ac:dyDescent="0.3">
      <c r="A350" s="20" t="s">
        <v>1034</v>
      </c>
      <c r="B350" s="20">
        <v>38200</v>
      </c>
      <c r="C350" s="20" t="s">
        <v>1048</v>
      </c>
      <c r="D350" s="77" t="s">
        <v>527</v>
      </c>
      <c r="E350" s="77" t="s">
        <v>152</v>
      </c>
      <c r="F350" s="94">
        <v>2128582.0600000005</v>
      </c>
      <c r="G350" s="94">
        <v>126542.38999999998</v>
      </c>
      <c r="H350" s="94">
        <v>-1961.75</v>
      </c>
      <c r="I350" s="94">
        <v>0</v>
      </c>
      <c r="J350" s="94">
        <v>2253162.7000000007</v>
      </c>
      <c r="K350" s="94">
        <v>2192263.3930769237</v>
      </c>
      <c r="L350" s="95">
        <v>0</v>
      </c>
      <c r="M350" s="94">
        <v>-624129.55000000028</v>
      </c>
      <c r="N350" s="94">
        <v>-98423.499999999985</v>
      </c>
      <c r="O350" s="94">
        <v>1961.75</v>
      </c>
      <c r="P350" s="94">
        <v>9402.7800000000007</v>
      </c>
      <c r="Q350" s="94">
        <v>0</v>
      </c>
      <c r="R350" s="94">
        <v>0</v>
      </c>
      <c r="S350" s="94">
        <v>-711188.52000000025</v>
      </c>
      <c r="T350" s="94">
        <v>-671340.03461538488</v>
      </c>
      <c r="U350" s="95">
        <v>0</v>
      </c>
      <c r="V350" s="96">
        <v>4.4999999999999998E-2</v>
      </c>
    </row>
    <row r="351" spans="1:22" ht="13" x14ac:dyDescent="0.3">
      <c r="A351" s="20" t="s">
        <v>1034</v>
      </c>
      <c r="B351" s="20">
        <v>38300</v>
      </c>
      <c r="C351" s="20" t="s">
        <v>1049</v>
      </c>
      <c r="D351" s="77" t="s">
        <v>528</v>
      </c>
      <c r="E351" s="77" t="s">
        <v>153</v>
      </c>
      <c r="F351" s="94">
        <v>1073093.78</v>
      </c>
      <c r="G351" s="94">
        <v>14392.339999999998</v>
      </c>
      <c r="H351" s="94">
        <v>-3910.87</v>
      </c>
      <c r="I351" s="94">
        <v>0</v>
      </c>
      <c r="J351" s="94">
        <v>1083575.25</v>
      </c>
      <c r="K351" s="94">
        <v>1077597.8753846155</v>
      </c>
      <c r="L351" s="95">
        <v>0</v>
      </c>
      <c r="M351" s="94">
        <v>-616346.13000000024</v>
      </c>
      <c r="N351" s="94">
        <v>-38775.590000000004</v>
      </c>
      <c r="O351" s="94">
        <v>3910.87</v>
      </c>
      <c r="P351" s="94">
        <v>0</v>
      </c>
      <c r="Q351" s="94">
        <v>0</v>
      </c>
      <c r="R351" s="94">
        <v>0</v>
      </c>
      <c r="S351" s="94">
        <v>-651210.85000000021</v>
      </c>
      <c r="T351" s="94">
        <v>-635394.62923076958</v>
      </c>
      <c r="U351" s="95">
        <v>0</v>
      </c>
      <c r="V351" s="96">
        <v>3.5999999999999997E-2</v>
      </c>
    </row>
    <row r="352" spans="1:22" ht="13" x14ac:dyDescent="0.3">
      <c r="A352" s="20" t="s">
        <v>1034</v>
      </c>
      <c r="B352" s="20">
        <v>38400</v>
      </c>
      <c r="C352" s="20" t="s">
        <v>1050</v>
      </c>
      <c r="D352" s="77" t="s">
        <v>529</v>
      </c>
      <c r="E352" s="77" t="s">
        <v>154</v>
      </c>
      <c r="F352" s="94">
        <v>1070638.7500000005</v>
      </c>
      <c r="G352" s="94">
        <v>42180.790000000008</v>
      </c>
      <c r="H352" s="94">
        <v>-43.15</v>
      </c>
      <c r="I352" s="94">
        <v>0</v>
      </c>
      <c r="J352" s="94">
        <v>1112776.3900000006</v>
      </c>
      <c r="K352" s="94">
        <v>1096826.038461539</v>
      </c>
      <c r="L352" s="95">
        <v>0</v>
      </c>
      <c r="M352" s="94">
        <v>-474597.98000000021</v>
      </c>
      <c r="N352" s="94">
        <v>-49297.380000000005</v>
      </c>
      <c r="O352" s="94">
        <v>43.15</v>
      </c>
      <c r="P352" s="94">
        <v>774.95</v>
      </c>
      <c r="Q352" s="94">
        <v>0</v>
      </c>
      <c r="R352" s="94">
        <v>0</v>
      </c>
      <c r="S352" s="94">
        <v>-523077.26000000018</v>
      </c>
      <c r="T352" s="94">
        <v>-498294.20538461552</v>
      </c>
      <c r="U352" s="95">
        <v>0</v>
      </c>
      <c r="V352" s="96">
        <v>4.4999999999999998E-2</v>
      </c>
    </row>
    <row r="353" spans="1:22" ht="13" x14ac:dyDescent="0.3">
      <c r="A353" s="20" t="s">
        <v>1034</v>
      </c>
      <c r="B353" s="20">
        <v>38500</v>
      </c>
      <c r="C353" s="20" t="s">
        <v>1051</v>
      </c>
      <c r="D353" s="77" t="s">
        <v>530</v>
      </c>
      <c r="E353" s="77" t="s">
        <v>155</v>
      </c>
      <c r="F353" s="94">
        <v>70739.12999999999</v>
      </c>
      <c r="G353" s="94">
        <v>0</v>
      </c>
      <c r="H353" s="94">
        <v>0</v>
      </c>
      <c r="I353" s="94">
        <v>0</v>
      </c>
      <c r="J353" s="94">
        <v>70739.12999999999</v>
      </c>
      <c r="K353" s="94">
        <v>70739.12999999999</v>
      </c>
      <c r="L353" s="95">
        <v>0</v>
      </c>
      <c r="M353" s="94">
        <v>-11281.790000000017</v>
      </c>
      <c r="N353" s="94">
        <v>-2192.88</v>
      </c>
      <c r="O353" s="94">
        <v>0</v>
      </c>
      <c r="P353" s="94">
        <v>0</v>
      </c>
      <c r="Q353" s="94">
        <v>0</v>
      </c>
      <c r="R353" s="94">
        <v>0</v>
      </c>
      <c r="S353" s="94">
        <v>-13474.670000000016</v>
      </c>
      <c r="T353" s="94">
        <v>-12378.230000000014</v>
      </c>
      <c r="U353" s="95">
        <v>0</v>
      </c>
      <c r="V353" s="96">
        <v>3.1E-2</v>
      </c>
    </row>
    <row r="354" spans="1:22" ht="13" x14ac:dyDescent="0.3">
      <c r="A354" s="20" t="s">
        <v>1034</v>
      </c>
      <c r="B354" s="20">
        <v>38700</v>
      </c>
      <c r="C354" s="20" t="s">
        <v>1052</v>
      </c>
      <c r="D354" s="77" t="s">
        <v>531</v>
      </c>
      <c r="E354" s="77" t="s">
        <v>156</v>
      </c>
      <c r="F354" s="94">
        <v>136090.32</v>
      </c>
      <c r="G354" s="94">
        <v>17416.77</v>
      </c>
      <c r="H354" s="94">
        <v>0</v>
      </c>
      <c r="I354" s="94">
        <v>0</v>
      </c>
      <c r="J354" s="94">
        <v>153507.09</v>
      </c>
      <c r="K354" s="94">
        <v>150147.90000000002</v>
      </c>
      <c r="L354" s="95">
        <v>0</v>
      </c>
      <c r="M354" s="94">
        <v>-44706.039999999994</v>
      </c>
      <c r="N354" s="94">
        <v>-9441.66</v>
      </c>
      <c r="O354" s="94">
        <v>0</v>
      </c>
      <c r="P354" s="94">
        <v>0</v>
      </c>
      <c r="Q354" s="94">
        <v>0</v>
      </c>
      <c r="R354" s="94">
        <v>0</v>
      </c>
      <c r="S354" s="94">
        <v>-54147.7</v>
      </c>
      <c r="T354" s="94">
        <v>-49366.980769230788</v>
      </c>
      <c r="U354" s="95">
        <v>0</v>
      </c>
      <c r="V354" s="96">
        <v>6.3E-2</v>
      </c>
    </row>
    <row r="355" spans="1:22" ht="13" x14ac:dyDescent="0.3">
      <c r="A355" s="20" t="s">
        <v>1034</v>
      </c>
      <c r="B355" s="20">
        <v>39000</v>
      </c>
      <c r="C355" s="20" t="s">
        <v>1053</v>
      </c>
      <c r="D355" s="77" t="s">
        <v>532</v>
      </c>
      <c r="E355" s="77" t="s">
        <v>157</v>
      </c>
      <c r="F355" s="94">
        <v>0</v>
      </c>
      <c r="G355" s="94">
        <v>0</v>
      </c>
      <c r="H355" s="94">
        <v>0</v>
      </c>
      <c r="I355" s="94">
        <v>0</v>
      </c>
      <c r="J355" s="94">
        <v>0</v>
      </c>
      <c r="K355" s="94">
        <v>0</v>
      </c>
      <c r="L355" s="95">
        <v>0</v>
      </c>
      <c r="M355" s="94">
        <v>0.03</v>
      </c>
      <c r="N355" s="94">
        <v>0</v>
      </c>
      <c r="O355" s="94">
        <v>0</v>
      </c>
      <c r="P355" s="94">
        <v>0</v>
      </c>
      <c r="Q355" s="94">
        <v>0</v>
      </c>
      <c r="R355" s="94">
        <v>0</v>
      </c>
      <c r="S355" s="94">
        <v>0.03</v>
      </c>
      <c r="T355" s="94">
        <v>3.0000000000000009E-2</v>
      </c>
      <c r="U355" s="95">
        <v>0</v>
      </c>
      <c r="V355" s="96">
        <v>2.5000000000000001E-2</v>
      </c>
    </row>
    <row r="356" spans="1:22" ht="13" x14ac:dyDescent="0.3">
      <c r="A356" s="20" t="s">
        <v>1034</v>
      </c>
      <c r="B356" s="20">
        <v>39100</v>
      </c>
      <c r="C356" s="20" t="s">
        <v>1054</v>
      </c>
      <c r="D356" s="77" t="s">
        <v>533</v>
      </c>
      <c r="E356" s="77" t="s">
        <v>159</v>
      </c>
      <c r="F356" s="94">
        <v>19802.340000000004</v>
      </c>
      <c r="G356" s="94">
        <v>-6600.05</v>
      </c>
      <c r="H356" s="94">
        <v>0</v>
      </c>
      <c r="I356" s="94">
        <v>0</v>
      </c>
      <c r="J356" s="94">
        <v>13202.290000000005</v>
      </c>
      <c r="K356" s="94">
        <v>13709.986153846161</v>
      </c>
      <c r="L356" s="95">
        <v>0</v>
      </c>
      <c r="M356" s="94">
        <v>45064.170000000049</v>
      </c>
      <c r="N356" s="94">
        <v>-921.37000000000012</v>
      </c>
      <c r="O356" s="94">
        <v>0</v>
      </c>
      <c r="P356" s="94">
        <v>0</v>
      </c>
      <c r="Q356" s="94">
        <v>0</v>
      </c>
      <c r="R356" s="94">
        <v>0</v>
      </c>
      <c r="S356" s="94">
        <v>44142.800000000047</v>
      </c>
      <c r="T356" s="94">
        <v>44587.89461538467</v>
      </c>
      <c r="U356" s="95">
        <v>0</v>
      </c>
      <c r="V356" s="96">
        <v>6.7000000000000004E-2</v>
      </c>
    </row>
    <row r="357" spans="1:22" ht="13" x14ac:dyDescent="0.3">
      <c r="A357" s="20" t="s">
        <v>1034</v>
      </c>
      <c r="B357" s="20">
        <v>39101</v>
      </c>
      <c r="C357" s="20" t="s">
        <v>1055</v>
      </c>
      <c r="D357" s="77" t="s">
        <v>534</v>
      </c>
      <c r="E357" s="77" t="s">
        <v>160</v>
      </c>
      <c r="F357" s="94">
        <v>47689.43</v>
      </c>
      <c r="G357" s="94">
        <v>8752.52</v>
      </c>
      <c r="H357" s="94">
        <v>0</v>
      </c>
      <c r="I357" s="94">
        <v>0</v>
      </c>
      <c r="J357" s="94">
        <v>56441.95</v>
      </c>
      <c r="K357" s="94">
        <v>54112.933076923066</v>
      </c>
      <c r="L357" s="95">
        <v>0</v>
      </c>
      <c r="M357" s="94">
        <v>-194724.16000000027</v>
      </c>
      <c r="N357" s="94">
        <v>-6739.9000000000015</v>
      </c>
      <c r="O357" s="94">
        <v>0</v>
      </c>
      <c r="P357" s="94">
        <v>0</v>
      </c>
      <c r="Q357" s="94">
        <v>0</v>
      </c>
      <c r="R357" s="94">
        <v>0</v>
      </c>
      <c r="S357" s="94">
        <v>-201464.06000000026</v>
      </c>
      <c r="T357" s="94">
        <v>-198055.53384615405</v>
      </c>
      <c r="U357" s="95">
        <v>0</v>
      </c>
      <c r="V357" s="96">
        <v>0.125</v>
      </c>
    </row>
    <row r="358" spans="1:22" ht="13" x14ac:dyDescent="0.3">
      <c r="A358" s="20" t="s">
        <v>1034</v>
      </c>
      <c r="B358" s="20">
        <v>39102</v>
      </c>
      <c r="C358" s="20" t="s">
        <v>1056</v>
      </c>
      <c r="D358" s="77" t="s">
        <v>535</v>
      </c>
      <c r="E358" s="77" t="s">
        <v>161</v>
      </c>
      <c r="F358" s="94">
        <v>56604.259999999995</v>
      </c>
      <c r="G358" s="94">
        <v>0</v>
      </c>
      <c r="H358" s="94">
        <v>0</v>
      </c>
      <c r="I358" s="94">
        <v>0</v>
      </c>
      <c r="J358" s="94">
        <v>56604.259999999995</v>
      </c>
      <c r="K358" s="94">
        <v>56604.26</v>
      </c>
      <c r="L358" s="95">
        <v>0</v>
      </c>
      <c r="M358" s="94">
        <v>-20129.740000000013</v>
      </c>
      <c r="N358" s="94">
        <v>-3792.48</v>
      </c>
      <c r="O358" s="94">
        <v>0</v>
      </c>
      <c r="P358" s="94">
        <v>0</v>
      </c>
      <c r="Q358" s="94">
        <v>0</v>
      </c>
      <c r="R358" s="94">
        <v>0</v>
      </c>
      <c r="S358" s="94">
        <v>-23922.220000000012</v>
      </c>
      <c r="T358" s="94">
        <v>-22025.980000000021</v>
      </c>
      <c r="U358" s="95">
        <v>0</v>
      </c>
      <c r="V358" s="96">
        <v>6.7000000000000004E-2</v>
      </c>
    </row>
    <row r="359" spans="1:22" ht="13" x14ac:dyDescent="0.3">
      <c r="A359" s="20" t="s">
        <v>1034</v>
      </c>
      <c r="B359" s="20">
        <v>39103</v>
      </c>
      <c r="C359" s="20" t="s">
        <v>1057</v>
      </c>
      <c r="D359" s="77" t="s">
        <v>536</v>
      </c>
      <c r="E359" s="77" t="s">
        <v>162</v>
      </c>
      <c r="F359" s="94">
        <v>0</v>
      </c>
      <c r="G359" s="94">
        <v>0</v>
      </c>
      <c r="H359" s="94">
        <v>0</v>
      </c>
      <c r="I359" s="94">
        <v>0</v>
      </c>
      <c r="J359" s="94">
        <v>0</v>
      </c>
      <c r="K359" s="94">
        <v>0</v>
      </c>
      <c r="L359" s="95">
        <v>0</v>
      </c>
      <c r="M359" s="94">
        <v>0</v>
      </c>
      <c r="N359" s="94">
        <v>0</v>
      </c>
      <c r="O359" s="94">
        <v>0</v>
      </c>
      <c r="P359" s="94">
        <v>0</v>
      </c>
      <c r="Q359" s="94">
        <v>0</v>
      </c>
      <c r="R359" s="94">
        <v>0</v>
      </c>
      <c r="S359" s="94">
        <v>0</v>
      </c>
      <c r="T359" s="94">
        <v>0</v>
      </c>
      <c r="U359" s="95">
        <v>0</v>
      </c>
      <c r="V359" s="96">
        <v>0</v>
      </c>
    </row>
    <row r="360" spans="1:22" ht="13" x14ac:dyDescent="0.3">
      <c r="A360" s="20" t="s">
        <v>1034</v>
      </c>
      <c r="B360" s="20">
        <v>39201</v>
      </c>
      <c r="C360" s="20" t="s">
        <v>1058</v>
      </c>
      <c r="D360" s="77" t="s">
        <v>537</v>
      </c>
      <c r="E360" s="77" t="s">
        <v>163</v>
      </c>
      <c r="F360" s="94">
        <v>358621.18999999989</v>
      </c>
      <c r="G360" s="94">
        <v>33777.07</v>
      </c>
      <c r="H360" s="94">
        <v>-21140.55</v>
      </c>
      <c r="I360" s="94">
        <v>0</v>
      </c>
      <c r="J360" s="94">
        <v>371257.7099999999</v>
      </c>
      <c r="K360" s="94">
        <v>344429.65538461535</v>
      </c>
      <c r="L360" s="95">
        <v>0</v>
      </c>
      <c r="M360" s="94">
        <v>-352389.33000000037</v>
      </c>
      <c r="N360" s="94">
        <v>-38325.72</v>
      </c>
      <c r="O360" s="94">
        <v>21140.55</v>
      </c>
      <c r="P360" s="94">
        <v>0</v>
      </c>
      <c r="Q360" s="94">
        <v>-1350</v>
      </c>
      <c r="R360" s="94">
        <v>0</v>
      </c>
      <c r="S360" s="94">
        <v>-370924.50000000041</v>
      </c>
      <c r="T360" s="94">
        <v>-356541.48692307726</v>
      </c>
      <c r="U360" s="95">
        <v>0</v>
      </c>
      <c r="V360" s="96">
        <v>0.112</v>
      </c>
    </row>
    <row r="361" spans="1:22" ht="13" x14ac:dyDescent="0.3">
      <c r="A361" s="20" t="s">
        <v>1034</v>
      </c>
      <c r="B361" s="20">
        <v>39202</v>
      </c>
      <c r="C361" s="20" t="s">
        <v>1059</v>
      </c>
      <c r="D361" s="77" t="s">
        <v>538</v>
      </c>
      <c r="E361" s="77" t="s">
        <v>164</v>
      </c>
      <c r="F361" s="94">
        <v>362104.4</v>
      </c>
      <c r="G361" s="94">
        <v>45314.11</v>
      </c>
      <c r="H361" s="94">
        <v>-27681.71</v>
      </c>
      <c r="I361" s="94">
        <v>0</v>
      </c>
      <c r="J361" s="94">
        <v>379736.8</v>
      </c>
      <c r="K361" s="94">
        <v>347693.13461538462</v>
      </c>
      <c r="L361" s="95">
        <v>0</v>
      </c>
      <c r="M361" s="94">
        <v>-181300.81999999989</v>
      </c>
      <c r="N361" s="94">
        <v>-43817.89</v>
      </c>
      <c r="O361" s="94">
        <v>27681.71</v>
      </c>
      <c r="P361" s="94">
        <v>0</v>
      </c>
      <c r="Q361" s="94">
        <v>-2585</v>
      </c>
      <c r="R361" s="94">
        <v>0</v>
      </c>
      <c r="S361" s="94">
        <v>-200021.99999999991</v>
      </c>
      <c r="T361" s="94">
        <v>-184008.08538461526</v>
      </c>
      <c r="U361" s="95">
        <v>0</v>
      </c>
      <c r="V361" s="96">
        <v>0.127</v>
      </c>
    </row>
    <row r="362" spans="1:22" ht="13" x14ac:dyDescent="0.3">
      <c r="A362" s="20" t="s">
        <v>1034</v>
      </c>
      <c r="B362" s="20">
        <v>39204</v>
      </c>
      <c r="C362" s="20" t="s">
        <v>1060</v>
      </c>
      <c r="D362" s="77" t="s">
        <v>539</v>
      </c>
      <c r="E362" s="77" t="s">
        <v>166</v>
      </c>
      <c r="F362" s="94">
        <v>18555.02</v>
      </c>
      <c r="G362" s="94">
        <v>0</v>
      </c>
      <c r="H362" s="94">
        <v>0</v>
      </c>
      <c r="I362" s="94">
        <v>0</v>
      </c>
      <c r="J362" s="94">
        <v>18555.02</v>
      </c>
      <c r="K362" s="94">
        <v>18555.019999999997</v>
      </c>
      <c r="L362" s="95">
        <v>0</v>
      </c>
      <c r="M362" s="94">
        <v>-9157.69</v>
      </c>
      <c r="N362" s="94">
        <v>-742.20000000000016</v>
      </c>
      <c r="O362" s="94">
        <v>0</v>
      </c>
      <c r="P362" s="94">
        <v>0</v>
      </c>
      <c r="Q362" s="94">
        <v>0</v>
      </c>
      <c r="R362" s="94">
        <v>0</v>
      </c>
      <c r="S362" s="94">
        <v>-9899.8900000000012</v>
      </c>
      <c r="T362" s="94">
        <v>-9528.7900000000027</v>
      </c>
      <c r="U362" s="95">
        <v>0</v>
      </c>
      <c r="V362" s="96">
        <v>0.04</v>
      </c>
    </row>
    <row r="363" spans="1:22" ht="13" x14ac:dyDescent="0.3">
      <c r="A363" s="20" t="s">
        <v>1034</v>
      </c>
      <c r="B363" s="20">
        <v>39205</v>
      </c>
      <c r="C363" s="20" t="s">
        <v>1061</v>
      </c>
      <c r="D363" s="77" t="s">
        <v>540</v>
      </c>
      <c r="E363" s="77" t="s">
        <v>167</v>
      </c>
      <c r="F363" s="94">
        <v>71334.69</v>
      </c>
      <c r="G363" s="94">
        <v>0</v>
      </c>
      <c r="H363" s="94">
        <v>0</v>
      </c>
      <c r="I363" s="94">
        <v>0</v>
      </c>
      <c r="J363" s="94">
        <v>71334.69</v>
      </c>
      <c r="K363" s="94">
        <v>71334.689999999973</v>
      </c>
      <c r="L363" s="95">
        <v>0</v>
      </c>
      <c r="M363" s="94">
        <v>-45368.780000000035</v>
      </c>
      <c r="N363" s="94">
        <v>-5278.7999999999993</v>
      </c>
      <c r="O363" s="94">
        <v>0</v>
      </c>
      <c r="P363" s="94">
        <v>0</v>
      </c>
      <c r="Q363" s="94">
        <v>0</v>
      </c>
      <c r="R363" s="94">
        <v>0</v>
      </c>
      <c r="S363" s="94">
        <v>-50647.580000000031</v>
      </c>
      <c r="T363" s="94">
        <v>-48008.180000000044</v>
      </c>
      <c r="U363" s="95">
        <v>0</v>
      </c>
      <c r="V363" s="96">
        <v>7.3999999999999996E-2</v>
      </c>
    </row>
    <row r="364" spans="1:22" ht="13" x14ac:dyDescent="0.3">
      <c r="A364" s="20" t="s">
        <v>1034</v>
      </c>
      <c r="B364" s="20">
        <v>39400</v>
      </c>
      <c r="C364" s="20" t="s">
        <v>1062</v>
      </c>
      <c r="D364" s="77" t="s">
        <v>541</v>
      </c>
      <c r="E364" s="77" t="s">
        <v>169</v>
      </c>
      <c r="F364" s="94">
        <v>100870.29000000001</v>
      </c>
      <c r="G364" s="94">
        <v>21217.789999999997</v>
      </c>
      <c r="H364" s="94">
        <v>0</v>
      </c>
      <c r="I364" s="94">
        <v>0</v>
      </c>
      <c r="J364" s="94">
        <v>122088.08</v>
      </c>
      <c r="K364" s="94">
        <v>112940.30769230769</v>
      </c>
      <c r="L364" s="95">
        <v>0</v>
      </c>
      <c r="M364" s="94">
        <v>-17566.930000000029</v>
      </c>
      <c r="N364" s="94">
        <v>-7403.74</v>
      </c>
      <c r="O364" s="94">
        <v>0</v>
      </c>
      <c r="P364" s="94">
        <v>0</v>
      </c>
      <c r="Q364" s="94">
        <v>0</v>
      </c>
      <c r="R364" s="94">
        <v>0</v>
      </c>
      <c r="S364" s="94">
        <v>-24970.670000000027</v>
      </c>
      <c r="T364" s="94">
        <v>-21182.043846153872</v>
      </c>
      <c r="U364" s="95">
        <v>0</v>
      </c>
      <c r="V364" s="96">
        <v>6.6000000000000003E-2</v>
      </c>
    </row>
    <row r="365" spans="1:22" ht="13" x14ac:dyDescent="0.3">
      <c r="A365" s="20" t="s">
        <v>1034</v>
      </c>
      <c r="B365" s="20">
        <v>39400</v>
      </c>
      <c r="C365" s="20" t="s">
        <v>1062</v>
      </c>
      <c r="D365" s="77" t="s">
        <v>542</v>
      </c>
      <c r="E365" s="77" t="s">
        <v>169</v>
      </c>
      <c r="F365" s="94">
        <v>0</v>
      </c>
      <c r="G365" s="94">
        <v>0</v>
      </c>
      <c r="H365" s="94">
        <v>0</v>
      </c>
      <c r="I365" s="94">
        <v>0</v>
      </c>
      <c r="J365" s="94">
        <v>0</v>
      </c>
      <c r="K365" s="94">
        <v>0</v>
      </c>
      <c r="L365" s="95">
        <v>0</v>
      </c>
      <c r="M365" s="94">
        <v>16179.72</v>
      </c>
      <c r="N365" s="94">
        <v>0</v>
      </c>
      <c r="O365" s="94">
        <v>0</v>
      </c>
      <c r="P365" s="94">
        <v>0</v>
      </c>
      <c r="Q365" s="94">
        <v>0</v>
      </c>
      <c r="R365" s="94">
        <v>0</v>
      </c>
      <c r="S365" s="94">
        <v>16179.72</v>
      </c>
      <c r="T365" s="94">
        <v>16179.72</v>
      </c>
      <c r="U365" s="95">
        <v>0</v>
      </c>
      <c r="V365" s="96">
        <v>6.6000000000000003E-2</v>
      </c>
    </row>
    <row r="366" spans="1:22" ht="13" x14ac:dyDescent="0.3">
      <c r="A366" s="20" t="s">
        <v>1034</v>
      </c>
      <c r="B366" s="20">
        <v>39500</v>
      </c>
      <c r="C366" s="20" t="s">
        <v>1063</v>
      </c>
      <c r="D366" s="77" t="s">
        <v>543</v>
      </c>
      <c r="E366" s="77" t="s">
        <v>170</v>
      </c>
      <c r="F366" s="94">
        <v>0</v>
      </c>
      <c r="G366" s="94">
        <v>0</v>
      </c>
      <c r="H366" s="94">
        <v>0</v>
      </c>
      <c r="I366" s="94">
        <v>0</v>
      </c>
      <c r="J366" s="94">
        <v>0</v>
      </c>
      <c r="K366" s="94">
        <v>0</v>
      </c>
      <c r="L366" s="95">
        <v>0</v>
      </c>
      <c r="M366" s="94">
        <v>-5949.17</v>
      </c>
      <c r="N366" s="94">
        <v>0</v>
      </c>
      <c r="O366" s="94">
        <v>0</v>
      </c>
      <c r="P366" s="94">
        <v>0</v>
      </c>
      <c r="Q366" s="94">
        <v>0</v>
      </c>
      <c r="R366" s="94">
        <v>0</v>
      </c>
      <c r="S366" s="94">
        <v>-5949.17</v>
      </c>
      <c r="T366" s="94">
        <v>-5949.1699999999992</v>
      </c>
      <c r="U366" s="95">
        <v>0</v>
      </c>
      <c r="V366" s="96">
        <v>0.05</v>
      </c>
    </row>
    <row r="367" spans="1:22" ht="13" x14ac:dyDescent="0.3">
      <c r="A367" s="20" t="s">
        <v>1034</v>
      </c>
      <c r="B367" s="20">
        <v>39600</v>
      </c>
      <c r="C367" s="20" t="s">
        <v>1064</v>
      </c>
      <c r="D367" s="77" t="s">
        <v>544</v>
      </c>
      <c r="E367" s="77" t="s">
        <v>171</v>
      </c>
      <c r="F367" s="94">
        <v>64096.140000000007</v>
      </c>
      <c r="G367" s="94">
        <v>0</v>
      </c>
      <c r="H367" s="94">
        <v>0</v>
      </c>
      <c r="I367" s="94">
        <v>0</v>
      </c>
      <c r="J367" s="94">
        <v>64096.140000000007</v>
      </c>
      <c r="K367" s="94">
        <v>64096.140000000007</v>
      </c>
      <c r="L367" s="95">
        <v>0</v>
      </c>
      <c r="M367" s="94">
        <v>-41685.599999999962</v>
      </c>
      <c r="N367" s="94">
        <v>-4102.2</v>
      </c>
      <c r="O367" s="94">
        <v>0</v>
      </c>
      <c r="P367" s="94">
        <v>0</v>
      </c>
      <c r="Q367" s="94">
        <v>0</v>
      </c>
      <c r="R367" s="94">
        <v>0</v>
      </c>
      <c r="S367" s="94">
        <v>-45787.799999999959</v>
      </c>
      <c r="T367" s="94">
        <v>-43736.699999999953</v>
      </c>
      <c r="U367" s="95">
        <v>0</v>
      </c>
      <c r="V367" s="96">
        <v>6.4000000000000001E-2</v>
      </c>
    </row>
    <row r="368" spans="1:22" ht="13" x14ac:dyDescent="0.3">
      <c r="A368" s="20" t="s">
        <v>1034</v>
      </c>
      <c r="B368" s="20">
        <v>39700</v>
      </c>
      <c r="C368" s="20" t="s">
        <v>1065</v>
      </c>
      <c r="D368" s="77" t="s">
        <v>545</v>
      </c>
      <c r="E368" s="77" t="s">
        <v>172</v>
      </c>
      <c r="F368" s="94">
        <v>21018.489999999998</v>
      </c>
      <c r="G368" s="94">
        <v>0</v>
      </c>
      <c r="H368" s="94">
        <v>0</v>
      </c>
      <c r="I368" s="94">
        <v>0</v>
      </c>
      <c r="J368" s="94">
        <v>21018.489999999998</v>
      </c>
      <c r="K368" s="94">
        <v>21018.489999999994</v>
      </c>
      <c r="L368" s="95">
        <v>0</v>
      </c>
      <c r="M368" s="94">
        <v>-22264.960000000014</v>
      </c>
      <c r="N368" s="94">
        <v>-1765.5600000000004</v>
      </c>
      <c r="O368" s="94">
        <v>0</v>
      </c>
      <c r="P368" s="94">
        <v>0</v>
      </c>
      <c r="Q368" s="94">
        <v>0</v>
      </c>
      <c r="R368" s="94">
        <v>0</v>
      </c>
      <c r="S368" s="94">
        <v>-24030.520000000015</v>
      </c>
      <c r="T368" s="94">
        <v>-23147.740000000023</v>
      </c>
      <c r="U368" s="95">
        <v>0</v>
      </c>
      <c r="V368" s="96">
        <v>8.4000000000000005E-2</v>
      </c>
    </row>
    <row r="369" spans="1:22" ht="13" x14ac:dyDescent="0.3">
      <c r="A369" s="20" t="s">
        <v>1034</v>
      </c>
      <c r="B369" s="20">
        <v>39800</v>
      </c>
      <c r="C369" s="20" t="s">
        <v>1066</v>
      </c>
      <c r="D369" s="77" t="s">
        <v>546</v>
      </c>
      <c r="E369" s="77" t="s">
        <v>173</v>
      </c>
      <c r="F369" s="94">
        <v>6441.6500000000015</v>
      </c>
      <c r="G369" s="94">
        <v>1442.48</v>
      </c>
      <c r="H369" s="94">
        <v>0</v>
      </c>
      <c r="I369" s="94">
        <v>0</v>
      </c>
      <c r="J369" s="94">
        <v>7884.130000000001</v>
      </c>
      <c r="K369" s="94">
        <v>6663.5700000000024</v>
      </c>
      <c r="L369" s="95">
        <v>0</v>
      </c>
      <c r="M369" s="94">
        <v>-3475.5600000000491</v>
      </c>
      <c r="N369" s="94">
        <v>-387.13000000000011</v>
      </c>
      <c r="O369" s="94">
        <v>0</v>
      </c>
      <c r="P369" s="94">
        <v>0</v>
      </c>
      <c r="Q369" s="94">
        <v>0</v>
      </c>
      <c r="R369" s="94">
        <v>0</v>
      </c>
      <c r="S369" s="94">
        <v>-3862.6900000000492</v>
      </c>
      <c r="T369" s="94">
        <v>-3666.125384615435</v>
      </c>
      <c r="U369" s="95">
        <v>0</v>
      </c>
      <c r="V369" s="96">
        <v>5.8999999999999997E-2</v>
      </c>
    </row>
    <row r="370" spans="1:22" ht="13" x14ac:dyDescent="0.3">
      <c r="A370" s="20" t="s">
        <v>1067</v>
      </c>
      <c r="B370" s="20">
        <v>30100</v>
      </c>
      <c r="C370" s="20" t="s">
        <v>1068</v>
      </c>
      <c r="D370" s="77" t="s">
        <v>547</v>
      </c>
      <c r="E370" s="77" t="s">
        <v>138</v>
      </c>
      <c r="F370" s="94">
        <v>485.28</v>
      </c>
      <c r="G370" s="94">
        <v>0</v>
      </c>
      <c r="H370" s="94">
        <v>0</v>
      </c>
      <c r="I370" s="94">
        <v>0</v>
      </c>
      <c r="J370" s="94">
        <v>485.28</v>
      </c>
      <c r="K370" s="94">
        <v>485.2799999999998</v>
      </c>
      <c r="L370" s="95">
        <v>0</v>
      </c>
      <c r="M370" s="94">
        <v>0</v>
      </c>
      <c r="N370" s="94">
        <v>0</v>
      </c>
      <c r="O370" s="94">
        <v>0</v>
      </c>
      <c r="P370" s="94">
        <v>0</v>
      </c>
      <c r="Q370" s="94">
        <v>0</v>
      </c>
      <c r="R370" s="94">
        <v>0</v>
      </c>
      <c r="S370" s="94">
        <v>0</v>
      </c>
      <c r="T370" s="94">
        <v>0</v>
      </c>
      <c r="U370" s="95">
        <v>0</v>
      </c>
      <c r="V370" s="96">
        <v>0</v>
      </c>
    </row>
    <row r="371" spans="1:22" ht="13" x14ac:dyDescent="0.3">
      <c r="A371" s="20" t="s">
        <v>1067</v>
      </c>
      <c r="B371" s="20">
        <v>30200</v>
      </c>
      <c r="C371" s="20" t="s">
        <v>1069</v>
      </c>
      <c r="D371" s="77" t="s">
        <v>548</v>
      </c>
      <c r="E371" s="77" t="s">
        <v>139</v>
      </c>
      <c r="F371" s="94">
        <v>0</v>
      </c>
      <c r="G371" s="94">
        <v>0</v>
      </c>
      <c r="H371" s="94">
        <v>0</v>
      </c>
      <c r="I371" s="94">
        <v>0</v>
      </c>
      <c r="J371" s="94">
        <v>0</v>
      </c>
      <c r="K371" s="94">
        <v>0</v>
      </c>
      <c r="L371" s="95">
        <v>0</v>
      </c>
      <c r="M371" s="94">
        <v>0</v>
      </c>
      <c r="N371" s="94">
        <v>0</v>
      </c>
      <c r="O371" s="94">
        <v>0</v>
      </c>
      <c r="P371" s="94">
        <v>0</v>
      </c>
      <c r="Q371" s="94">
        <v>0</v>
      </c>
      <c r="R371" s="94">
        <v>0</v>
      </c>
      <c r="S371" s="94">
        <v>0</v>
      </c>
      <c r="T371" s="94">
        <v>0</v>
      </c>
      <c r="U371" s="95">
        <v>0</v>
      </c>
      <c r="V371" s="96">
        <v>0.04</v>
      </c>
    </row>
    <row r="372" spans="1:22" ht="13" x14ac:dyDescent="0.3">
      <c r="A372" s="20" t="s">
        <v>1067</v>
      </c>
      <c r="B372" s="20">
        <v>30300</v>
      </c>
      <c r="C372" s="20" t="s">
        <v>1070</v>
      </c>
      <c r="D372" s="77" t="s">
        <v>549</v>
      </c>
      <c r="E372" s="77" t="s">
        <v>140</v>
      </c>
      <c r="F372" s="94">
        <v>512671.69</v>
      </c>
      <c r="G372" s="94">
        <v>0</v>
      </c>
      <c r="H372" s="94">
        <v>0</v>
      </c>
      <c r="I372" s="94">
        <v>0</v>
      </c>
      <c r="J372" s="94">
        <v>512671.69</v>
      </c>
      <c r="K372" s="94">
        <v>512671.69000000012</v>
      </c>
      <c r="L372" s="95">
        <v>0</v>
      </c>
      <c r="M372" s="94">
        <v>-452705.5699999989</v>
      </c>
      <c r="N372" s="94">
        <v>-20506.920000000002</v>
      </c>
      <c r="O372" s="94">
        <v>0</v>
      </c>
      <c r="P372" s="94">
        <v>0</v>
      </c>
      <c r="Q372" s="94">
        <v>0</v>
      </c>
      <c r="R372" s="94">
        <v>0</v>
      </c>
      <c r="S372" s="94">
        <v>-473212.48999999888</v>
      </c>
      <c r="T372" s="94">
        <v>-462959.02999999875</v>
      </c>
      <c r="U372" s="95">
        <v>0</v>
      </c>
      <c r="V372" s="96">
        <v>0.04</v>
      </c>
    </row>
    <row r="373" spans="1:22" s="101" customFormat="1" ht="13" x14ac:dyDescent="0.3">
      <c r="A373" s="20" t="s">
        <v>1067</v>
      </c>
      <c r="B373" s="20">
        <v>30301</v>
      </c>
      <c r="C373" s="20" t="s">
        <v>1071</v>
      </c>
      <c r="D373" s="77" t="s">
        <v>669</v>
      </c>
      <c r="E373" s="77" t="s">
        <v>141</v>
      </c>
      <c r="F373" s="94">
        <v>0</v>
      </c>
      <c r="G373" s="94">
        <v>1608.32</v>
      </c>
      <c r="H373" s="94">
        <v>0</v>
      </c>
      <c r="I373" s="94">
        <v>0</v>
      </c>
      <c r="J373" s="94">
        <v>1608.32</v>
      </c>
      <c r="K373" s="94">
        <v>247.43384615384613</v>
      </c>
      <c r="L373" s="95">
        <v>0</v>
      </c>
      <c r="M373" s="94">
        <v>0</v>
      </c>
      <c r="N373" s="94">
        <v>-8.98</v>
      </c>
      <c r="O373" s="94">
        <v>0</v>
      </c>
      <c r="P373" s="94">
        <v>0</v>
      </c>
      <c r="Q373" s="94">
        <v>0</v>
      </c>
      <c r="R373" s="94">
        <v>0</v>
      </c>
      <c r="S373" s="94">
        <v>-8.98</v>
      </c>
      <c r="T373" s="94">
        <v>-0.6907692307692308</v>
      </c>
      <c r="U373" s="95">
        <v>0</v>
      </c>
      <c r="V373" s="100">
        <v>0</v>
      </c>
    </row>
    <row r="374" spans="1:22" ht="13" x14ac:dyDescent="0.3">
      <c r="A374" s="20" t="s">
        <v>1067</v>
      </c>
      <c r="B374" s="20">
        <v>37400</v>
      </c>
      <c r="C374" s="20" t="s">
        <v>1072</v>
      </c>
      <c r="D374" s="77" t="s">
        <v>550</v>
      </c>
      <c r="E374" s="77" t="s">
        <v>142</v>
      </c>
      <c r="F374" s="94">
        <v>377207.51</v>
      </c>
      <c r="G374" s="94">
        <v>18896.030000000002</v>
      </c>
      <c r="H374" s="94">
        <v>0</v>
      </c>
      <c r="I374" s="94">
        <v>0</v>
      </c>
      <c r="J374" s="94">
        <v>396103.54000000004</v>
      </c>
      <c r="K374" s="94">
        <v>392905.81846153841</v>
      </c>
      <c r="L374" s="95">
        <v>0</v>
      </c>
      <c r="M374" s="94">
        <v>0</v>
      </c>
      <c r="N374" s="94">
        <v>0</v>
      </c>
      <c r="O374" s="94">
        <v>0</v>
      </c>
      <c r="P374" s="94">
        <v>0</v>
      </c>
      <c r="Q374" s="94">
        <v>0</v>
      </c>
      <c r="R374" s="94">
        <v>0</v>
      </c>
      <c r="S374" s="94">
        <v>0</v>
      </c>
      <c r="T374" s="94">
        <v>0</v>
      </c>
      <c r="U374" s="95">
        <v>0</v>
      </c>
      <c r="V374" s="96">
        <v>0</v>
      </c>
    </row>
    <row r="375" spans="1:22" ht="13" x14ac:dyDescent="0.3">
      <c r="A375" s="20" t="s">
        <v>1067</v>
      </c>
      <c r="B375" s="20">
        <v>37402</v>
      </c>
      <c r="C375" s="20" t="s">
        <v>1073</v>
      </c>
      <c r="D375" s="77" t="s">
        <v>551</v>
      </c>
      <c r="E375" s="77" t="s">
        <v>143</v>
      </c>
      <c r="F375" s="94">
        <v>44653.810000000056</v>
      </c>
      <c r="G375" s="94">
        <v>0</v>
      </c>
      <c r="H375" s="94">
        <v>0</v>
      </c>
      <c r="I375" s="94">
        <v>0</v>
      </c>
      <c r="J375" s="94">
        <v>44653.810000000056</v>
      </c>
      <c r="K375" s="94">
        <v>44653.810000000056</v>
      </c>
      <c r="L375" s="95">
        <v>0</v>
      </c>
      <c r="M375" s="94">
        <v>68814.800000000221</v>
      </c>
      <c r="N375" s="94">
        <v>-580.43999999999994</v>
      </c>
      <c r="O375" s="94">
        <v>0</v>
      </c>
      <c r="P375" s="94">
        <v>0</v>
      </c>
      <c r="Q375" s="94">
        <v>0</v>
      </c>
      <c r="R375" s="94">
        <v>0</v>
      </c>
      <c r="S375" s="94">
        <v>68234.360000000219</v>
      </c>
      <c r="T375" s="94">
        <v>68524.580000000249</v>
      </c>
      <c r="U375" s="95">
        <v>0</v>
      </c>
      <c r="V375" s="96">
        <v>1.2999999999999999E-2</v>
      </c>
    </row>
    <row r="376" spans="1:22" ht="13" x14ac:dyDescent="0.3">
      <c r="A376" s="20" t="s">
        <v>1067</v>
      </c>
      <c r="B376" s="20">
        <v>37500</v>
      </c>
      <c r="C376" s="20" t="s">
        <v>1074</v>
      </c>
      <c r="D376" s="77" t="s">
        <v>552</v>
      </c>
      <c r="E376" s="77" t="s">
        <v>144</v>
      </c>
      <c r="F376" s="94">
        <v>493295.38999999996</v>
      </c>
      <c r="G376" s="94">
        <v>20276.46</v>
      </c>
      <c r="H376" s="94">
        <v>0</v>
      </c>
      <c r="I376" s="94">
        <v>0</v>
      </c>
      <c r="J376" s="94">
        <v>513571.85</v>
      </c>
      <c r="K376" s="94">
        <v>496086.78384615382</v>
      </c>
      <c r="L376" s="95">
        <v>0</v>
      </c>
      <c r="M376" s="94">
        <v>-203290.34000000014</v>
      </c>
      <c r="N376" s="94">
        <v>-12365.76</v>
      </c>
      <c r="O376" s="94">
        <v>0</v>
      </c>
      <c r="P376" s="94">
        <v>0</v>
      </c>
      <c r="Q376" s="94">
        <v>0</v>
      </c>
      <c r="R376" s="94">
        <v>0</v>
      </c>
      <c r="S376" s="94">
        <v>-215656.10000000015</v>
      </c>
      <c r="T376" s="94">
        <v>-209465.52153846173</v>
      </c>
      <c r="U376" s="95">
        <v>0</v>
      </c>
      <c r="V376" s="96">
        <v>2.5000000000000001E-2</v>
      </c>
    </row>
    <row r="377" spans="1:22" ht="13" x14ac:dyDescent="0.3">
      <c r="A377" s="20" t="s">
        <v>1067</v>
      </c>
      <c r="B377" s="20">
        <v>37600</v>
      </c>
      <c r="C377" s="20" t="s">
        <v>1075</v>
      </c>
      <c r="D377" s="77" t="s">
        <v>553</v>
      </c>
      <c r="E377" s="77" t="s">
        <v>145</v>
      </c>
      <c r="F377" s="94">
        <v>21232483.349999998</v>
      </c>
      <c r="G377" s="94">
        <v>796384.58999999985</v>
      </c>
      <c r="H377" s="94">
        <v>-2408.86</v>
      </c>
      <c r="I377" s="94">
        <v>0</v>
      </c>
      <c r="J377" s="94">
        <v>22026459.079999998</v>
      </c>
      <c r="K377" s="94">
        <v>21759007.363846149</v>
      </c>
      <c r="L377" s="95">
        <v>0</v>
      </c>
      <c r="M377" s="94">
        <v>-5452074.7200000044</v>
      </c>
      <c r="N377" s="94">
        <v>-912942.2100000002</v>
      </c>
      <c r="O377" s="94">
        <v>2408.86</v>
      </c>
      <c r="P377" s="94">
        <v>18131.749999999996</v>
      </c>
      <c r="Q377" s="94">
        <v>0</v>
      </c>
      <c r="R377" s="94">
        <v>0</v>
      </c>
      <c r="S377" s="94">
        <v>-6344476.320000004</v>
      </c>
      <c r="T377" s="94">
        <v>-5890593.936923082</v>
      </c>
      <c r="U377" s="95">
        <v>0</v>
      </c>
      <c r="V377" s="96">
        <v>4.2000000000000003E-2</v>
      </c>
    </row>
    <row r="378" spans="1:22" ht="13" x14ac:dyDescent="0.3">
      <c r="A378" s="20" t="s">
        <v>1067</v>
      </c>
      <c r="B378" s="20">
        <v>37602</v>
      </c>
      <c r="C378" s="20" t="s">
        <v>1076</v>
      </c>
      <c r="D378" s="77" t="s">
        <v>554</v>
      </c>
      <c r="E378" s="77" t="s">
        <v>146</v>
      </c>
      <c r="F378" s="94">
        <v>26457255.860000003</v>
      </c>
      <c r="G378" s="94">
        <v>603898.7300000001</v>
      </c>
      <c r="H378" s="94">
        <v>-5642.94</v>
      </c>
      <c r="I378" s="94">
        <v>0</v>
      </c>
      <c r="J378" s="94">
        <v>27055511.650000002</v>
      </c>
      <c r="K378" s="94">
        <v>26691516.414615385</v>
      </c>
      <c r="L378" s="95">
        <v>0</v>
      </c>
      <c r="M378" s="94">
        <v>-11127312.680000005</v>
      </c>
      <c r="N378" s="94">
        <v>-826496.70000000007</v>
      </c>
      <c r="O378" s="94">
        <v>5642.94</v>
      </c>
      <c r="P378" s="94">
        <v>7354.4899999999943</v>
      </c>
      <c r="Q378" s="94">
        <v>0</v>
      </c>
      <c r="R378" s="94">
        <v>0</v>
      </c>
      <c r="S378" s="94">
        <v>-11940811.950000005</v>
      </c>
      <c r="T378" s="94">
        <v>-11526411.406153856</v>
      </c>
      <c r="U378" s="95">
        <v>0</v>
      </c>
      <c r="V378" s="96">
        <v>3.1E-2</v>
      </c>
    </row>
    <row r="379" spans="1:22" ht="13" x14ac:dyDescent="0.3">
      <c r="A379" s="20" t="s">
        <v>1067</v>
      </c>
      <c r="B379" s="20">
        <v>37602</v>
      </c>
      <c r="C379" s="20" t="s">
        <v>1076</v>
      </c>
      <c r="D379" s="77" t="s">
        <v>555</v>
      </c>
      <c r="E379" s="77" t="s">
        <v>146</v>
      </c>
      <c r="F379" s="94">
        <v>0</v>
      </c>
      <c r="G379" s="94">
        <v>0</v>
      </c>
      <c r="H379" s="94">
        <v>0</v>
      </c>
      <c r="I379" s="94">
        <v>0</v>
      </c>
      <c r="J379" s="94">
        <v>0</v>
      </c>
      <c r="K379" s="94">
        <v>0</v>
      </c>
      <c r="L379" s="95">
        <v>0</v>
      </c>
      <c r="M379" s="94">
        <v>-2546.37</v>
      </c>
      <c r="N379" s="94">
        <v>0</v>
      </c>
      <c r="O379" s="94">
        <v>0</v>
      </c>
      <c r="P379" s="94">
        <v>0</v>
      </c>
      <c r="Q379" s="94">
        <v>0</v>
      </c>
      <c r="R379" s="94">
        <v>0</v>
      </c>
      <c r="S379" s="94">
        <v>-2546.37</v>
      </c>
      <c r="T379" s="94">
        <v>-2546.3699999999994</v>
      </c>
      <c r="U379" s="95">
        <v>0</v>
      </c>
      <c r="V379" s="96">
        <v>3.1E-2</v>
      </c>
    </row>
    <row r="380" spans="1:22" ht="13" x14ac:dyDescent="0.3">
      <c r="A380" s="20" t="s">
        <v>1067</v>
      </c>
      <c r="B380" s="20">
        <v>37800</v>
      </c>
      <c r="C380" s="20" t="s">
        <v>1077</v>
      </c>
      <c r="D380" s="77" t="s">
        <v>556</v>
      </c>
      <c r="E380" s="77" t="s">
        <v>147</v>
      </c>
      <c r="F380" s="94">
        <v>318289.07999999996</v>
      </c>
      <c r="G380" s="94">
        <v>84521.74</v>
      </c>
      <c r="H380" s="94">
        <v>0</v>
      </c>
      <c r="I380" s="94">
        <v>0</v>
      </c>
      <c r="J380" s="94">
        <v>402810.81999999995</v>
      </c>
      <c r="K380" s="94">
        <v>360618.2715384615</v>
      </c>
      <c r="L380" s="95">
        <v>0</v>
      </c>
      <c r="M380" s="94">
        <v>-119880.51000000014</v>
      </c>
      <c r="N380" s="94">
        <v>-12141.5</v>
      </c>
      <c r="O380" s="94">
        <v>0</v>
      </c>
      <c r="P380" s="94">
        <v>0</v>
      </c>
      <c r="Q380" s="94">
        <v>0</v>
      </c>
      <c r="R380" s="94">
        <v>0</v>
      </c>
      <c r="S380" s="94">
        <v>-132022.01000000013</v>
      </c>
      <c r="T380" s="94">
        <v>-125624.18076923095</v>
      </c>
      <c r="U380" s="95">
        <v>0</v>
      </c>
      <c r="V380" s="96">
        <v>3.4000000000000002E-2</v>
      </c>
    </row>
    <row r="381" spans="1:22" ht="13" x14ac:dyDescent="0.3">
      <c r="A381" s="20" t="s">
        <v>1067</v>
      </c>
      <c r="B381" s="20">
        <v>37800</v>
      </c>
      <c r="C381" s="20" t="s">
        <v>1077</v>
      </c>
      <c r="D381" s="77" t="s">
        <v>557</v>
      </c>
      <c r="E381" s="77" t="s">
        <v>147</v>
      </c>
      <c r="F381" s="94">
        <v>32491.120000000003</v>
      </c>
      <c r="G381" s="94">
        <v>0</v>
      </c>
      <c r="H381" s="94">
        <v>0</v>
      </c>
      <c r="I381" s="94">
        <v>0</v>
      </c>
      <c r="J381" s="94">
        <v>32491.120000000003</v>
      </c>
      <c r="K381" s="94">
        <v>32491.119999999999</v>
      </c>
      <c r="L381" s="95">
        <v>0</v>
      </c>
      <c r="M381" s="94">
        <v>-67064.829999999944</v>
      </c>
      <c r="N381" s="94">
        <v>-1104.7199999999998</v>
      </c>
      <c r="O381" s="94">
        <v>0</v>
      </c>
      <c r="P381" s="94">
        <v>0</v>
      </c>
      <c r="Q381" s="94">
        <v>0</v>
      </c>
      <c r="R381" s="94">
        <v>0</v>
      </c>
      <c r="S381" s="94">
        <v>-68169.549999999945</v>
      </c>
      <c r="T381" s="94">
        <v>-67617.18999999993</v>
      </c>
      <c r="U381" s="95">
        <v>0</v>
      </c>
      <c r="V381" s="96">
        <v>3.4000000000000002E-2</v>
      </c>
    </row>
    <row r="382" spans="1:22" ht="13" x14ac:dyDescent="0.3">
      <c r="A382" s="20" t="s">
        <v>1067</v>
      </c>
      <c r="B382" s="20">
        <v>37900</v>
      </c>
      <c r="C382" s="20" t="s">
        <v>1078</v>
      </c>
      <c r="D382" s="77" t="s">
        <v>558</v>
      </c>
      <c r="E382" s="77" t="s">
        <v>148</v>
      </c>
      <c r="F382" s="94">
        <v>832850.83</v>
      </c>
      <c r="G382" s="94">
        <v>31695.38</v>
      </c>
      <c r="H382" s="94">
        <v>0</v>
      </c>
      <c r="I382" s="94">
        <v>0</v>
      </c>
      <c r="J382" s="94">
        <v>864546.21</v>
      </c>
      <c r="K382" s="94">
        <v>845985.58538461558</v>
      </c>
      <c r="L382" s="95">
        <v>0</v>
      </c>
      <c r="M382" s="94">
        <v>-280254.1700000001</v>
      </c>
      <c r="N382" s="94">
        <v>-28710.959999999995</v>
      </c>
      <c r="O382" s="94">
        <v>0</v>
      </c>
      <c r="P382" s="94">
        <v>0</v>
      </c>
      <c r="Q382" s="94">
        <v>0</v>
      </c>
      <c r="R382" s="94">
        <v>0</v>
      </c>
      <c r="S382" s="94">
        <v>-308965.13000000012</v>
      </c>
      <c r="T382" s="94">
        <v>-294505.97000000009</v>
      </c>
      <c r="U382" s="95">
        <v>0</v>
      </c>
      <c r="V382" s="96">
        <v>3.4000000000000002E-2</v>
      </c>
    </row>
    <row r="383" spans="1:22" ht="13" x14ac:dyDescent="0.3">
      <c r="A383" s="20" t="s">
        <v>1067</v>
      </c>
      <c r="B383" s="20">
        <v>37900</v>
      </c>
      <c r="C383" s="20" t="s">
        <v>1078</v>
      </c>
      <c r="D383" s="77" t="s">
        <v>559</v>
      </c>
      <c r="E383" s="77" t="s">
        <v>148</v>
      </c>
      <c r="F383" s="94">
        <v>14736.43</v>
      </c>
      <c r="G383" s="94">
        <v>0</v>
      </c>
      <c r="H383" s="94">
        <v>0</v>
      </c>
      <c r="I383" s="94">
        <v>0</v>
      </c>
      <c r="J383" s="94">
        <v>14736.43</v>
      </c>
      <c r="K383" s="94">
        <v>14736.429999999995</v>
      </c>
      <c r="L383" s="95">
        <v>0</v>
      </c>
      <c r="M383" s="94">
        <v>-25299.739999999951</v>
      </c>
      <c r="N383" s="94">
        <v>-501.11999999999995</v>
      </c>
      <c r="O383" s="94">
        <v>0</v>
      </c>
      <c r="P383" s="94">
        <v>0</v>
      </c>
      <c r="Q383" s="94">
        <v>0</v>
      </c>
      <c r="R383" s="94">
        <v>0</v>
      </c>
      <c r="S383" s="94">
        <v>-25800.85999999995</v>
      </c>
      <c r="T383" s="94">
        <v>-25550.299999999937</v>
      </c>
      <c r="U383" s="95">
        <v>0</v>
      </c>
      <c r="V383" s="96">
        <v>3.4000000000000002E-2</v>
      </c>
    </row>
    <row r="384" spans="1:22" ht="13" x14ac:dyDescent="0.3">
      <c r="A384" s="20" t="s">
        <v>1067</v>
      </c>
      <c r="B384" s="20">
        <v>38000</v>
      </c>
      <c r="C384" s="20" t="s">
        <v>1079</v>
      </c>
      <c r="D384" s="77" t="s">
        <v>560</v>
      </c>
      <c r="E384" s="77" t="s">
        <v>149</v>
      </c>
      <c r="F384" s="94">
        <v>236012.76</v>
      </c>
      <c r="G384" s="94">
        <v>20273.68</v>
      </c>
      <c r="H384" s="94">
        <v>-910.03</v>
      </c>
      <c r="I384" s="94">
        <v>0</v>
      </c>
      <c r="J384" s="94">
        <v>255376.41</v>
      </c>
      <c r="K384" s="94">
        <v>238435.28461538462</v>
      </c>
      <c r="L384" s="95">
        <v>0</v>
      </c>
      <c r="M384" s="94">
        <v>-94343.969999999987</v>
      </c>
      <c r="N384" s="94">
        <v>-15643.550000000001</v>
      </c>
      <c r="O384" s="94">
        <v>910.03</v>
      </c>
      <c r="P384" s="94">
        <v>4353.07</v>
      </c>
      <c r="Q384" s="94">
        <v>0</v>
      </c>
      <c r="R384" s="94">
        <v>0</v>
      </c>
      <c r="S384" s="94">
        <v>-104724.41999999998</v>
      </c>
      <c r="T384" s="94">
        <v>-98052.489999999976</v>
      </c>
      <c r="U384" s="95">
        <v>0</v>
      </c>
      <c r="V384" s="96">
        <v>6.5999999999999989E-2</v>
      </c>
    </row>
    <row r="385" spans="1:22" ht="13" x14ac:dyDescent="0.3">
      <c r="A385" s="20" t="s">
        <v>1067</v>
      </c>
      <c r="B385" s="20">
        <v>38002</v>
      </c>
      <c r="C385" s="20" t="s">
        <v>1080</v>
      </c>
      <c r="D385" s="77" t="s">
        <v>561</v>
      </c>
      <c r="E385" s="77" t="s">
        <v>150</v>
      </c>
      <c r="F385" s="94">
        <v>18797594.480000015</v>
      </c>
      <c r="G385" s="94">
        <v>560945.21</v>
      </c>
      <c r="H385" s="94">
        <v>-20421.5</v>
      </c>
      <c r="I385" s="94">
        <v>0</v>
      </c>
      <c r="J385" s="94">
        <v>19338118.190000016</v>
      </c>
      <c r="K385" s="94">
        <v>18995885.500000015</v>
      </c>
      <c r="L385" s="95">
        <v>0</v>
      </c>
      <c r="M385" s="94">
        <v>-10265240.91</v>
      </c>
      <c r="N385" s="94">
        <v>-948368.29</v>
      </c>
      <c r="O385" s="94">
        <v>20421.5</v>
      </c>
      <c r="P385" s="94">
        <v>53989.14</v>
      </c>
      <c r="Q385" s="94">
        <v>0</v>
      </c>
      <c r="R385" s="94">
        <v>0</v>
      </c>
      <c r="S385" s="94">
        <v>-11139198.559999999</v>
      </c>
      <c r="T385" s="94">
        <v>-10718840.461538466</v>
      </c>
      <c r="U385" s="95">
        <v>0</v>
      </c>
      <c r="V385" s="96">
        <v>0.05</v>
      </c>
    </row>
    <row r="386" spans="1:22" ht="13" x14ac:dyDescent="0.3">
      <c r="A386" s="20" t="s">
        <v>1067</v>
      </c>
      <c r="B386" s="20">
        <v>38100</v>
      </c>
      <c r="C386" s="20" t="s">
        <v>1081</v>
      </c>
      <c r="D386" s="77" t="s">
        <v>562</v>
      </c>
      <c r="E386" s="77" t="s">
        <v>151</v>
      </c>
      <c r="F386" s="94">
        <v>260024.30000000013</v>
      </c>
      <c r="G386" s="94">
        <v>0</v>
      </c>
      <c r="H386" s="94">
        <v>-9502.7999999999993</v>
      </c>
      <c r="I386" s="94">
        <v>0</v>
      </c>
      <c r="J386" s="94">
        <v>250521.50000000015</v>
      </c>
      <c r="K386" s="94">
        <v>254933.36307692315</v>
      </c>
      <c r="L386" s="95">
        <v>0</v>
      </c>
      <c r="M386" s="94">
        <v>-367719.05999999936</v>
      </c>
      <c r="N386" s="94">
        <v>-15062.739999999998</v>
      </c>
      <c r="O386" s="94">
        <v>9502.7999999999993</v>
      </c>
      <c r="P386" s="94">
        <v>229.09000000000003</v>
      </c>
      <c r="Q386" s="94">
        <v>-454.16</v>
      </c>
      <c r="R386" s="94">
        <v>0</v>
      </c>
      <c r="S386" s="94">
        <v>-373504.06999999931</v>
      </c>
      <c r="T386" s="94">
        <v>-370345.17307692242</v>
      </c>
      <c r="U386" s="95">
        <v>0</v>
      </c>
      <c r="V386" s="96">
        <v>5.9000000000000004E-2</v>
      </c>
    </row>
    <row r="387" spans="1:22" ht="13" x14ac:dyDescent="0.3">
      <c r="A387" s="20" t="s">
        <v>1067</v>
      </c>
      <c r="B387" s="20">
        <v>38100</v>
      </c>
      <c r="C387" s="20" t="s">
        <v>1081</v>
      </c>
      <c r="D387" s="77" t="s">
        <v>563</v>
      </c>
      <c r="E387" s="77" t="s">
        <v>151</v>
      </c>
      <c r="F387" s="94">
        <v>3032.1</v>
      </c>
      <c r="G387" s="94">
        <v>0</v>
      </c>
      <c r="H387" s="94">
        <v>0</v>
      </c>
      <c r="I387" s="94">
        <v>0</v>
      </c>
      <c r="J387" s="94">
        <v>3032.1</v>
      </c>
      <c r="K387" s="94">
        <v>3032.099999999999</v>
      </c>
      <c r="L387" s="95">
        <v>0</v>
      </c>
      <c r="M387" s="94">
        <v>-4294.7899999999991</v>
      </c>
      <c r="N387" s="94">
        <v>-178.80000000000004</v>
      </c>
      <c r="O387" s="94">
        <v>0</v>
      </c>
      <c r="P387" s="94">
        <v>0</v>
      </c>
      <c r="Q387" s="94">
        <v>0</v>
      </c>
      <c r="R387" s="94">
        <v>0</v>
      </c>
      <c r="S387" s="94">
        <v>-4473.5899999999992</v>
      </c>
      <c r="T387" s="94">
        <v>-4384.1899999999969</v>
      </c>
      <c r="U387" s="95">
        <v>0</v>
      </c>
      <c r="V387" s="96">
        <v>5.8999999999999997E-2</v>
      </c>
    </row>
    <row r="388" spans="1:22" ht="13" x14ac:dyDescent="0.3">
      <c r="A388" s="20" t="s">
        <v>1067</v>
      </c>
      <c r="B388" s="20">
        <v>38200</v>
      </c>
      <c r="C388" s="20" t="s">
        <v>1082</v>
      </c>
      <c r="D388" s="77" t="s">
        <v>564</v>
      </c>
      <c r="E388" s="77" t="s">
        <v>152</v>
      </c>
      <c r="F388" s="94">
        <v>5641108.6399999987</v>
      </c>
      <c r="G388" s="94">
        <v>182178.92000000004</v>
      </c>
      <c r="H388" s="94">
        <v>-20092.64</v>
      </c>
      <c r="I388" s="94">
        <v>0</v>
      </c>
      <c r="J388" s="94">
        <v>5803194.919999999</v>
      </c>
      <c r="K388" s="94">
        <v>5741624.7199999969</v>
      </c>
      <c r="L388" s="95">
        <v>0</v>
      </c>
      <c r="M388" s="94">
        <v>-2459856.9900000016</v>
      </c>
      <c r="N388" s="94">
        <v>-258142.25</v>
      </c>
      <c r="O388" s="94">
        <v>20092.64</v>
      </c>
      <c r="P388" s="94">
        <v>11154.130000000001</v>
      </c>
      <c r="Q388" s="94">
        <v>0</v>
      </c>
      <c r="R388" s="94">
        <v>0</v>
      </c>
      <c r="S388" s="94">
        <v>-2686752.4700000016</v>
      </c>
      <c r="T388" s="94">
        <v>-2578606.9446153869</v>
      </c>
      <c r="U388" s="95">
        <v>0</v>
      </c>
      <c r="V388" s="96">
        <v>4.4999999999999998E-2</v>
      </c>
    </row>
    <row r="389" spans="1:22" ht="13" x14ac:dyDescent="0.3">
      <c r="A389" s="20" t="s">
        <v>1067</v>
      </c>
      <c r="B389" s="20">
        <v>38300</v>
      </c>
      <c r="C389" s="20" t="s">
        <v>1083</v>
      </c>
      <c r="D389" s="77" t="s">
        <v>565</v>
      </c>
      <c r="E389" s="77" t="s">
        <v>153</v>
      </c>
      <c r="F389" s="94">
        <v>839962.56000000029</v>
      </c>
      <c r="G389" s="94">
        <v>32570.26</v>
      </c>
      <c r="H389" s="94">
        <v>-9055.51</v>
      </c>
      <c r="I389" s="94">
        <v>0</v>
      </c>
      <c r="J389" s="94">
        <v>863477.31000000029</v>
      </c>
      <c r="K389" s="94">
        <v>848457.59846153867</v>
      </c>
      <c r="L389" s="95">
        <v>0</v>
      </c>
      <c r="M389" s="94">
        <v>-498289.13999999996</v>
      </c>
      <c r="N389" s="94">
        <v>-30499.42</v>
      </c>
      <c r="O389" s="94">
        <v>9055.51</v>
      </c>
      <c r="P389" s="94">
        <v>0</v>
      </c>
      <c r="Q389" s="94">
        <v>0</v>
      </c>
      <c r="R389" s="94">
        <v>0</v>
      </c>
      <c r="S389" s="94">
        <v>-519733.04999999993</v>
      </c>
      <c r="T389" s="94">
        <v>-512754.41538461536</v>
      </c>
      <c r="U389" s="95">
        <v>0</v>
      </c>
      <c r="V389" s="96">
        <v>3.5999999999999997E-2</v>
      </c>
    </row>
    <row r="390" spans="1:22" ht="13" x14ac:dyDescent="0.3">
      <c r="A390" s="20" t="s">
        <v>1067</v>
      </c>
      <c r="B390" s="20">
        <v>38400</v>
      </c>
      <c r="C390" s="20" t="s">
        <v>1084</v>
      </c>
      <c r="D390" s="77" t="s">
        <v>566</v>
      </c>
      <c r="E390" s="77" t="s">
        <v>154</v>
      </c>
      <c r="F390" s="94">
        <v>2419097.9899999979</v>
      </c>
      <c r="G390" s="94">
        <v>60726.37000000001</v>
      </c>
      <c r="H390" s="94">
        <v>-3467.54</v>
      </c>
      <c r="I390" s="94">
        <v>0</v>
      </c>
      <c r="J390" s="94">
        <v>2476356.819999998</v>
      </c>
      <c r="K390" s="94">
        <v>2457957.0069230748</v>
      </c>
      <c r="L390" s="95">
        <v>0</v>
      </c>
      <c r="M390" s="94">
        <v>-1116725.8599999996</v>
      </c>
      <c r="N390" s="94">
        <v>-110539.08</v>
      </c>
      <c r="O390" s="94">
        <v>3467.54</v>
      </c>
      <c r="P390" s="94">
        <v>5054.41</v>
      </c>
      <c r="Q390" s="94">
        <v>0</v>
      </c>
      <c r="R390" s="94">
        <v>0</v>
      </c>
      <c r="S390" s="94">
        <v>-1218742.9899999998</v>
      </c>
      <c r="T390" s="94">
        <v>-1164472.1561538458</v>
      </c>
      <c r="U390" s="95">
        <v>0</v>
      </c>
      <c r="V390" s="96">
        <v>4.4999999999999998E-2</v>
      </c>
    </row>
    <row r="391" spans="1:22" ht="13" x14ac:dyDescent="0.3">
      <c r="A391" s="20" t="s">
        <v>1067</v>
      </c>
      <c r="B391" s="20">
        <v>38500</v>
      </c>
      <c r="C391" s="20" t="s">
        <v>1085</v>
      </c>
      <c r="D391" s="77" t="s">
        <v>567</v>
      </c>
      <c r="E391" s="77" t="s">
        <v>155</v>
      </c>
      <c r="F391" s="94">
        <v>147146.72999999998</v>
      </c>
      <c r="G391" s="94">
        <v>0</v>
      </c>
      <c r="H391" s="94">
        <v>0</v>
      </c>
      <c r="I391" s="94">
        <v>0</v>
      </c>
      <c r="J391" s="94">
        <v>147146.72999999998</v>
      </c>
      <c r="K391" s="94">
        <v>147146.72999999998</v>
      </c>
      <c r="L391" s="95">
        <v>0</v>
      </c>
      <c r="M391" s="94">
        <v>59735.649999999994</v>
      </c>
      <c r="N391" s="94">
        <v>-4561.5600000000004</v>
      </c>
      <c r="O391" s="94">
        <v>0</v>
      </c>
      <c r="P391" s="94">
        <v>0</v>
      </c>
      <c r="Q391" s="94">
        <v>0</v>
      </c>
      <c r="R391" s="94">
        <v>0</v>
      </c>
      <c r="S391" s="94">
        <v>55174.09</v>
      </c>
      <c r="T391" s="94">
        <v>57454.87</v>
      </c>
      <c r="U391" s="95">
        <v>0</v>
      </c>
      <c r="V391" s="96">
        <v>3.1E-2</v>
      </c>
    </row>
    <row r="392" spans="1:22" ht="13" x14ac:dyDescent="0.3">
      <c r="A392" s="20" t="s">
        <v>1067</v>
      </c>
      <c r="B392" s="20">
        <v>38700</v>
      </c>
      <c r="C392" s="20" t="s">
        <v>1086</v>
      </c>
      <c r="D392" s="77" t="s">
        <v>568</v>
      </c>
      <c r="E392" s="77" t="s">
        <v>156</v>
      </c>
      <c r="F392" s="94">
        <v>195377.12000000002</v>
      </c>
      <c r="G392" s="94">
        <v>14918.37</v>
      </c>
      <c r="H392" s="94">
        <v>0</v>
      </c>
      <c r="I392" s="94">
        <v>0</v>
      </c>
      <c r="J392" s="94">
        <v>210295.49000000002</v>
      </c>
      <c r="K392" s="94">
        <v>209147.92307692312</v>
      </c>
      <c r="L392" s="95">
        <v>0</v>
      </c>
      <c r="M392" s="94">
        <v>-67675.530000000101</v>
      </c>
      <c r="N392" s="94">
        <v>-13170.279999999997</v>
      </c>
      <c r="O392" s="94">
        <v>0</v>
      </c>
      <c r="P392" s="94">
        <v>0</v>
      </c>
      <c r="Q392" s="94">
        <v>0</v>
      </c>
      <c r="R392" s="94">
        <v>0</v>
      </c>
      <c r="S392" s="94">
        <v>-80845.8100000001</v>
      </c>
      <c r="T392" s="94">
        <v>-74227.534615384735</v>
      </c>
      <c r="U392" s="95">
        <v>0</v>
      </c>
      <c r="V392" s="96">
        <v>6.3E-2</v>
      </c>
    </row>
    <row r="393" spans="1:22" ht="13" x14ac:dyDescent="0.3">
      <c r="A393" s="20" t="s">
        <v>1067</v>
      </c>
      <c r="B393" s="20">
        <v>39000</v>
      </c>
      <c r="C393" s="20" t="s">
        <v>1087</v>
      </c>
      <c r="D393" s="77" t="s">
        <v>569</v>
      </c>
      <c r="E393" s="77" t="s">
        <v>157</v>
      </c>
      <c r="F393" s="94">
        <v>0</v>
      </c>
      <c r="G393" s="94">
        <v>0</v>
      </c>
      <c r="H393" s="94">
        <v>0</v>
      </c>
      <c r="I393" s="94">
        <v>0</v>
      </c>
      <c r="J393" s="94">
        <v>0</v>
      </c>
      <c r="K393" s="94">
        <v>0</v>
      </c>
      <c r="L393" s="95">
        <v>0</v>
      </c>
      <c r="M393" s="94">
        <v>-42952.68</v>
      </c>
      <c r="N393" s="94">
        <v>0</v>
      </c>
      <c r="O393" s="94">
        <v>0</v>
      </c>
      <c r="P393" s="94">
        <v>0</v>
      </c>
      <c r="Q393" s="94">
        <v>0</v>
      </c>
      <c r="R393" s="94">
        <v>0</v>
      </c>
      <c r="S393" s="94">
        <v>-42952.68</v>
      </c>
      <c r="T393" s="94">
        <v>-42952.68</v>
      </c>
      <c r="U393" s="95">
        <v>0</v>
      </c>
      <c r="V393" s="96">
        <v>2.5000000000000001E-2</v>
      </c>
    </row>
    <row r="394" spans="1:22" ht="13" x14ac:dyDescent="0.3">
      <c r="A394" s="20" t="s">
        <v>1067</v>
      </c>
      <c r="B394" s="20">
        <v>39100</v>
      </c>
      <c r="C394" s="20" t="s">
        <v>1088</v>
      </c>
      <c r="D394" s="77" t="s">
        <v>570</v>
      </c>
      <c r="E394" s="77" t="s">
        <v>159</v>
      </c>
      <c r="F394" s="94">
        <v>27079.200000000004</v>
      </c>
      <c r="G394" s="94">
        <v>0</v>
      </c>
      <c r="H394" s="94">
        <v>0</v>
      </c>
      <c r="I394" s="94">
        <v>0</v>
      </c>
      <c r="J394" s="94">
        <v>27079.200000000004</v>
      </c>
      <c r="K394" s="94">
        <v>27427.900000000009</v>
      </c>
      <c r="L394" s="95">
        <v>0</v>
      </c>
      <c r="M394" s="94">
        <v>-46264.190000000031</v>
      </c>
      <c r="N394" s="94">
        <v>-1839.5900000000004</v>
      </c>
      <c r="O394" s="94">
        <v>0</v>
      </c>
      <c r="P394" s="94">
        <v>0</v>
      </c>
      <c r="Q394" s="94">
        <v>0</v>
      </c>
      <c r="R394" s="94">
        <v>0</v>
      </c>
      <c r="S394" s="94">
        <v>-48103.780000000035</v>
      </c>
      <c r="T394" s="94">
        <v>-47183.011538461586</v>
      </c>
      <c r="U394" s="95">
        <v>0</v>
      </c>
      <c r="V394" s="96">
        <v>6.7000000000000004E-2</v>
      </c>
    </row>
    <row r="395" spans="1:22" ht="13" x14ac:dyDescent="0.3">
      <c r="A395" s="20" t="s">
        <v>1067</v>
      </c>
      <c r="B395" s="20">
        <v>39101</v>
      </c>
      <c r="C395" s="20" t="s">
        <v>1089</v>
      </c>
      <c r="D395" s="77" t="s">
        <v>571</v>
      </c>
      <c r="E395" s="77" t="s">
        <v>160</v>
      </c>
      <c r="F395" s="94">
        <v>49834.170000000013</v>
      </c>
      <c r="G395" s="94">
        <v>-530.41</v>
      </c>
      <c r="H395" s="94">
        <v>0</v>
      </c>
      <c r="I395" s="94">
        <v>0</v>
      </c>
      <c r="J395" s="94">
        <v>49303.760000000009</v>
      </c>
      <c r="K395" s="94">
        <v>49630.166153846163</v>
      </c>
      <c r="L395" s="95">
        <v>0</v>
      </c>
      <c r="M395" s="94">
        <v>-58654.440000000017</v>
      </c>
      <c r="N395" s="94">
        <v>-6207.2</v>
      </c>
      <c r="O395" s="94">
        <v>0</v>
      </c>
      <c r="P395" s="94">
        <v>0</v>
      </c>
      <c r="Q395" s="94">
        <v>0</v>
      </c>
      <c r="R395" s="94">
        <v>0</v>
      </c>
      <c r="S395" s="94">
        <v>-64861.640000000014</v>
      </c>
      <c r="T395" s="94">
        <v>-61764.846153846178</v>
      </c>
      <c r="U395" s="95">
        <v>0</v>
      </c>
      <c r="V395" s="96">
        <v>0.125</v>
      </c>
    </row>
    <row r="396" spans="1:22" ht="13" x14ac:dyDescent="0.3">
      <c r="A396" s="20" t="s">
        <v>1067</v>
      </c>
      <c r="B396" s="20">
        <v>39102</v>
      </c>
      <c r="C396" s="20" t="s">
        <v>1090</v>
      </c>
      <c r="D396" s="77" t="s">
        <v>572</v>
      </c>
      <c r="E396" s="77" t="s">
        <v>161</v>
      </c>
      <c r="F396" s="94">
        <v>48427.969999999994</v>
      </c>
      <c r="G396" s="94">
        <v>5069.22</v>
      </c>
      <c r="H396" s="94">
        <v>0</v>
      </c>
      <c r="I396" s="94">
        <v>0</v>
      </c>
      <c r="J396" s="94">
        <v>53497.189999999995</v>
      </c>
      <c r="K396" s="94">
        <v>50602.649999999987</v>
      </c>
      <c r="L396" s="95">
        <v>0</v>
      </c>
      <c r="M396" s="94">
        <v>-9488.2200000000012</v>
      </c>
      <c r="N396" s="94">
        <v>-3374.2199999999989</v>
      </c>
      <c r="O396" s="94">
        <v>0</v>
      </c>
      <c r="P396" s="94">
        <v>0</v>
      </c>
      <c r="Q396" s="94">
        <v>0</v>
      </c>
      <c r="R396" s="94">
        <v>0</v>
      </c>
      <c r="S396" s="94">
        <v>-12862.44</v>
      </c>
      <c r="T396" s="94">
        <v>-11139.993846153844</v>
      </c>
      <c r="U396" s="95">
        <v>0</v>
      </c>
      <c r="V396" s="96">
        <v>6.7000000000000004E-2</v>
      </c>
    </row>
    <row r="397" spans="1:22" ht="13" x14ac:dyDescent="0.3">
      <c r="A397" s="20" t="s">
        <v>1067</v>
      </c>
      <c r="B397" s="20">
        <v>39103</v>
      </c>
      <c r="C397" s="20" t="s">
        <v>1091</v>
      </c>
      <c r="D397" s="77" t="s">
        <v>573</v>
      </c>
      <c r="E397" s="77" t="s">
        <v>162</v>
      </c>
      <c r="F397" s="94">
        <v>0</v>
      </c>
      <c r="G397" s="94">
        <v>0</v>
      </c>
      <c r="H397" s="94">
        <v>0</v>
      </c>
      <c r="I397" s="94">
        <v>0</v>
      </c>
      <c r="J397" s="94">
        <v>0</v>
      </c>
      <c r="K397" s="94">
        <v>0</v>
      </c>
      <c r="L397" s="95">
        <v>0</v>
      </c>
      <c r="M397" s="94">
        <v>0</v>
      </c>
      <c r="N397" s="94">
        <v>0</v>
      </c>
      <c r="O397" s="94">
        <v>0</v>
      </c>
      <c r="P397" s="94">
        <v>0</v>
      </c>
      <c r="Q397" s="94">
        <v>0</v>
      </c>
      <c r="R397" s="94">
        <v>0</v>
      </c>
      <c r="S397" s="94">
        <v>0</v>
      </c>
      <c r="T397" s="94">
        <v>0</v>
      </c>
      <c r="U397" s="95">
        <v>0</v>
      </c>
      <c r="V397" s="96">
        <v>0</v>
      </c>
    </row>
    <row r="398" spans="1:22" ht="13" x14ac:dyDescent="0.3">
      <c r="A398" s="20" t="s">
        <v>1067</v>
      </c>
      <c r="B398" s="20">
        <v>39201</v>
      </c>
      <c r="C398" s="20" t="s">
        <v>1092</v>
      </c>
      <c r="D398" s="77" t="s">
        <v>574</v>
      </c>
      <c r="E398" s="77" t="s">
        <v>163</v>
      </c>
      <c r="F398" s="94">
        <v>246004.29000000004</v>
      </c>
      <c r="G398" s="94">
        <v>0</v>
      </c>
      <c r="H398" s="94">
        <v>-52879.93</v>
      </c>
      <c r="I398" s="94">
        <v>0</v>
      </c>
      <c r="J398" s="94">
        <v>193124.36000000004</v>
      </c>
      <c r="K398" s="94">
        <v>212561.57461538463</v>
      </c>
      <c r="L398" s="95">
        <v>0</v>
      </c>
      <c r="M398" s="94">
        <v>-227336.17000000025</v>
      </c>
      <c r="N398" s="94">
        <v>-23988.290000000008</v>
      </c>
      <c r="O398" s="94">
        <v>52879.93</v>
      </c>
      <c r="P398" s="94">
        <v>0</v>
      </c>
      <c r="Q398" s="94">
        <v>-2680</v>
      </c>
      <c r="R398" s="94">
        <v>0</v>
      </c>
      <c r="S398" s="94">
        <v>-201124.53000000026</v>
      </c>
      <c r="T398" s="94">
        <v>-208529.19076923101</v>
      </c>
      <c r="U398" s="95">
        <v>0</v>
      </c>
      <c r="V398" s="96">
        <v>0.112</v>
      </c>
    </row>
    <row r="399" spans="1:22" ht="13" x14ac:dyDescent="0.3">
      <c r="A399" s="20" t="s">
        <v>1067</v>
      </c>
      <c r="B399" s="20">
        <v>39202</v>
      </c>
      <c r="C399" s="20" t="s">
        <v>1093</v>
      </c>
      <c r="D399" s="77" t="s">
        <v>575</v>
      </c>
      <c r="E399" s="77" t="s">
        <v>164</v>
      </c>
      <c r="F399" s="94">
        <v>466266.26</v>
      </c>
      <c r="G399" s="94">
        <v>1692.1399999999999</v>
      </c>
      <c r="H399" s="94">
        <v>-30673.35</v>
      </c>
      <c r="I399" s="94">
        <v>0</v>
      </c>
      <c r="J399" s="94">
        <v>437285.05000000005</v>
      </c>
      <c r="K399" s="94">
        <v>455857.35692307685</v>
      </c>
      <c r="L399" s="95">
        <v>0</v>
      </c>
      <c r="M399" s="94">
        <v>-272947.03999999975</v>
      </c>
      <c r="N399" s="94">
        <v>-58090.43</v>
      </c>
      <c r="O399" s="94">
        <v>30673.35</v>
      </c>
      <c r="P399" s="94">
        <v>0</v>
      </c>
      <c r="Q399" s="94">
        <v>0</v>
      </c>
      <c r="R399" s="94">
        <v>0</v>
      </c>
      <c r="S399" s="94">
        <v>-300364.11999999976</v>
      </c>
      <c r="T399" s="94">
        <v>-291457.43999999983</v>
      </c>
      <c r="U399" s="95">
        <v>0</v>
      </c>
      <c r="V399" s="96">
        <v>0.127</v>
      </c>
    </row>
    <row r="400" spans="1:22" ht="13" x14ac:dyDescent="0.3">
      <c r="A400" s="20" t="s">
        <v>1067</v>
      </c>
      <c r="B400" s="20">
        <v>39204</v>
      </c>
      <c r="C400" s="20" t="s">
        <v>1094</v>
      </c>
      <c r="D400" s="77" t="s">
        <v>576</v>
      </c>
      <c r="E400" s="77" t="s">
        <v>166</v>
      </c>
      <c r="F400" s="94">
        <v>10161.709999999999</v>
      </c>
      <c r="G400" s="94">
        <v>0</v>
      </c>
      <c r="H400" s="94">
        <v>0</v>
      </c>
      <c r="I400" s="94">
        <v>0</v>
      </c>
      <c r="J400" s="94">
        <v>10161.709999999999</v>
      </c>
      <c r="K400" s="94">
        <v>10161.709999999995</v>
      </c>
      <c r="L400" s="95">
        <v>0</v>
      </c>
      <c r="M400" s="94">
        <v>-7103.2100000000037</v>
      </c>
      <c r="N400" s="94">
        <v>-406.44</v>
      </c>
      <c r="O400" s="94">
        <v>0</v>
      </c>
      <c r="P400" s="94">
        <v>0</v>
      </c>
      <c r="Q400" s="94">
        <v>0</v>
      </c>
      <c r="R400" s="94">
        <v>0</v>
      </c>
      <c r="S400" s="94">
        <v>-7509.6500000000033</v>
      </c>
      <c r="T400" s="94">
        <v>-7306.4300000000039</v>
      </c>
      <c r="U400" s="95">
        <v>0</v>
      </c>
      <c r="V400" s="96">
        <v>0.04</v>
      </c>
    </row>
    <row r="401" spans="1:22" ht="13" x14ac:dyDescent="0.3">
      <c r="A401" s="20" t="s">
        <v>1067</v>
      </c>
      <c r="B401" s="20">
        <v>39205</v>
      </c>
      <c r="C401" s="20" t="s">
        <v>1095</v>
      </c>
      <c r="D401" s="77" t="s">
        <v>577</v>
      </c>
      <c r="E401" s="77" t="s">
        <v>167</v>
      </c>
      <c r="F401" s="94">
        <v>56811.3</v>
      </c>
      <c r="G401" s="94">
        <v>0</v>
      </c>
      <c r="H401" s="94">
        <v>0</v>
      </c>
      <c r="I401" s="94">
        <v>0</v>
      </c>
      <c r="J401" s="94">
        <v>56811.3</v>
      </c>
      <c r="K401" s="94">
        <v>56811.30000000001</v>
      </c>
      <c r="L401" s="95">
        <v>0</v>
      </c>
      <c r="M401" s="94">
        <v>-6722.4500000000007</v>
      </c>
      <c r="N401" s="94">
        <v>-4204.0800000000008</v>
      </c>
      <c r="O401" s="94">
        <v>0</v>
      </c>
      <c r="P401" s="94">
        <v>0</v>
      </c>
      <c r="Q401" s="94">
        <v>0</v>
      </c>
      <c r="R401" s="94">
        <v>0</v>
      </c>
      <c r="S401" s="94">
        <v>-10926.530000000002</v>
      </c>
      <c r="T401" s="94">
        <v>-8824.4900000000016</v>
      </c>
      <c r="U401" s="95">
        <v>0</v>
      </c>
      <c r="V401" s="96">
        <v>7.3999999999999996E-2</v>
      </c>
    </row>
    <row r="402" spans="1:22" ht="13" x14ac:dyDescent="0.3">
      <c r="A402" s="20" t="s">
        <v>1067</v>
      </c>
      <c r="B402" s="20">
        <v>39400</v>
      </c>
      <c r="C402" s="20" t="s">
        <v>1096</v>
      </c>
      <c r="D402" s="77" t="s">
        <v>578</v>
      </c>
      <c r="E402" s="77" t="s">
        <v>169</v>
      </c>
      <c r="F402" s="94">
        <v>101579.01999999999</v>
      </c>
      <c r="G402" s="94">
        <v>26070.159999999996</v>
      </c>
      <c r="H402" s="94">
        <v>0</v>
      </c>
      <c r="I402" s="94">
        <v>0</v>
      </c>
      <c r="J402" s="94">
        <v>127649.18</v>
      </c>
      <c r="K402" s="94">
        <v>111334.36076923073</v>
      </c>
      <c r="L402" s="95">
        <v>0</v>
      </c>
      <c r="M402" s="94">
        <v>-29986.190000000021</v>
      </c>
      <c r="N402" s="94">
        <v>-7258.3100000000013</v>
      </c>
      <c r="O402" s="94">
        <v>0</v>
      </c>
      <c r="P402" s="94">
        <v>0</v>
      </c>
      <c r="Q402" s="94">
        <v>0</v>
      </c>
      <c r="R402" s="94">
        <v>0</v>
      </c>
      <c r="S402" s="94">
        <v>-37244.500000000022</v>
      </c>
      <c r="T402" s="94">
        <v>-33541.383846153869</v>
      </c>
      <c r="U402" s="95">
        <v>0</v>
      </c>
      <c r="V402" s="96">
        <v>6.6000000000000003E-2</v>
      </c>
    </row>
    <row r="403" spans="1:22" ht="13" x14ac:dyDescent="0.3">
      <c r="A403" s="20" t="s">
        <v>1067</v>
      </c>
      <c r="B403" s="20">
        <v>39400</v>
      </c>
      <c r="C403" s="20" t="s">
        <v>1096</v>
      </c>
      <c r="D403" s="77" t="s">
        <v>579</v>
      </c>
      <c r="E403" s="77" t="s">
        <v>169</v>
      </c>
      <c r="F403" s="94">
        <v>15572.55</v>
      </c>
      <c r="G403" s="94">
        <v>0</v>
      </c>
      <c r="H403" s="94">
        <v>-10941.39</v>
      </c>
      <c r="I403" s="94">
        <v>0</v>
      </c>
      <c r="J403" s="94">
        <v>4631.16</v>
      </c>
      <c r="K403" s="94">
        <v>6314.4507692307716</v>
      </c>
      <c r="L403" s="95">
        <v>0</v>
      </c>
      <c r="M403" s="94">
        <v>-20298.870000000061</v>
      </c>
      <c r="N403" s="94">
        <v>-426.00000000000011</v>
      </c>
      <c r="O403" s="94">
        <v>10941.39</v>
      </c>
      <c r="P403" s="94">
        <v>0</v>
      </c>
      <c r="Q403" s="94">
        <v>0</v>
      </c>
      <c r="R403" s="94">
        <v>0</v>
      </c>
      <c r="S403" s="94">
        <v>-9783.4800000000614</v>
      </c>
      <c r="T403" s="94">
        <v>-11300.063076923137</v>
      </c>
      <c r="U403" s="95">
        <v>0</v>
      </c>
      <c r="V403" s="96">
        <v>6.6000000000000003E-2</v>
      </c>
    </row>
    <row r="404" spans="1:22" ht="13" x14ac:dyDescent="0.3">
      <c r="A404" s="20" t="s">
        <v>1067</v>
      </c>
      <c r="B404" s="20">
        <v>39600</v>
      </c>
      <c r="C404" s="20" t="s">
        <v>1097</v>
      </c>
      <c r="D404" s="77" t="s">
        <v>580</v>
      </c>
      <c r="E404" s="77" t="s">
        <v>171</v>
      </c>
      <c r="F404" s="94">
        <v>52942.619999999995</v>
      </c>
      <c r="G404" s="94">
        <v>0</v>
      </c>
      <c r="H404" s="94">
        <v>0</v>
      </c>
      <c r="I404" s="94">
        <v>0</v>
      </c>
      <c r="J404" s="94">
        <v>52942.619999999995</v>
      </c>
      <c r="K404" s="94">
        <v>52942.619999999995</v>
      </c>
      <c r="L404" s="95">
        <v>0</v>
      </c>
      <c r="M404" s="94">
        <v>-36181.3100000001</v>
      </c>
      <c r="N404" s="94">
        <v>-3388.3200000000011</v>
      </c>
      <c r="O404" s="94">
        <v>0</v>
      </c>
      <c r="P404" s="94">
        <v>0</v>
      </c>
      <c r="Q404" s="94">
        <v>0</v>
      </c>
      <c r="R404" s="94">
        <v>0</v>
      </c>
      <c r="S404" s="94">
        <v>-39569.630000000099</v>
      </c>
      <c r="T404" s="94">
        <v>-37875.470000000096</v>
      </c>
      <c r="U404" s="95">
        <v>0</v>
      </c>
      <c r="V404" s="96">
        <v>6.4000000000000001E-2</v>
      </c>
    </row>
    <row r="405" spans="1:22" ht="13" x14ac:dyDescent="0.3">
      <c r="A405" s="20" t="s">
        <v>1067</v>
      </c>
      <c r="B405" s="20">
        <v>39700</v>
      </c>
      <c r="C405" s="20" t="s">
        <v>1098</v>
      </c>
      <c r="D405" s="77" t="s">
        <v>581</v>
      </c>
      <c r="E405" s="77" t="s">
        <v>172</v>
      </c>
      <c r="F405" s="94">
        <v>90690.289999999979</v>
      </c>
      <c r="G405" s="94">
        <v>0</v>
      </c>
      <c r="H405" s="94">
        <v>0</v>
      </c>
      <c r="I405" s="94">
        <v>0</v>
      </c>
      <c r="J405" s="94">
        <v>90690.289999999979</v>
      </c>
      <c r="K405" s="94">
        <v>90690.290000000008</v>
      </c>
      <c r="L405" s="95">
        <v>0</v>
      </c>
      <c r="M405" s="94">
        <v>-59128.420000000078</v>
      </c>
      <c r="N405" s="94">
        <v>-7617.96</v>
      </c>
      <c r="O405" s="94">
        <v>0</v>
      </c>
      <c r="P405" s="94">
        <v>0</v>
      </c>
      <c r="Q405" s="94">
        <v>0</v>
      </c>
      <c r="R405" s="94">
        <v>0</v>
      </c>
      <c r="S405" s="94">
        <v>-66746.380000000077</v>
      </c>
      <c r="T405" s="94">
        <v>-62937.400000000089</v>
      </c>
      <c r="U405" s="95">
        <v>0</v>
      </c>
      <c r="V405" s="96">
        <v>8.4000000000000005E-2</v>
      </c>
    </row>
    <row r="406" spans="1:22" ht="13" x14ac:dyDescent="0.3">
      <c r="A406" s="20" t="s">
        <v>1067</v>
      </c>
      <c r="B406" s="20">
        <v>39800</v>
      </c>
      <c r="C406" s="20" t="s">
        <v>1099</v>
      </c>
      <c r="D406" s="77" t="s">
        <v>582</v>
      </c>
      <c r="E406" s="77" t="s">
        <v>173</v>
      </c>
      <c r="F406" s="94">
        <v>134043.59</v>
      </c>
      <c r="G406" s="94">
        <v>1158.3499999999999</v>
      </c>
      <c r="H406" s="94">
        <v>0</v>
      </c>
      <c r="I406" s="94">
        <v>0</v>
      </c>
      <c r="J406" s="94">
        <v>135201.94</v>
      </c>
      <c r="K406" s="94">
        <v>134400.00538461536</v>
      </c>
      <c r="L406" s="95">
        <v>0</v>
      </c>
      <c r="M406" s="94">
        <v>-171711.95999999985</v>
      </c>
      <c r="N406" s="94">
        <v>-7925.67</v>
      </c>
      <c r="O406" s="94">
        <v>0</v>
      </c>
      <c r="P406" s="94">
        <v>0</v>
      </c>
      <c r="Q406" s="94">
        <v>0</v>
      </c>
      <c r="R406" s="94">
        <v>0</v>
      </c>
      <c r="S406" s="94">
        <v>-179637.62999999986</v>
      </c>
      <c r="T406" s="94">
        <v>-175668.88615384593</v>
      </c>
      <c r="U406" s="95">
        <v>0</v>
      </c>
      <c r="V406" s="96">
        <v>5.8999999999999997E-2</v>
      </c>
    </row>
    <row r="407" spans="1:22" ht="13" x14ac:dyDescent="0.3">
      <c r="A407" s="20" t="s">
        <v>1100</v>
      </c>
      <c r="B407" s="20">
        <v>37400</v>
      </c>
      <c r="C407" s="20" t="s">
        <v>1101</v>
      </c>
      <c r="D407" s="77" t="s">
        <v>583</v>
      </c>
      <c r="E407" s="77" t="s">
        <v>142</v>
      </c>
      <c r="F407" s="94">
        <v>112002.09</v>
      </c>
      <c r="G407" s="94">
        <v>0</v>
      </c>
      <c r="H407" s="94">
        <v>0</v>
      </c>
      <c r="I407" s="94">
        <v>0</v>
      </c>
      <c r="J407" s="94">
        <v>112002.09</v>
      </c>
      <c r="K407" s="94">
        <v>112002.09000000001</v>
      </c>
      <c r="L407" s="95">
        <v>0</v>
      </c>
      <c r="M407" s="94">
        <v>0</v>
      </c>
      <c r="N407" s="94">
        <v>0</v>
      </c>
      <c r="O407" s="94">
        <v>0</v>
      </c>
      <c r="P407" s="94">
        <v>0</v>
      </c>
      <c r="Q407" s="94">
        <v>0</v>
      </c>
      <c r="R407" s="94">
        <v>0</v>
      </c>
      <c r="S407" s="94">
        <v>0</v>
      </c>
      <c r="T407" s="94">
        <v>0</v>
      </c>
      <c r="U407" s="95">
        <v>0</v>
      </c>
      <c r="V407" s="96">
        <v>0</v>
      </c>
    </row>
    <row r="408" spans="1:22" ht="13" x14ac:dyDescent="0.3">
      <c r="A408" s="20" t="s">
        <v>1100</v>
      </c>
      <c r="B408" s="20">
        <v>37402</v>
      </c>
      <c r="C408" s="20" t="s">
        <v>1102</v>
      </c>
      <c r="D408" s="77" t="s">
        <v>584</v>
      </c>
      <c r="E408" s="77" t="s">
        <v>143</v>
      </c>
      <c r="F408" s="94">
        <v>195568.15999999997</v>
      </c>
      <c r="G408" s="94">
        <v>0</v>
      </c>
      <c r="H408" s="94">
        <v>0</v>
      </c>
      <c r="I408" s="94">
        <v>0</v>
      </c>
      <c r="J408" s="94">
        <v>195568.15999999997</v>
      </c>
      <c r="K408" s="94">
        <v>195568.15999999997</v>
      </c>
      <c r="L408" s="95">
        <v>0</v>
      </c>
      <c r="M408" s="94">
        <v>790.00999999998908</v>
      </c>
      <c r="N408" s="94">
        <v>-2542.4399999999991</v>
      </c>
      <c r="O408" s="94">
        <v>0</v>
      </c>
      <c r="P408" s="94">
        <v>0</v>
      </c>
      <c r="Q408" s="94">
        <v>0</v>
      </c>
      <c r="R408" s="94">
        <v>0</v>
      </c>
      <c r="S408" s="94">
        <v>-1752.4300000000101</v>
      </c>
      <c r="T408" s="94">
        <v>-481.21000000001089</v>
      </c>
      <c r="U408" s="95">
        <v>0</v>
      </c>
      <c r="V408" s="96">
        <v>1.2999999999999999E-2</v>
      </c>
    </row>
    <row r="409" spans="1:22" ht="13" x14ac:dyDescent="0.3">
      <c r="A409" s="20" t="s">
        <v>1100</v>
      </c>
      <c r="B409" s="20">
        <v>37500</v>
      </c>
      <c r="C409" s="20" t="s">
        <v>1103</v>
      </c>
      <c r="D409" s="77" t="s">
        <v>585</v>
      </c>
      <c r="E409" s="77" t="s">
        <v>144</v>
      </c>
      <c r="F409" s="94">
        <v>872681.79</v>
      </c>
      <c r="G409" s="94">
        <v>0</v>
      </c>
      <c r="H409" s="94">
        <v>0</v>
      </c>
      <c r="I409" s="94">
        <v>0</v>
      </c>
      <c r="J409" s="94">
        <v>872681.79</v>
      </c>
      <c r="K409" s="94">
        <v>872681.78999999992</v>
      </c>
      <c r="L409" s="95">
        <v>0</v>
      </c>
      <c r="M409" s="94">
        <v>-341289.89000000095</v>
      </c>
      <c r="N409" s="94">
        <v>-21817.079999999998</v>
      </c>
      <c r="O409" s="94">
        <v>0</v>
      </c>
      <c r="P409" s="94">
        <v>0</v>
      </c>
      <c r="Q409" s="94">
        <v>0</v>
      </c>
      <c r="R409" s="94">
        <v>0</v>
      </c>
      <c r="S409" s="94">
        <v>-363106.97000000096</v>
      </c>
      <c r="T409" s="94">
        <v>-352198.43000000116</v>
      </c>
      <c r="U409" s="95">
        <v>0</v>
      </c>
      <c r="V409" s="96">
        <v>2.5000000000000001E-2</v>
      </c>
    </row>
    <row r="410" spans="1:22" ht="13" x14ac:dyDescent="0.3">
      <c r="A410" s="20" t="s">
        <v>1100</v>
      </c>
      <c r="B410" s="20">
        <v>37600</v>
      </c>
      <c r="C410" s="20" t="s">
        <v>1104</v>
      </c>
      <c r="D410" s="77" t="s">
        <v>586</v>
      </c>
      <c r="E410" s="77" t="s">
        <v>145</v>
      </c>
      <c r="F410" s="94">
        <v>39904230.340000018</v>
      </c>
      <c r="G410" s="94">
        <v>281180.82999999996</v>
      </c>
      <c r="H410" s="94">
        <v>0</v>
      </c>
      <c r="I410" s="94">
        <v>0</v>
      </c>
      <c r="J410" s="94">
        <v>40185411.170000017</v>
      </c>
      <c r="K410" s="94">
        <v>40156453.461538486</v>
      </c>
      <c r="L410" s="95">
        <v>0</v>
      </c>
      <c r="M410" s="94">
        <v>-17855734.009999994</v>
      </c>
      <c r="N410" s="94">
        <v>-1686469.6700000002</v>
      </c>
      <c r="O410" s="94">
        <v>0</v>
      </c>
      <c r="P410" s="94">
        <v>-116804.97</v>
      </c>
      <c r="Q410" s="94">
        <v>0</v>
      </c>
      <c r="R410" s="94">
        <v>0</v>
      </c>
      <c r="S410" s="94">
        <v>-19659008.649999995</v>
      </c>
      <c r="T410" s="94">
        <v>-18809937.628461536</v>
      </c>
      <c r="U410" s="95">
        <v>0</v>
      </c>
      <c r="V410" s="96">
        <v>4.2000000000000003E-2</v>
      </c>
    </row>
    <row r="411" spans="1:22" ht="13" x14ac:dyDescent="0.3">
      <c r="A411" s="20" t="s">
        <v>1100</v>
      </c>
      <c r="B411" s="20">
        <v>37602</v>
      </c>
      <c r="C411" s="20" t="s">
        <v>1105</v>
      </c>
      <c r="D411" s="77" t="s">
        <v>587</v>
      </c>
      <c r="E411" s="77" t="s">
        <v>146</v>
      </c>
      <c r="F411" s="94">
        <v>45392794.529999956</v>
      </c>
      <c r="G411" s="94">
        <v>4305696.7700000005</v>
      </c>
      <c r="H411" s="94">
        <v>-8695.17</v>
      </c>
      <c r="I411" s="94">
        <v>0</v>
      </c>
      <c r="J411" s="94">
        <v>49689796.129999958</v>
      </c>
      <c r="K411" s="94">
        <v>47724023.236923032</v>
      </c>
      <c r="L411" s="95">
        <v>0</v>
      </c>
      <c r="M411" s="94">
        <v>-11331524.189999999</v>
      </c>
      <c r="N411" s="94">
        <v>-1474366.4600000002</v>
      </c>
      <c r="O411" s="94">
        <v>8695.17</v>
      </c>
      <c r="P411" s="94">
        <v>-98955.629999999976</v>
      </c>
      <c r="Q411" s="94">
        <v>0</v>
      </c>
      <c r="R411" s="94">
        <v>0</v>
      </c>
      <c r="S411" s="94">
        <v>-12896151.110000001</v>
      </c>
      <c r="T411" s="94">
        <v>-12154895.315384617</v>
      </c>
      <c r="U411" s="95">
        <v>0</v>
      </c>
      <c r="V411" s="96">
        <v>3.1E-2</v>
      </c>
    </row>
    <row r="412" spans="1:22" ht="13" x14ac:dyDescent="0.3">
      <c r="A412" s="20" t="s">
        <v>1100</v>
      </c>
      <c r="B412" s="20">
        <v>37602</v>
      </c>
      <c r="C412" s="20" t="s">
        <v>1105</v>
      </c>
      <c r="D412" s="77" t="s">
        <v>588</v>
      </c>
      <c r="E412" s="77" t="s">
        <v>146</v>
      </c>
      <c r="F412" s="94">
        <v>-2.1827872842550278E-11</v>
      </c>
      <c r="G412" s="94">
        <v>0</v>
      </c>
      <c r="H412" s="94">
        <v>0</v>
      </c>
      <c r="I412" s="94">
        <v>0</v>
      </c>
      <c r="J412" s="94">
        <v>-2.1827872842550278E-11</v>
      </c>
      <c r="K412" s="94">
        <v>-2.1827872842550278E-11</v>
      </c>
      <c r="L412" s="95">
        <v>0</v>
      </c>
      <c r="M412" s="94">
        <v>-26054.600000000024</v>
      </c>
      <c r="N412" s="94">
        <v>0</v>
      </c>
      <c r="O412" s="94">
        <v>0</v>
      </c>
      <c r="P412" s="94">
        <v>0</v>
      </c>
      <c r="Q412" s="94">
        <v>0</v>
      </c>
      <c r="R412" s="94">
        <v>0</v>
      </c>
      <c r="S412" s="94">
        <v>-26054.600000000024</v>
      </c>
      <c r="T412" s="94">
        <v>-26054.600000000031</v>
      </c>
      <c r="U412" s="95">
        <v>0</v>
      </c>
      <c r="V412" s="96">
        <v>3.1E-2</v>
      </c>
    </row>
    <row r="413" spans="1:22" ht="13" x14ac:dyDescent="0.3">
      <c r="A413" s="20" t="s">
        <v>1100</v>
      </c>
      <c r="B413" s="20">
        <v>37602</v>
      </c>
      <c r="C413" s="20" t="s">
        <v>1105</v>
      </c>
      <c r="D413" s="77" t="s">
        <v>589</v>
      </c>
      <c r="E413" s="77" t="s">
        <v>146</v>
      </c>
      <c r="F413" s="94">
        <v>0</v>
      </c>
      <c r="G413" s="94">
        <v>0</v>
      </c>
      <c r="H413" s="94">
        <v>0</v>
      </c>
      <c r="I413" s="94">
        <v>0</v>
      </c>
      <c r="J413" s="94">
        <v>0</v>
      </c>
      <c r="K413" s="94">
        <v>0</v>
      </c>
      <c r="L413" s="95">
        <v>0</v>
      </c>
      <c r="M413" s="94">
        <v>0</v>
      </c>
      <c r="N413" s="94">
        <v>0</v>
      </c>
      <c r="O413" s="94">
        <v>0</v>
      </c>
      <c r="P413" s="94">
        <v>0</v>
      </c>
      <c r="Q413" s="94">
        <v>0</v>
      </c>
      <c r="R413" s="94">
        <v>0</v>
      </c>
      <c r="S413" s="94">
        <v>0</v>
      </c>
      <c r="T413" s="94">
        <v>0</v>
      </c>
      <c r="U413" s="95">
        <v>0</v>
      </c>
      <c r="V413" s="96">
        <v>3.1E-2</v>
      </c>
    </row>
    <row r="414" spans="1:22" ht="13" x14ac:dyDescent="0.3">
      <c r="A414" s="20" t="s">
        <v>1100</v>
      </c>
      <c r="B414" s="20">
        <v>37800</v>
      </c>
      <c r="C414" s="20" t="s">
        <v>1106</v>
      </c>
      <c r="D414" s="77" t="s">
        <v>590</v>
      </c>
      <c r="E414" s="77" t="s">
        <v>147</v>
      </c>
      <c r="F414" s="94">
        <v>693849.51999999979</v>
      </c>
      <c r="G414" s="94">
        <v>-7259.2899999999991</v>
      </c>
      <c r="H414" s="94">
        <v>0</v>
      </c>
      <c r="I414" s="94">
        <v>0</v>
      </c>
      <c r="J414" s="94">
        <v>686590.22999999975</v>
      </c>
      <c r="K414" s="94">
        <v>690855.33153846138</v>
      </c>
      <c r="L414" s="95">
        <v>0</v>
      </c>
      <c r="M414" s="94">
        <v>-225978.83000000022</v>
      </c>
      <c r="N414" s="94">
        <v>-23501.180000000004</v>
      </c>
      <c r="O414" s="94">
        <v>0</v>
      </c>
      <c r="P414" s="94">
        <v>0</v>
      </c>
      <c r="Q414" s="94">
        <v>0</v>
      </c>
      <c r="R414" s="94">
        <v>0</v>
      </c>
      <c r="S414" s="94">
        <v>-249480.01000000021</v>
      </c>
      <c r="T414" s="94">
        <v>-237760.18615384636</v>
      </c>
      <c r="U414" s="95">
        <v>0</v>
      </c>
      <c r="V414" s="96">
        <v>3.4000000000000002E-2</v>
      </c>
    </row>
    <row r="415" spans="1:22" ht="13" x14ac:dyDescent="0.3">
      <c r="A415" s="20" t="s">
        <v>1100</v>
      </c>
      <c r="B415" s="20">
        <v>37900</v>
      </c>
      <c r="C415" s="20" t="s">
        <v>1107</v>
      </c>
      <c r="D415" s="77" t="s">
        <v>591</v>
      </c>
      <c r="E415" s="77" t="s">
        <v>148</v>
      </c>
      <c r="F415" s="94">
        <v>411469.49</v>
      </c>
      <c r="G415" s="94">
        <v>3954.56</v>
      </c>
      <c r="H415" s="94">
        <v>0</v>
      </c>
      <c r="I415" s="94">
        <v>0</v>
      </c>
      <c r="J415" s="94">
        <v>415424.05</v>
      </c>
      <c r="K415" s="94">
        <v>412077.88384615385</v>
      </c>
      <c r="L415" s="95">
        <v>0</v>
      </c>
      <c r="M415" s="94">
        <v>-116101.60000000011</v>
      </c>
      <c r="N415" s="94">
        <v>-14001.16</v>
      </c>
      <c r="O415" s="94">
        <v>0</v>
      </c>
      <c r="P415" s="94">
        <v>0</v>
      </c>
      <c r="Q415" s="94">
        <v>0</v>
      </c>
      <c r="R415" s="94">
        <v>0</v>
      </c>
      <c r="S415" s="94">
        <v>-130102.76000000011</v>
      </c>
      <c r="T415" s="94">
        <v>-123097.44153846166</v>
      </c>
      <c r="U415" s="95">
        <v>0</v>
      </c>
      <c r="V415" s="96">
        <v>3.4000000000000002E-2</v>
      </c>
    </row>
    <row r="416" spans="1:22" ht="13" x14ac:dyDescent="0.3">
      <c r="A416" s="20" t="s">
        <v>1100</v>
      </c>
      <c r="B416" s="20">
        <v>38000</v>
      </c>
      <c r="C416" s="20" t="s">
        <v>1108</v>
      </c>
      <c r="D416" s="77" t="s">
        <v>592</v>
      </c>
      <c r="E416" s="77" t="s">
        <v>149</v>
      </c>
      <c r="F416" s="94">
        <v>509288.82000000007</v>
      </c>
      <c r="G416" s="94">
        <v>721.65000000000009</v>
      </c>
      <c r="H416" s="94">
        <v>0</v>
      </c>
      <c r="I416" s="94">
        <v>0</v>
      </c>
      <c r="J416" s="94">
        <v>510010.47000000009</v>
      </c>
      <c r="K416" s="94">
        <v>509825.89307692309</v>
      </c>
      <c r="L416" s="95">
        <v>0</v>
      </c>
      <c r="M416" s="94">
        <v>-426015.31000000006</v>
      </c>
      <c r="N416" s="94">
        <v>-33647.520000000004</v>
      </c>
      <c r="O416" s="94">
        <v>0</v>
      </c>
      <c r="P416" s="94">
        <v>-1576.52</v>
      </c>
      <c r="Q416" s="94">
        <v>0</v>
      </c>
      <c r="R416" s="94">
        <v>0</v>
      </c>
      <c r="S416" s="94">
        <v>-461239.35000000009</v>
      </c>
      <c r="T416" s="94">
        <v>-444329.04153846164</v>
      </c>
      <c r="U416" s="95">
        <v>0</v>
      </c>
      <c r="V416" s="96">
        <v>6.5999999999999989E-2</v>
      </c>
    </row>
    <row r="417" spans="1:22" ht="13" x14ac:dyDescent="0.3">
      <c r="A417" s="20" t="s">
        <v>1100</v>
      </c>
      <c r="B417" s="20">
        <v>38002</v>
      </c>
      <c r="C417" s="20" t="s">
        <v>1109</v>
      </c>
      <c r="D417" s="77" t="s">
        <v>593</v>
      </c>
      <c r="E417" s="77" t="s">
        <v>150</v>
      </c>
      <c r="F417" s="94">
        <v>14724380.680000003</v>
      </c>
      <c r="G417" s="94">
        <v>1447798.95</v>
      </c>
      <c r="H417" s="94">
        <v>-21751.69</v>
      </c>
      <c r="I417" s="94">
        <v>0</v>
      </c>
      <c r="J417" s="94">
        <v>16150427.940000003</v>
      </c>
      <c r="K417" s="94">
        <v>15390083.17923077</v>
      </c>
      <c r="L417" s="95">
        <v>0</v>
      </c>
      <c r="M417" s="94">
        <v>-5805443.4000000013</v>
      </c>
      <c r="N417" s="94">
        <v>-766336.03000000014</v>
      </c>
      <c r="O417" s="94">
        <v>21751.69</v>
      </c>
      <c r="P417" s="94">
        <v>-35348.729999999996</v>
      </c>
      <c r="Q417" s="94">
        <v>0</v>
      </c>
      <c r="R417" s="94">
        <v>0</v>
      </c>
      <c r="S417" s="94">
        <v>-6585376.4700000016</v>
      </c>
      <c r="T417" s="94">
        <v>-6199970.4799999995</v>
      </c>
      <c r="U417" s="95">
        <v>0</v>
      </c>
      <c r="V417" s="96">
        <v>0.05</v>
      </c>
    </row>
    <row r="418" spans="1:22" ht="13" x14ac:dyDescent="0.3">
      <c r="A418" s="20" t="s">
        <v>1100</v>
      </c>
      <c r="B418" s="20">
        <v>38200</v>
      </c>
      <c r="C418" s="20" t="s">
        <v>1110</v>
      </c>
      <c r="D418" s="77" t="s">
        <v>594</v>
      </c>
      <c r="E418" s="77" t="s">
        <v>152</v>
      </c>
      <c r="F418" s="94">
        <v>2507813.0499999989</v>
      </c>
      <c r="G418" s="94">
        <v>269161.98000000004</v>
      </c>
      <c r="H418" s="94">
        <v>-42729.9</v>
      </c>
      <c r="I418" s="94">
        <v>0</v>
      </c>
      <c r="J418" s="94">
        <v>2734245.129999999</v>
      </c>
      <c r="K418" s="94">
        <v>2622755.2123076906</v>
      </c>
      <c r="L418" s="95">
        <v>0</v>
      </c>
      <c r="M418" s="94">
        <v>-731884.49000000022</v>
      </c>
      <c r="N418" s="94">
        <v>-117605.88999999998</v>
      </c>
      <c r="O418" s="94">
        <v>42729.9</v>
      </c>
      <c r="P418" s="94">
        <v>3660.08</v>
      </c>
      <c r="Q418" s="94">
        <v>0</v>
      </c>
      <c r="R418" s="94">
        <v>0</v>
      </c>
      <c r="S418" s="94">
        <v>-803100.40000000026</v>
      </c>
      <c r="T418" s="94">
        <v>-776644.31923076953</v>
      </c>
      <c r="U418" s="95">
        <v>0</v>
      </c>
      <c r="V418" s="96">
        <v>4.4999999999999998E-2</v>
      </c>
    </row>
    <row r="419" spans="1:22" ht="13" x14ac:dyDescent="0.3">
      <c r="A419" s="20" t="s">
        <v>1100</v>
      </c>
      <c r="B419" s="20">
        <v>38300</v>
      </c>
      <c r="C419" s="20" t="s">
        <v>1111</v>
      </c>
      <c r="D419" s="77" t="s">
        <v>595</v>
      </c>
      <c r="E419" s="77" t="s">
        <v>153</v>
      </c>
      <c r="F419" s="94">
        <v>649623.54999999993</v>
      </c>
      <c r="G419" s="94">
        <v>1214.82</v>
      </c>
      <c r="H419" s="94">
        <v>-3901.1</v>
      </c>
      <c r="I419" s="94">
        <v>0</v>
      </c>
      <c r="J419" s="94">
        <v>646937.2699999999</v>
      </c>
      <c r="K419" s="94">
        <v>650164.49461538461</v>
      </c>
      <c r="L419" s="95">
        <v>0</v>
      </c>
      <c r="M419" s="94">
        <v>-126118.09999999999</v>
      </c>
      <c r="N419" s="94">
        <v>-23415.640000000003</v>
      </c>
      <c r="O419" s="94">
        <v>3901.1</v>
      </c>
      <c r="P419" s="94">
        <v>0</v>
      </c>
      <c r="Q419" s="94">
        <v>0</v>
      </c>
      <c r="R419" s="94">
        <v>0</v>
      </c>
      <c r="S419" s="94">
        <v>-145632.63999999998</v>
      </c>
      <c r="T419" s="94">
        <v>-137521.34307692305</v>
      </c>
      <c r="U419" s="95">
        <v>0</v>
      </c>
      <c r="V419" s="96">
        <v>3.5999999999999997E-2</v>
      </c>
    </row>
    <row r="420" spans="1:22" ht="13" x14ac:dyDescent="0.3">
      <c r="A420" s="20" t="s">
        <v>1100</v>
      </c>
      <c r="B420" s="20">
        <v>38400</v>
      </c>
      <c r="C420" s="20" t="s">
        <v>1112</v>
      </c>
      <c r="D420" s="77" t="s">
        <v>596</v>
      </c>
      <c r="E420" s="77" t="s">
        <v>154</v>
      </c>
      <c r="F420" s="94">
        <v>1124043.9400000006</v>
      </c>
      <c r="G420" s="94">
        <v>89720.69</v>
      </c>
      <c r="H420" s="94">
        <v>-5123.54</v>
      </c>
      <c r="I420" s="94">
        <v>0</v>
      </c>
      <c r="J420" s="94">
        <v>1208641.0900000005</v>
      </c>
      <c r="K420" s="94">
        <v>1174960.8523076929</v>
      </c>
      <c r="L420" s="95">
        <v>0</v>
      </c>
      <c r="M420" s="94">
        <v>-292152.9700000002</v>
      </c>
      <c r="N420" s="94">
        <v>-52746.95</v>
      </c>
      <c r="O420" s="94">
        <v>5123.54</v>
      </c>
      <c r="P420" s="94">
        <v>85.95</v>
      </c>
      <c r="Q420" s="94">
        <v>0</v>
      </c>
      <c r="R420" s="94">
        <v>0</v>
      </c>
      <c r="S420" s="94">
        <v>-339690.43000000023</v>
      </c>
      <c r="T420" s="94">
        <v>-313609.43153846165</v>
      </c>
      <c r="U420" s="95">
        <v>0</v>
      </c>
      <c r="V420" s="96">
        <v>4.4999999999999998E-2</v>
      </c>
    </row>
    <row r="421" spans="1:22" ht="13" x14ac:dyDescent="0.3">
      <c r="A421" s="20" t="s">
        <v>1100</v>
      </c>
      <c r="B421" s="20">
        <v>38500</v>
      </c>
      <c r="C421" s="20" t="s">
        <v>1113</v>
      </c>
      <c r="D421" s="77" t="s">
        <v>597</v>
      </c>
      <c r="E421" s="77" t="s">
        <v>155</v>
      </c>
      <c r="F421" s="94">
        <v>70186.12</v>
      </c>
      <c r="G421" s="94">
        <v>0</v>
      </c>
      <c r="H421" s="94">
        <v>-4800</v>
      </c>
      <c r="I421" s="94">
        <v>0</v>
      </c>
      <c r="J421" s="94">
        <v>65386.119999999995</v>
      </c>
      <c r="K421" s="94">
        <v>65755.350769230761</v>
      </c>
      <c r="L421" s="95">
        <v>0</v>
      </c>
      <c r="M421" s="94">
        <v>-12415.549999999979</v>
      </c>
      <c r="N421" s="94">
        <v>-2039.3200000000004</v>
      </c>
      <c r="O421" s="94">
        <v>4800</v>
      </c>
      <c r="P421" s="94">
        <v>0</v>
      </c>
      <c r="Q421" s="94">
        <v>0</v>
      </c>
      <c r="R421" s="94">
        <v>0</v>
      </c>
      <c r="S421" s="94">
        <v>-9654.869999999979</v>
      </c>
      <c r="T421" s="94">
        <v>-9009.6869230769043</v>
      </c>
      <c r="U421" s="95">
        <v>0</v>
      </c>
      <c r="V421" s="96">
        <v>3.1E-2</v>
      </c>
    </row>
    <row r="422" spans="1:22" ht="13" x14ac:dyDescent="0.3">
      <c r="A422" s="20" t="s">
        <v>1100</v>
      </c>
      <c r="B422" s="20">
        <v>38700</v>
      </c>
      <c r="C422" s="20" t="s">
        <v>1114</v>
      </c>
      <c r="D422" s="77" t="s">
        <v>598</v>
      </c>
      <c r="E422" s="77" t="s">
        <v>156</v>
      </c>
      <c r="F422" s="94">
        <v>224882.30999999997</v>
      </c>
      <c r="G422" s="94">
        <v>13989.93</v>
      </c>
      <c r="H422" s="94">
        <v>0</v>
      </c>
      <c r="I422" s="94">
        <v>0</v>
      </c>
      <c r="J422" s="94">
        <v>238872.23999999996</v>
      </c>
      <c r="K422" s="94">
        <v>231021.77923076914</v>
      </c>
      <c r="L422" s="95">
        <v>0</v>
      </c>
      <c r="M422" s="94">
        <v>-86114.560000000027</v>
      </c>
      <c r="N422" s="94">
        <v>-14513.15</v>
      </c>
      <c r="O422" s="94">
        <v>0</v>
      </c>
      <c r="P422" s="94">
        <v>0</v>
      </c>
      <c r="Q422" s="94">
        <v>0</v>
      </c>
      <c r="R422" s="94">
        <v>0</v>
      </c>
      <c r="S422" s="94">
        <v>-100627.71000000002</v>
      </c>
      <c r="T422" s="94">
        <v>-93275.592307692365</v>
      </c>
      <c r="U422" s="95">
        <v>0</v>
      </c>
      <c r="V422" s="96">
        <v>6.3E-2</v>
      </c>
    </row>
    <row r="423" spans="1:22" ht="13" x14ac:dyDescent="0.3">
      <c r="A423" s="20" t="s">
        <v>1100</v>
      </c>
      <c r="B423" s="20">
        <v>39100</v>
      </c>
      <c r="C423" s="20" t="s">
        <v>1115</v>
      </c>
      <c r="D423" s="77" t="s">
        <v>599</v>
      </c>
      <c r="E423" s="77" t="s">
        <v>159</v>
      </c>
      <c r="F423" s="94">
        <v>113057.3</v>
      </c>
      <c r="G423" s="94">
        <v>0</v>
      </c>
      <c r="H423" s="94">
        <v>0</v>
      </c>
      <c r="I423" s="94">
        <v>0</v>
      </c>
      <c r="J423" s="94">
        <v>113057.3</v>
      </c>
      <c r="K423" s="94">
        <v>113057.30000000003</v>
      </c>
      <c r="L423" s="95">
        <v>0</v>
      </c>
      <c r="M423" s="94">
        <v>-102117.66000000021</v>
      </c>
      <c r="N423" s="94">
        <v>-7574.8799999999983</v>
      </c>
      <c r="O423" s="94">
        <v>0</v>
      </c>
      <c r="P423" s="94">
        <v>0</v>
      </c>
      <c r="Q423" s="94">
        <v>0</v>
      </c>
      <c r="R423" s="94">
        <v>0</v>
      </c>
      <c r="S423" s="94">
        <v>-109692.54000000021</v>
      </c>
      <c r="T423" s="94">
        <v>-105905.10000000024</v>
      </c>
      <c r="U423" s="95">
        <v>0</v>
      </c>
      <c r="V423" s="96">
        <v>6.7000000000000004E-2</v>
      </c>
    </row>
    <row r="424" spans="1:22" ht="13" x14ac:dyDescent="0.3">
      <c r="A424" s="20" t="s">
        <v>1100</v>
      </c>
      <c r="B424" s="20">
        <v>39101</v>
      </c>
      <c r="C424" s="20" t="s">
        <v>1116</v>
      </c>
      <c r="D424" s="77" t="s">
        <v>600</v>
      </c>
      <c r="E424" s="77" t="s">
        <v>160</v>
      </c>
      <c r="F424" s="94">
        <v>53585.2</v>
      </c>
      <c r="G424" s="94">
        <v>12550.81</v>
      </c>
      <c r="H424" s="94">
        <v>0</v>
      </c>
      <c r="I424" s="94">
        <v>0</v>
      </c>
      <c r="J424" s="94">
        <v>66136.009999999995</v>
      </c>
      <c r="K424" s="94">
        <v>60343.328461538462</v>
      </c>
      <c r="L424" s="95">
        <v>0</v>
      </c>
      <c r="M424" s="94">
        <v>-19103.750000000018</v>
      </c>
      <c r="N424" s="94">
        <v>-7482.5999999999995</v>
      </c>
      <c r="O424" s="94">
        <v>0</v>
      </c>
      <c r="P424" s="94">
        <v>0</v>
      </c>
      <c r="Q424" s="94">
        <v>0</v>
      </c>
      <c r="R424" s="94">
        <v>0</v>
      </c>
      <c r="S424" s="94">
        <v>-26586.350000000017</v>
      </c>
      <c r="T424" s="94">
        <v>-22664.025384615405</v>
      </c>
      <c r="U424" s="95">
        <v>0</v>
      </c>
      <c r="V424" s="96">
        <v>0.125</v>
      </c>
    </row>
    <row r="425" spans="1:22" ht="13" x14ac:dyDescent="0.3">
      <c r="A425" s="20" t="s">
        <v>1100</v>
      </c>
      <c r="B425" s="20">
        <v>39102</v>
      </c>
      <c r="C425" s="20" t="s">
        <v>1117</v>
      </c>
      <c r="D425" s="77" t="s">
        <v>601</v>
      </c>
      <c r="E425" s="77" t="s">
        <v>161</v>
      </c>
      <c r="F425" s="94">
        <v>81130.64</v>
      </c>
      <c r="G425" s="94">
        <v>0</v>
      </c>
      <c r="H425" s="94">
        <v>0</v>
      </c>
      <c r="I425" s="94">
        <v>0</v>
      </c>
      <c r="J425" s="94">
        <v>81130.64</v>
      </c>
      <c r="K425" s="94">
        <v>81130.64</v>
      </c>
      <c r="L425" s="95">
        <v>0</v>
      </c>
      <c r="M425" s="94">
        <v>-35651.040000000015</v>
      </c>
      <c r="N425" s="94">
        <v>-5435.76</v>
      </c>
      <c r="O425" s="94">
        <v>0</v>
      </c>
      <c r="P425" s="94">
        <v>0</v>
      </c>
      <c r="Q425" s="94">
        <v>0</v>
      </c>
      <c r="R425" s="94">
        <v>0</v>
      </c>
      <c r="S425" s="94">
        <v>-41086.800000000017</v>
      </c>
      <c r="T425" s="94">
        <v>-38368.920000000035</v>
      </c>
      <c r="U425" s="95">
        <v>0</v>
      </c>
      <c r="V425" s="96">
        <v>6.7000000000000004E-2</v>
      </c>
    </row>
    <row r="426" spans="1:22" ht="13" x14ac:dyDescent="0.3">
      <c r="A426" s="20" t="s">
        <v>1100</v>
      </c>
      <c r="B426" s="20">
        <v>39201</v>
      </c>
      <c r="C426" s="20" t="s">
        <v>1118</v>
      </c>
      <c r="D426" s="77" t="s">
        <v>602</v>
      </c>
      <c r="E426" s="77" t="s">
        <v>163</v>
      </c>
      <c r="F426" s="94">
        <v>58481.300000000032</v>
      </c>
      <c r="G426" s="94">
        <v>37285.57</v>
      </c>
      <c r="H426" s="94">
        <v>0</v>
      </c>
      <c r="I426" s="94">
        <v>0</v>
      </c>
      <c r="J426" s="94">
        <v>95766.870000000024</v>
      </c>
      <c r="K426" s="94">
        <v>69924.023076923113</v>
      </c>
      <c r="L426" s="95">
        <v>0</v>
      </c>
      <c r="M426" s="94">
        <v>-12172.219999999979</v>
      </c>
      <c r="N426" s="94">
        <v>-7590.33</v>
      </c>
      <c r="O426" s="94">
        <v>0</v>
      </c>
      <c r="P426" s="94">
        <v>-1</v>
      </c>
      <c r="Q426" s="94">
        <v>-18.639999999999993</v>
      </c>
      <c r="R426" s="94">
        <v>0</v>
      </c>
      <c r="S426" s="94">
        <v>-19782.189999999981</v>
      </c>
      <c r="T426" s="94">
        <v>-15613.147692307672</v>
      </c>
      <c r="U426" s="95">
        <v>0</v>
      </c>
      <c r="V426" s="96">
        <v>0.112</v>
      </c>
    </row>
    <row r="427" spans="1:22" ht="13" x14ac:dyDescent="0.3">
      <c r="A427" s="20" t="s">
        <v>1100</v>
      </c>
      <c r="B427" s="20">
        <v>39202</v>
      </c>
      <c r="C427" s="20" t="s">
        <v>1119</v>
      </c>
      <c r="D427" s="77" t="s">
        <v>603</v>
      </c>
      <c r="E427" s="77" t="s">
        <v>164</v>
      </c>
      <c r="F427" s="94">
        <v>328870.53000000003</v>
      </c>
      <c r="G427" s="94">
        <v>0</v>
      </c>
      <c r="H427" s="94">
        <v>0</v>
      </c>
      <c r="I427" s="94">
        <v>0</v>
      </c>
      <c r="J427" s="94">
        <v>328870.53000000003</v>
      </c>
      <c r="K427" s="94">
        <v>328870.53000000014</v>
      </c>
      <c r="L427" s="95">
        <v>0</v>
      </c>
      <c r="M427" s="94">
        <v>-89052.270000000048</v>
      </c>
      <c r="N427" s="94">
        <v>-41766.600000000006</v>
      </c>
      <c r="O427" s="94">
        <v>0</v>
      </c>
      <c r="P427" s="94">
        <v>1</v>
      </c>
      <c r="Q427" s="94">
        <v>18.639999999999986</v>
      </c>
      <c r="R427" s="94">
        <v>0</v>
      </c>
      <c r="S427" s="94">
        <v>-130799.23000000005</v>
      </c>
      <c r="T427" s="94">
        <v>-109929.54076923082</v>
      </c>
      <c r="U427" s="95">
        <v>0</v>
      </c>
      <c r="V427" s="96">
        <v>0.127</v>
      </c>
    </row>
    <row r="428" spans="1:22" ht="13" x14ac:dyDescent="0.3">
      <c r="A428" s="20" t="s">
        <v>1100</v>
      </c>
      <c r="B428" s="20">
        <v>39204</v>
      </c>
      <c r="C428" s="20" t="s">
        <v>1120</v>
      </c>
      <c r="D428" s="77" t="s">
        <v>604</v>
      </c>
      <c r="E428" s="77" t="s">
        <v>166</v>
      </c>
      <c r="F428" s="94">
        <v>3541.1000000000004</v>
      </c>
      <c r="G428" s="94">
        <v>0</v>
      </c>
      <c r="H428" s="94">
        <v>0</v>
      </c>
      <c r="I428" s="94">
        <v>0</v>
      </c>
      <c r="J428" s="94">
        <v>3541.1000000000004</v>
      </c>
      <c r="K428" s="94">
        <v>3541.099999999999</v>
      </c>
      <c r="L428" s="95">
        <v>0</v>
      </c>
      <c r="M428" s="94">
        <v>-1762.0199999999959</v>
      </c>
      <c r="N428" s="94">
        <v>-141.6</v>
      </c>
      <c r="O428" s="94">
        <v>0</v>
      </c>
      <c r="P428" s="94">
        <v>0</v>
      </c>
      <c r="Q428" s="94">
        <v>0</v>
      </c>
      <c r="R428" s="94">
        <v>0</v>
      </c>
      <c r="S428" s="94">
        <v>-1903.6199999999958</v>
      </c>
      <c r="T428" s="94">
        <v>-1832.8199999999958</v>
      </c>
      <c r="U428" s="95">
        <v>0</v>
      </c>
      <c r="V428" s="96">
        <v>0.04</v>
      </c>
    </row>
    <row r="429" spans="1:22" ht="13" x14ac:dyDescent="0.3">
      <c r="A429" s="20" t="s">
        <v>1100</v>
      </c>
      <c r="B429" s="20">
        <v>39205</v>
      </c>
      <c r="C429" s="20" t="s">
        <v>1121</v>
      </c>
      <c r="D429" s="77" t="s">
        <v>605</v>
      </c>
      <c r="E429" s="77" t="s">
        <v>167</v>
      </c>
      <c r="F429" s="94">
        <v>0</v>
      </c>
      <c r="G429" s="94">
        <v>0</v>
      </c>
      <c r="H429" s="94">
        <v>0</v>
      </c>
      <c r="I429" s="94">
        <v>0</v>
      </c>
      <c r="J429" s="94">
        <v>0</v>
      </c>
      <c r="K429" s="94">
        <v>0</v>
      </c>
      <c r="L429" s="95">
        <v>0</v>
      </c>
      <c r="M429" s="94">
        <v>-231.01000000000931</v>
      </c>
      <c r="N429" s="94">
        <v>0</v>
      </c>
      <c r="O429" s="94">
        <v>0</v>
      </c>
      <c r="P429" s="94">
        <v>0</v>
      </c>
      <c r="Q429" s="94">
        <v>0</v>
      </c>
      <c r="R429" s="94">
        <v>0</v>
      </c>
      <c r="S429" s="94">
        <v>-231.01000000000931</v>
      </c>
      <c r="T429" s="94">
        <v>-231.01000000000931</v>
      </c>
      <c r="U429" s="95">
        <v>0</v>
      </c>
      <c r="V429" s="96">
        <v>7.3999999999999996E-2</v>
      </c>
    </row>
    <row r="430" spans="1:22" ht="13" x14ac:dyDescent="0.3">
      <c r="A430" s="20" t="s">
        <v>1100</v>
      </c>
      <c r="B430" s="20">
        <v>39300</v>
      </c>
      <c r="C430" s="20" t="s">
        <v>1122</v>
      </c>
      <c r="D430" s="77" t="s">
        <v>606</v>
      </c>
      <c r="E430" s="77" t="s">
        <v>168</v>
      </c>
      <c r="F430" s="94">
        <v>0</v>
      </c>
      <c r="G430" s="94">
        <v>0</v>
      </c>
      <c r="H430" s="94">
        <v>0</v>
      </c>
      <c r="I430" s="94">
        <v>0</v>
      </c>
      <c r="J430" s="94">
        <v>0</v>
      </c>
      <c r="K430" s="94">
        <v>0</v>
      </c>
      <c r="L430" s="95">
        <v>0</v>
      </c>
      <c r="M430" s="94">
        <v>4131.5300000000016</v>
      </c>
      <c r="N430" s="94">
        <v>0</v>
      </c>
      <c r="O430" s="94">
        <v>0</v>
      </c>
      <c r="P430" s="94">
        <v>0</v>
      </c>
      <c r="Q430" s="94">
        <v>0</v>
      </c>
      <c r="R430" s="94">
        <v>0</v>
      </c>
      <c r="S430" s="94">
        <v>4131.5300000000016</v>
      </c>
      <c r="T430" s="94">
        <v>4131.5300000000007</v>
      </c>
      <c r="U430" s="95">
        <v>0</v>
      </c>
      <c r="V430" s="96">
        <v>0.04</v>
      </c>
    </row>
    <row r="431" spans="1:22" ht="13" x14ac:dyDescent="0.3">
      <c r="A431" s="20" t="s">
        <v>1100</v>
      </c>
      <c r="B431" s="20">
        <v>39400</v>
      </c>
      <c r="C431" s="20" t="s">
        <v>1123</v>
      </c>
      <c r="D431" s="77" t="s">
        <v>607</v>
      </c>
      <c r="E431" s="77" t="s">
        <v>169</v>
      </c>
      <c r="F431" s="94">
        <v>176202.04</v>
      </c>
      <c r="G431" s="94">
        <v>24815.789999999997</v>
      </c>
      <c r="H431" s="94">
        <v>0</v>
      </c>
      <c r="I431" s="94">
        <v>0</v>
      </c>
      <c r="J431" s="94">
        <v>201017.83000000002</v>
      </c>
      <c r="K431" s="94">
        <v>190164.14307692309</v>
      </c>
      <c r="L431" s="95">
        <v>0</v>
      </c>
      <c r="M431" s="94">
        <v>-108257.00000000017</v>
      </c>
      <c r="N431" s="94">
        <v>-12491.140000000001</v>
      </c>
      <c r="O431" s="94">
        <v>0</v>
      </c>
      <c r="P431" s="94">
        <v>0</v>
      </c>
      <c r="Q431" s="94">
        <v>0</v>
      </c>
      <c r="R431" s="94">
        <v>0</v>
      </c>
      <c r="S431" s="94">
        <v>-120748.14000000017</v>
      </c>
      <c r="T431" s="94">
        <v>-114311.93461538479</v>
      </c>
      <c r="U431" s="95">
        <v>0</v>
      </c>
      <c r="V431" s="96">
        <v>6.6000000000000003E-2</v>
      </c>
    </row>
    <row r="432" spans="1:22" ht="13" x14ac:dyDescent="0.3">
      <c r="A432" s="20" t="s">
        <v>1100</v>
      </c>
      <c r="B432" s="20">
        <v>39600</v>
      </c>
      <c r="C432" s="20" t="s">
        <v>1124</v>
      </c>
      <c r="D432" s="77" t="s">
        <v>608</v>
      </c>
      <c r="E432" s="77" t="s">
        <v>171</v>
      </c>
      <c r="F432" s="94">
        <v>13016.98</v>
      </c>
      <c r="G432" s="94">
        <v>0</v>
      </c>
      <c r="H432" s="94">
        <v>0</v>
      </c>
      <c r="I432" s="94">
        <v>0</v>
      </c>
      <c r="J432" s="94">
        <v>13016.98</v>
      </c>
      <c r="K432" s="94">
        <v>13016.98</v>
      </c>
      <c r="L432" s="95">
        <v>0</v>
      </c>
      <c r="M432" s="94">
        <v>-7340.4599999999982</v>
      </c>
      <c r="N432" s="94">
        <v>-833.03999999999985</v>
      </c>
      <c r="O432" s="94">
        <v>0</v>
      </c>
      <c r="P432" s="94">
        <v>0</v>
      </c>
      <c r="Q432" s="94">
        <v>0</v>
      </c>
      <c r="R432" s="94">
        <v>0</v>
      </c>
      <c r="S432" s="94">
        <v>-8173.4999999999982</v>
      </c>
      <c r="T432" s="94">
        <v>-7756.98</v>
      </c>
      <c r="U432" s="95">
        <v>0</v>
      </c>
      <c r="V432" s="96">
        <v>6.4000000000000001E-2</v>
      </c>
    </row>
    <row r="433" spans="1:24" ht="13" x14ac:dyDescent="0.3">
      <c r="A433" s="20" t="s">
        <v>1100</v>
      </c>
      <c r="B433" s="20">
        <v>39700</v>
      </c>
      <c r="C433" s="20" t="s">
        <v>1125</v>
      </c>
      <c r="D433" s="77" t="s">
        <v>609</v>
      </c>
      <c r="E433" s="77" t="s">
        <v>172</v>
      </c>
      <c r="F433" s="94">
        <v>217910.82</v>
      </c>
      <c r="G433" s="94">
        <v>0</v>
      </c>
      <c r="H433" s="94">
        <v>-192892.27</v>
      </c>
      <c r="I433" s="94">
        <v>0</v>
      </c>
      <c r="J433" s="94">
        <v>25018.550000000017</v>
      </c>
      <c r="K433" s="94">
        <v>54694.283846153885</v>
      </c>
      <c r="L433" s="95">
        <v>0</v>
      </c>
      <c r="M433" s="94">
        <v>-234731.65999999992</v>
      </c>
      <c r="N433" s="94">
        <v>-4802.0600000000013</v>
      </c>
      <c r="O433" s="94">
        <v>192892.27</v>
      </c>
      <c r="P433" s="94">
        <v>0</v>
      </c>
      <c r="Q433" s="94">
        <v>0</v>
      </c>
      <c r="R433" s="94">
        <v>0</v>
      </c>
      <c r="S433" s="94">
        <v>-46641.449999999924</v>
      </c>
      <c r="T433" s="94">
        <v>-74954.807692307615</v>
      </c>
      <c r="U433" s="95">
        <v>0</v>
      </c>
      <c r="V433" s="96">
        <v>8.4000000000000005E-2</v>
      </c>
    </row>
    <row r="434" spans="1:24" ht="13" x14ac:dyDescent="0.3">
      <c r="A434" s="20" t="s">
        <v>1100</v>
      </c>
      <c r="B434" s="20">
        <v>39800</v>
      </c>
      <c r="C434" s="20" t="s">
        <v>1126</v>
      </c>
      <c r="D434" s="77" t="s">
        <v>610</v>
      </c>
      <c r="E434" s="77" t="s">
        <v>173</v>
      </c>
      <c r="F434" s="94">
        <v>3124.36</v>
      </c>
      <c r="G434" s="94">
        <v>0</v>
      </c>
      <c r="H434" s="94">
        <v>0</v>
      </c>
      <c r="I434" s="94">
        <v>0</v>
      </c>
      <c r="J434" s="94">
        <v>3124.36</v>
      </c>
      <c r="K434" s="94">
        <v>3124.36</v>
      </c>
      <c r="L434" s="95">
        <v>0</v>
      </c>
      <c r="M434" s="94">
        <v>-1185.4000000000003</v>
      </c>
      <c r="N434" s="94">
        <v>-184.32000000000005</v>
      </c>
      <c r="O434" s="94">
        <v>0</v>
      </c>
      <c r="P434" s="94">
        <v>0</v>
      </c>
      <c r="Q434" s="94">
        <v>0</v>
      </c>
      <c r="R434" s="94">
        <v>0</v>
      </c>
      <c r="S434" s="94">
        <v>-1369.7200000000003</v>
      </c>
      <c r="T434" s="94">
        <v>-1277.5599999999997</v>
      </c>
      <c r="U434" s="95">
        <v>0</v>
      </c>
      <c r="V434" s="96">
        <v>5.8999999999999997E-2</v>
      </c>
    </row>
    <row r="435" spans="1:24" ht="13" x14ac:dyDescent="0.3">
      <c r="A435" s="20" t="s">
        <v>1127</v>
      </c>
      <c r="B435" s="20">
        <v>30301</v>
      </c>
      <c r="C435" s="20" t="s">
        <v>1128</v>
      </c>
      <c r="D435" s="77" t="s">
        <v>611</v>
      </c>
      <c r="E435" s="77" t="s">
        <v>141</v>
      </c>
      <c r="F435" s="94">
        <v>452999.02000000008</v>
      </c>
      <c r="G435" s="94">
        <v>1947276.93</v>
      </c>
      <c r="H435" s="94">
        <v>0</v>
      </c>
      <c r="I435" s="94">
        <v>0</v>
      </c>
      <c r="J435" s="94">
        <v>2400275.9500000002</v>
      </c>
      <c r="K435" s="94">
        <v>1782592.6392307691</v>
      </c>
      <c r="L435" s="95">
        <v>0</v>
      </c>
      <c r="M435" s="94">
        <v>-111258.92000000009</v>
      </c>
      <c r="N435" s="94">
        <v>-115984.95000000001</v>
      </c>
      <c r="O435" s="94">
        <v>0</v>
      </c>
      <c r="P435" s="94">
        <v>0</v>
      </c>
      <c r="Q435" s="94">
        <v>0</v>
      </c>
      <c r="R435" s="94">
        <v>0</v>
      </c>
      <c r="S435" s="94">
        <v>-227243.87000000011</v>
      </c>
      <c r="T435" s="94">
        <v>-155890.58230769238</v>
      </c>
      <c r="U435" s="95">
        <v>0</v>
      </c>
      <c r="V435" s="96">
        <v>6.7000000000000004E-2</v>
      </c>
    </row>
    <row r="436" spans="1:24" ht="13" x14ac:dyDescent="0.3">
      <c r="A436" s="20" t="s">
        <v>1127</v>
      </c>
      <c r="B436" s="20">
        <v>37500</v>
      </c>
      <c r="C436" s="20" t="s">
        <v>1129</v>
      </c>
      <c r="D436" s="77" t="s">
        <v>612</v>
      </c>
      <c r="E436" s="77" t="s">
        <v>144</v>
      </c>
      <c r="F436" s="94">
        <v>155791.01</v>
      </c>
      <c r="G436" s="94">
        <v>0</v>
      </c>
      <c r="H436" s="94">
        <v>0</v>
      </c>
      <c r="I436" s="94">
        <v>0</v>
      </c>
      <c r="J436" s="94">
        <v>155791.01</v>
      </c>
      <c r="K436" s="94">
        <v>155791.01</v>
      </c>
      <c r="L436" s="95">
        <v>0</v>
      </c>
      <c r="M436" s="94">
        <v>-43373.029999999882</v>
      </c>
      <c r="N436" s="94">
        <v>-3894.72</v>
      </c>
      <c r="O436" s="94">
        <v>0</v>
      </c>
      <c r="P436" s="94">
        <v>0</v>
      </c>
      <c r="Q436" s="94">
        <v>0</v>
      </c>
      <c r="R436" s="94">
        <v>0</v>
      </c>
      <c r="S436" s="94">
        <v>-47267.749999999884</v>
      </c>
      <c r="T436" s="94">
        <v>-45320.389999999868</v>
      </c>
      <c r="U436" s="95">
        <v>0</v>
      </c>
      <c r="V436" s="96">
        <v>2.5000000000000001E-2</v>
      </c>
    </row>
    <row r="437" spans="1:24" ht="13" x14ac:dyDescent="0.3">
      <c r="A437" s="20" t="s">
        <v>1127</v>
      </c>
      <c r="B437" s="20">
        <v>39100</v>
      </c>
      <c r="C437" s="20" t="s">
        <v>1130</v>
      </c>
      <c r="D437" s="77" t="s">
        <v>613</v>
      </c>
      <c r="E437" s="77" t="s">
        <v>159</v>
      </c>
      <c r="F437" s="94">
        <v>342341.50999999995</v>
      </c>
      <c r="G437" s="94">
        <v>9195.49</v>
      </c>
      <c r="H437" s="94">
        <v>0</v>
      </c>
      <c r="I437" s="94">
        <v>0</v>
      </c>
      <c r="J437" s="94">
        <v>351536.99999999994</v>
      </c>
      <c r="K437" s="94">
        <v>345170.89153846144</v>
      </c>
      <c r="L437" s="95">
        <v>0</v>
      </c>
      <c r="M437" s="94">
        <v>-56122.570000000087</v>
      </c>
      <c r="N437" s="94">
        <v>-23090.940000000002</v>
      </c>
      <c r="O437" s="94">
        <v>0</v>
      </c>
      <c r="P437" s="94">
        <v>0</v>
      </c>
      <c r="Q437" s="94">
        <v>0</v>
      </c>
      <c r="R437" s="94">
        <v>0</v>
      </c>
      <c r="S437" s="94">
        <v>-79213.510000000097</v>
      </c>
      <c r="T437" s="94">
        <v>-67614.725384615493</v>
      </c>
      <c r="U437" s="95">
        <v>0</v>
      </c>
      <c r="V437" s="96">
        <v>6.7000000000000004E-2</v>
      </c>
    </row>
    <row r="438" spans="1:24" ht="13" x14ac:dyDescent="0.3">
      <c r="A438" s="20" t="s">
        <v>1127</v>
      </c>
      <c r="B438" s="20">
        <v>39101</v>
      </c>
      <c r="C438" s="20" t="s">
        <v>1131</v>
      </c>
      <c r="D438" s="77" t="s">
        <v>614</v>
      </c>
      <c r="E438" s="77" t="s">
        <v>160</v>
      </c>
      <c r="F438" s="94">
        <v>1094278.6299999999</v>
      </c>
      <c r="G438" s="94">
        <v>0</v>
      </c>
      <c r="H438" s="94">
        <v>0</v>
      </c>
      <c r="I438" s="94">
        <v>0</v>
      </c>
      <c r="J438" s="94">
        <v>1094278.6299999999</v>
      </c>
      <c r="K438" s="94">
        <v>1094278.6299999994</v>
      </c>
      <c r="L438" s="95">
        <v>0</v>
      </c>
      <c r="M438" s="94">
        <v>-403148.42999999976</v>
      </c>
      <c r="N438" s="94">
        <v>-136784.88000000003</v>
      </c>
      <c r="O438" s="94">
        <v>0</v>
      </c>
      <c r="P438" s="94">
        <v>0</v>
      </c>
      <c r="Q438" s="94">
        <v>0</v>
      </c>
      <c r="R438" s="94">
        <v>0</v>
      </c>
      <c r="S438" s="94">
        <v>-539933.30999999982</v>
      </c>
      <c r="T438" s="94">
        <v>-471540.86999999976</v>
      </c>
      <c r="U438" s="95">
        <v>0</v>
      </c>
      <c r="V438" s="96">
        <v>0.125</v>
      </c>
    </row>
    <row r="439" spans="1:24" ht="13" x14ac:dyDescent="0.3">
      <c r="A439" s="20" t="s">
        <v>1127</v>
      </c>
      <c r="B439" s="20">
        <v>39102</v>
      </c>
      <c r="C439" s="20" t="s">
        <v>1132</v>
      </c>
      <c r="D439" s="77" t="s">
        <v>615</v>
      </c>
      <c r="E439" s="77" t="s">
        <v>161</v>
      </c>
      <c r="F439" s="94">
        <v>1580.59</v>
      </c>
      <c r="G439" s="94">
        <v>0</v>
      </c>
      <c r="H439" s="94">
        <v>0</v>
      </c>
      <c r="I439" s="94">
        <v>0</v>
      </c>
      <c r="J439" s="94">
        <v>1580.59</v>
      </c>
      <c r="K439" s="94">
        <v>1580.59</v>
      </c>
      <c r="L439" s="95">
        <v>0</v>
      </c>
      <c r="M439" s="94">
        <v>-1055.9400000000019</v>
      </c>
      <c r="N439" s="94">
        <v>-105.83999999999997</v>
      </c>
      <c r="O439" s="94">
        <v>0</v>
      </c>
      <c r="P439" s="94">
        <v>0</v>
      </c>
      <c r="Q439" s="94">
        <v>0</v>
      </c>
      <c r="R439" s="94">
        <v>0</v>
      </c>
      <c r="S439" s="94">
        <v>-1161.7800000000018</v>
      </c>
      <c r="T439" s="94">
        <v>-1108.8600000000015</v>
      </c>
      <c r="U439" s="95">
        <v>0</v>
      </c>
      <c r="V439" s="96">
        <v>6.7000000000000004E-2</v>
      </c>
    </row>
    <row r="440" spans="1:24" ht="13" x14ac:dyDescent="0.3">
      <c r="A440" s="20" t="s">
        <v>1127</v>
      </c>
      <c r="B440" s="20">
        <v>39700</v>
      </c>
      <c r="C440" s="20" t="s">
        <v>1133</v>
      </c>
      <c r="D440" s="77" t="s">
        <v>616</v>
      </c>
      <c r="E440" s="77" t="s">
        <v>172</v>
      </c>
      <c r="F440" s="94">
        <v>664018.90000000014</v>
      </c>
      <c r="G440" s="94">
        <v>0</v>
      </c>
      <c r="H440" s="94">
        <v>0</v>
      </c>
      <c r="I440" s="94">
        <v>0</v>
      </c>
      <c r="J440" s="94">
        <v>664018.90000000014</v>
      </c>
      <c r="K440" s="94">
        <v>664018.90000000026</v>
      </c>
      <c r="L440" s="95">
        <v>0</v>
      </c>
      <c r="M440" s="94">
        <v>-234276.58000000016</v>
      </c>
      <c r="N440" s="94">
        <v>-55777.55999999999</v>
      </c>
      <c r="O440" s="94">
        <v>0</v>
      </c>
      <c r="P440" s="94">
        <v>0</v>
      </c>
      <c r="Q440" s="94">
        <v>0</v>
      </c>
      <c r="R440" s="94">
        <v>0</v>
      </c>
      <c r="S440" s="94">
        <v>-290054.14000000013</v>
      </c>
      <c r="T440" s="94">
        <v>-262165.36000000022</v>
      </c>
      <c r="U440" s="95">
        <v>0</v>
      </c>
      <c r="V440" s="96">
        <v>8.4000000000000005E-2</v>
      </c>
    </row>
    <row r="441" spans="1:24" ht="13" x14ac:dyDescent="0.3">
      <c r="A441" s="20" t="s">
        <v>1134</v>
      </c>
      <c r="B441" s="20">
        <v>11501</v>
      </c>
      <c r="C441" s="20" t="s">
        <v>1135</v>
      </c>
      <c r="D441" s="77" t="s">
        <v>670</v>
      </c>
      <c r="E441" s="77" t="s">
        <v>1136</v>
      </c>
      <c r="F441" s="94">
        <v>5031897.24</v>
      </c>
      <c r="G441" s="94">
        <v>0</v>
      </c>
      <c r="H441" s="94">
        <v>0</v>
      </c>
      <c r="I441" s="94">
        <v>0</v>
      </c>
      <c r="J441" s="94">
        <v>5031897.24</v>
      </c>
      <c r="K441" s="94">
        <v>5031897.2400000012</v>
      </c>
      <c r="L441" s="95">
        <v>0</v>
      </c>
      <c r="M441" s="94">
        <v>-4111754.4699999928</v>
      </c>
      <c r="N441" s="94">
        <v>-149145.84000000003</v>
      </c>
      <c r="O441" s="94">
        <v>0</v>
      </c>
      <c r="P441" s="94">
        <v>0</v>
      </c>
      <c r="Q441" s="94">
        <v>0</v>
      </c>
      <c r="R441" s="94">
        <v>0</v>
      </c>
      <c r="S441" s="94">
        <v>-4260900.3099999931</v>
      </c>
      <c r="T441" s="94">
        <v>-4186327.3899999931</v>
      </c>
      <c r="U441" s="95">
        <v>0</v>
      </c>
      <c r="V441" s="96">
        <v>0</v>
      </c>
    </row>
    <row r="442" spans="1:24" ht="13" x14ac:dyDescent="0.3">
      <c r="A442" s="20" t="s">
        <v>1134</v>
      </c>
      <c r="B442" s="20">
        <v>30100</v>
      </c>
      <c r="C442" s="20" t="s">
        <v>1137</v>
      </c>
      <c r="D442" s="77" t="s">
        <v>617</v>
      </c>
      <c r="E442" s="77" t="s">
        <v>138</v>
      </c>
      <c r="F442" s="94">
        <v>1274.74</v>
      </c>
      <c r="G442" s="94">
        <v>0</v>
      </c>
      <c r="H442" s="94">
        <v>0</v>
      </c>
      <c r="I442" s="94">
        <v>0</v>
      </c>
      <c r="J442" s="94">
        <v>1274.74</v>
      </c>
      <c r="K442" s="94">
        <v>1274.74</v>
      </c>
      <c r="L442" s="95">
        <v>0</v>
      </c>
      <c r="M442" s="94">
        <v>-5.32</v>
      </c>
      <c r="N442" s="94">
        <v>0</v>
      </c>
      <c r="O442" s="94">
        <v>0</v>
      </c>
      <c r="P442" s="94">
        <v>0</v>
      </c>
      <c r="Q442" s="94">
        <v>0</v>
      </c>
      <c r="R442" s="94">
        <v>0</v>
      </c>
      <c r="S442" s="94">
        <v>-5.32</v>
      </c>
      <c r="T442" s="94">
        <v>-5.3199999999999994</v>
      </c>
      <c r="U442" s="95">
        <v>0</v>
      </c>
      <c r="V442" s="96">
        <v>0</v>
      </c>
      <c r="W442" s="18"/>
      <c r="X442" s="18"/>
    </row>
    <row r="443" spans="1:24" ht="13" x14ac:dyDescent="0.3">
      <c r="A443" s="20" t="s">
        <v>1134</v>
      </c>
      <c r="B443" s="20">
        <v>30200</v>
      </c>
      <c r="C443" s="20" t="s">
        <v>1138</v>
      </c>
      <c r="D443" s="77" t="s">
        <v>618</v>
      </c>
      <c r="E443" s="77" t="s">
        <v>139</v>
      </c>
      <c r="F443" s="94">
        <v>0</v>
      </c>
      <c r="G443" s="94">
        <v>0</v>
      </c>
      <c r="H443" s="94">
        <v>0</v>
      </c>
      <c r="I443" s="94">
        <v>0</v>
      </c>
      <c r="J443" s="94">
        <v>0</v>
      </c>
      <c r="K443" s="94">
        <v>0</v>
      </c>
      <c r="L443" s="95">
        <v>0</v>
      </c>
      <c r="M443" s="94">
        <v>3.637978807091713E-12</v>
      </c>
      <c r="N443" s="94">
        <v>0</v>
      </c>
      <c r="O443" s="94">
        <v>0</v>
      </c>
      <c r="P443" s="94">
        <v>0</v>
      </c>
      <c r="Q443" s="94">
        <v>0</v>
      </c>
      <c r="R443" s="94">
        <v>0</v>
      </c>
      <c r="S443" s="94">
        <v>3.637978807091713E-12</v>
      </c>
      <c r="T443" s="94">
        <v>3.637978807091713E-12</v>
      </c>
      <c r="U443" s="95">
        <v>0</v>
      </c>
      <c r="V443" s="96">
        <v>0.04</v>
      </c>
    </row>
    <row r="444" spans="1:24" ht="13" x14ac:dyDescent="0.3">
      <c r="A444" s="20" t="s">
        <v>1134</v>
      </c>
      <c r="B444" s="20">
        <v>30301</v>
      </c>
      <c r="C444" s="20" t="s">
        <v>1139</v>
      </c>
      <c r="D444" s="77" t="s">
        <v>619</v>
      </c>
      <c r="E444" s="77" t="s">
        <v>141</v>
      </c>
      <c r="F444" s="94">
        <v>26159516.240000006</v>
      </c>
      <c r="G444" s="94">
        <v>2437576.34</v>
      </c>
      <c r="H444" s="94">
        <v>-5505138.6799999997</v>
      </c>
      <c r="I444" s="94">
        <v>0</v>
      </c>
      <c r="J444" s="94">
        <v>23091953.900000006</v>
      </c>
      <c r="K444" s="94">
        <v>23424139.604615394</v>
      </c>
      <c r="L444" s="95">
        <v>0</v>
      </c>
      <c r="M444" s="94">
        <v>-15894496.789999999</v>
      </c>
      <c r="N444" s="94">
        <v>-1571272.07</v>
      </c>
      <c r="O444" s="94">
        <v>5505138.6799999997</v>
      </c>
      <c r="P444" s="94">
        <v>0</v>
      </c>
      <c r="Q444" s="94">
        <v>0</v>
      </c>
      <c r="R444" s="94">
        <v>0</v>
      </c>
      <c r="S444" s="94">
        <v>-11960630.18</v>
      </c>
      <c r="T444" s="94">
        <v>-12034243.957692308</v>
      </c>
      <c r="U444" s="95">
        <v>0</v>
      </c>
      <c r="V444" s="96">
        <v>6.7000000000000004E-2</v>
      </c>
    </row>
    <row r="445" spans="1:24" ht="13" x14ac:dyDescent="0.3">
      <c r="A445" s="20" t="s">
        <v>1134</v>
      </c>
      <c r="B445" s="20">
        <v>30302</v>
      </c>
      <c r="C445" s="20" t="s">
        <v>1140</v>
      </c>
      <c r="D445" s="77" t="s">
        <v>1141</v>
      </c>
      <c r="E445" s="77" t="s">
        <v>671</v>
      </c>
      <c r="F445" s="94">
        <v>0</v>
      </c>
      <c r="G445" s="94">
        <v>0</v>
      </c>
      <c r="H445" s="94">
        <v>0</v>
      </c>
      <c r="I445" s="94">
        <v>0</v>
      </c>
      <c r="J445" s="94">
        <v>0</v>
      </c>
      <c r="K445" s="94">
        <v>0</v>
      </c>
      <c r="L445" s="95">
        <v>0</v>
      </c>
      <c r="M445" s="94">
        <v>0</v>
      </c>
      <c r="N445" s="94">
        <v>0</v>
      </c>
      <c r="O445" s="94">
        <v>0</v>
      </c>
      <c r="P445" s="94">
        <v>0</v>
      </c>
      <c r="Q445" s="94">
        <v>0</v>
      </c>
      <c r="R445" s="94">
        <v>0</v>
      </c>
      <c r="S445" s="94">
        <v>0</v>
      </c>
      <c r="T445" s="94">
        <v>0</v>
      </c>
      <c r="U445" s="95">
        <v>0</v>
      </c>
      <c r="V445" s="102">
        <v>6.7000000000000004E-2</v>
      </c>
      <c r="W445" s="18" t="s">
        <v>663</v>
      </c>
    </row>
    <row r="446" spans="1:24" ht="13" x14ac:dyDescent="0.3">
      <c r="A446" s="20" t="s">
        <v>1134</v>
      </c>
      <c r="B446" s="20">
        <v>37400</v>
      </c>
      <c r="C446" s="20" t="s">
        <v>1142</v>
      </c>
      <c r="D446" s="77" t="s">
        <v>620</v>
      </c>
      <c r="E446" s="77" t="s">
        <v>142</v>
      </c>
      <c r="F446" s="94">
        <v>735020.68</v>
      </c>
      <c r="G446" s="94">
        <v>0</v>
      </c>
      <c r="H446" s="94">
        <v>0</v>
      </c>
      <c r="I446" s="94">
        <v>0</v>
      </c>
      <c r="J446" s="94">
        <v>735020.68</v>
      </c>
      <c r="K446" s="94">
        <v>735020.67999999982</v>
      </c>
      <c r="L446" s="95">
        <v>0</v>
      </c>
      <c r="M446" s="94">
        <v>0</v>
      </c>
      <c r="N446" s="94">
        <v>0</v>
      </c>
      <c r="O446" s="94">
        <v>0</v>
      </c>
      <c r="P446" s="94">
        <v>0</v>
      </c>
      <c r="Q446" s="94">
        <v>0</v>
      </c>
      <c r="R446" s="94">
        <v>0</v>
      </c>
      <c r="S446" s="94">
        <v>0</v>
      </c>
      <c r="T446" s="94">
        <v>0</v>
      </c>
      <c r="U446" s="95">
        <v>0</v>
      </c>
      <c r="V446" s="96">
        <v>0</v>
      </c>
    </row>
    <row r="447" spans="1:24" ht="13" x14ac:dyDescent="0.3">
      <c r="A447" s="20" t="s">
        <v>1134</v>
      </c>
      <c r="B447" s="20">
        <v>37402</v>
      </c>
      <c r="C447" s="20" t="s">
        <v>1143</v>
      </c>
      <c r="D447" s="77" t="s">
        <v>621</v>
      </c>
      <c r="E447" s="77" t="s">
        <v>143</v>
      </c>
      <c r="F447" s="94">
        <v>703424.81000000017</v>
      </c>
      <c r="G447" s="94">
        <v>886776.92</v>
      </c>
      <c r="H447" s="94">
        <v>0</v>
      </c>
      <c r="I447" s="94">
        <v>0</v>
      </c>
      <c r="J447" s="94">
        <v>1590201.7300000002</v>
      </c>
      <c r="K447" s="94">
        <v>1317347.2930769233</v>
      </c>
      <c r="L447" s="95">
        <v>0</v>
      </c>
      <c r="M447" s="94">
        <v>-107613.95000000006</v>
      </c>
      <c r="N447" s="94">
        <v>-16829.919999999998</v>
      </c>
      <c r="O447" s="94">
        <v>0</v>
      </c>
      <c r="P447" s="94">
        <v>0</v>
      </c>
      <c r="Q447" s="94">
        <v>0</v>
      </c>
      <c r="R447" s="94">
        <v>0</v>
      </c>
      <c r="S447" s="94">
        <v>-124443.87000000005</v>
      </c>
      <c r="T447" s="94">
        <v>-114846.53461538465</v>
      </c>
      <c r="U447" s="95">
        <v>0</v>
      </c>
      <c r="V447" s="96">
        <v>1.2999999999999999E-2</v>
      </c>
    </row>
    <row r="448" spans="1:24" ht="13" x14ac:dyDescent="0.3">
      <c r="A448" s="20" t="s">
        <v>1134</v>
      </c>
      <c r="B448" s="20">
        <v>37500</v>
      </c>
      <c r="C448" s="20" t="s">
        <v>1144</v>
      </c>
      <c r="D448" s="77" t="s">
        <v>622</v>
      </c>
      <c r="E448" s="77" t="s">
        <v>144</v>
      </c>
      <c r="F448" s="94">
        <v>44310.369999999995</v>
      </c>
      <c r="G448" s="94">
        <v>0</v>
      </c>
      <c r="H448" s="94">
        <v>0</v>
      </c>
      <c r="I448" s="94">
        <v>0</v>
      </c>
      <c r="J448" s="94">
        <v>44310.369999999995</v>
      </c>
      <c r="K448" s="94">
        <v>44310.369999999995</v>
      </c>
      <c r="L448" s="95">
        <v>0</v>
      </c>
      <c r="M448" s="94">
        <v>40931.750000000015</v>
      </c>
      <c r="N448" s="94">
        <v>-1107.7199999999998</v>
      </c>
      <c r="O448" s="94">
        <v>0</v>
      </c>
      <c r="P448" s="94">
        <v>0</v>
      </c>
      <c r="Q448" s="94">
        <v>0</v>
      </c>
      <c r="R448" s="94">
        <v>0</v>
      </c>
      <c r="S448" s="94">
        <v>39824.030000000013</v>
      </c>
      <c r="T448" s="94">
        <v>40377.890000000021</v>
      </c>
      <c r="U448" s="95">
        <v>0</v>
      </c>
      <c r="V448" s="96">
        <v>2.5000000000000001E-2</v>
      </c>
    </row>
    <row r="449" spans="1:22" ht="13" x14ac:dyDescent="0.3">
      <c r="A449" s="20" t="s">
        <v>1134</v>
      </c>
      <c r="B449" s="20">
        <v>37600</v>
      </c>
      <c r="C449" s="20" t="s">
        <v>1145</v>
      </c>
      <c r="D449" s="77" t="s">
        <v>623</v>
      </c>
      <c r="E449" s="77" t="s">
        <v>145</v>
      </c>
      <c r="F449" s="94">
        <v>29374791.710000001</v>
      </c>
      <c r="G449" s="94">
        <v>-8075.42</v>
      </c>
      <c r="H449" s="94">
        <v>0</v>
      </c>
      <c r="I449" s="94">
        <v>0</v>
      </c>
      <c r="J449" s="94">
        <v>29366716.289999999</v>
      </c>
      <c r="K449" s="94">
        <v>29371279.464615386</v>
      </c>
      <c r="L449" s="95">
        <v>0</v>
      </c>
      <c r="M449" s="94">
        <v>-3015901.2199999988</v>
      </c>
      <c r="N449" s="94">
        <v>-1233609.7600000002</v>
      </c>
      <c r="O449" s="94">
        <v>0</v>
      </c>
      <c r="P449" s="94">
        <v>-3219.5699999999997</v>
      </c>
      <c r="Q449" s="94">
        <v>11276.9</v>
      </c>
      <c r="R449" s="94">
        <v>0</v>
      </c>
      <c r="S449" s="94">
        <v>-4241453.6499999985</v>
      </c>
      <c r="T449" s="94">
        <v>-3627162.9846153827</v>
      </c>
      <c r="U449" s="95">
        <v>0</v>
      </c>
      <c r="V449" s="96">
        <v>4.2000000000000003E-2</v>
      </c>
    </row>
    <row r="450" spans="1:22" ht="13" x14ac:dyDescent="0.3">
      <c r="A450" s="20" t="s">
        <v>1134</v>
      </c>
      <c r="B450" s="20">
        <v>37800</v>
      </c>
      <c r="C450" s="20" t="s">
        <v>1146</v>
      </c>
      <c r="D450" s="77" t="s">
        <v>672</v>
      </c>
      <c r="E450" s="77" t="s">
        <v>147</v>
      </c>
      <c r="F450" s="94">
        <v>1201080.03</v>
      </c>
      <c r="G450" s="94">
        <v>123026.35</v>
      </c>
      <c r="H450" s="94">
        <v>0</v>
      </c>
      <c r="I450" s="94">
        <v>0</v>
      </c>
      <c r="J450" s="94">
        <v>1324106.3800000001</v>
      </c>
      <c r="K450" s="94">
        <v>1210584.8730769234</v>
      </c>
      <c r="L450" s="95">
        <v>0</v>
      </c>
      <c r="M450" s="94">
        <v>-58408.19</v>
      </c>
      <c r="N450" s="94">
        <v>-40838.250000000007</v>
      </c>
      <c r="O450" s="94">
        <v>0</v>
      </c>
      <c r="P450" s="94">
        <v>0</v>
      </c>
      <c r="Q450" s="94">
        <v>0</v>
      </c>
      <c r="R450" s="94">
        <v>0</v>
      </c>
      <c r="S450" s="94">
        <v>-99246.44</v>
      </c>
      <c r="T450" s="94">
        <v>-78807.38076923076</v>
      </c>
      <c r="U450" s="95">
        <v>0</v>
      </c>
      <c r="V450" s="96">
        <v>3.4000000000000002E-2</v>
      </c>
    </row>
    <row r="451" spans="1:22" ht="13" x14ac:dyDescent="0.3">
      <c r="A451" s="20" t="s">
        <v>1134</v>
      </c>
      <c r="B451" s="20">
        <v>37900</v>
      </c>
      <c r="C451" s="20" t="s">
        <v>1147</v>
      </c>
      <c r="D451" s="77" t="s">
        <v>624</v>
      </c>
      <c r="E451" s="77" t="s">
        <v>148</v>
      </c>
      <c r="F451" s="94">
        <v>10806212.379999999</v>
      </c>
      <c r="G451" s="94">
        <v>916698.59</v>
      </c>
      <c r="H451" s="94">
        <v>0</v>
      </c>
      <c r="I451" s="94">
        <v>0</v>
      </c>
      <c r="J451" s="94">
        <v>11722910.969999999</v>
      </c>
      <c r="K451" s="94">
        <v>11334361.896923074</v>
      </c>
      <c r="L451" s="95">
        <v>0</v>
      </c>
      <c r="M451" s="94">
        <v>-1125745.73</v>
      </c>
      <c r="N451" s="94">
        <v>-384267.37</v>
      </c>
      <c r="O451" s="94">
        <v>0</v>
      </c>
      <c r="P451" s="94">
        <v>0</v>
      </c>
      <c r="Q451" s="94">
        <v>0</v>
      </c>
      <c r="R451" s="94">
        <v>0</v>
      </c>
      <c r="S451" s="94">
        <v>-1510013.1</v>
      </c>
      <c r="T451" s="94">
        <v>-1316854.856923077</v>
      </c>
      <c r="U451" s="95">
        <v>0</v>
      </c>
      <c r="V451" s="96">
        <v>3.4000000000000002E-2</v>
      </c>
    </row>
    <row r="452" spans="1:22" ht="13" x14ac:dyDescent="0.3">
      <c r="A452" s="20" t="s">
        <v>1134</v>
      </c>
      <c r="B452" s="20">
        <v>38100</v>
      </c>
      <c r="C452" s="20" t="s">
        <v>1148</v>
      </c>
      <c r="D452" s="77" t="s">
        <v>625</v>
      </c>
      <c r="E452" s="77" t="s">
        <v>151</v>
      </c>
      <c r="F452" s="94">
        <v>58995101.560000017</v>
      </c>
      <c r="G452" s="94">
        <v>4357357.1400000006</v>
      </c>
      <c r="H452" s="94">
        <v>-1056817.52</v>
      </c>
      <c r="I452" s="94">
        <v>0</v>
      </c>
      <c r="J452" s="94">
        <v>62295641.180000015</v>
      </c>
      <c r="K452" s="94">
        <v>60145919.814615414</v>
      </c>
      <c r="L452" s="95">
        <v>0</v>
      </c>
      <c r="M452" s="94">
        <v>-18317063.459999986</v>
      </c>
      <c r="N452" s="94">
        <v>-3538039.81</v>
      </c>
      <c r="O452" s="94">
        <v>1056817.52</v>
      </c>
      <c r="P452" s="94">
        <v>16011.61</v>
      </c>
      <c r="Q452" s="94">
        <v>-49510.55</v>
      </c>
      <c r="R452" s="94">
        <v>0</v>
      </c>
      <c r="S452" s="94">
        <v>-20831784.689999986</v>
      </c>
      <c r="T452" s="94">
        <v>-19460547.533076908</v>
      </c>
      <c r="U452" s="95">
        <v>0</v>
      </c>
      <c r="V452" s="96">
        <v>5.9000000000000004E-2</v>
      </c>
    </row>
    <row r="453" spans="1:22" ht="13" x14ac:dyDescent="0.3">
      <c r="A453" s="20" t="s">
        <v>1134</v>
      </c>
      <c r="B453" s="20">
        <v>38300</v>
      </c>
      <c r="C453" s="20" t="s">
        <v>1149</v>
      </c>
      <c r="D453" s="77" t="s">
        <v>626</v>
      </c>
      <c r="E453" s="77" t="s">
        <v>153</v>
      </c>
      <c r="F453" s="94">
        <v>17207.990000000002</v>
      </c>
      <c r="G453" s="94">
        <v>0</v>
      </c>
      <c r="H453" s="94">
        <v>0</v>
      </c>
      <c r="I453" s="94">
        <v>0</v>
      </c>
      <c r="J453" s="94">
        <v>17207.990000000002</v>
      </c>
      <c r="K453" s="94">
        <v>17207.989999999998</v>
      </c>
      <c r="L453" s="95">
        <v>0</v>
      </c>
      <c r="M453" s="94">
        <v>-8821.3399999999983</v>
      </c>
      <c r="N453" s="94">
        <v>-619.43999999999994</v>
      </c>
      <c r="O453" s="94">
        <v>0</v>
      </c>
      <c r="P453" s="94">
        <v>0</v>
      </c>
      <c r="Q453" s="94">
        <v>0</v>
      </c>
      <c r="R453" s="94">
        <v>0</v>
      </c>
      <c r="S453" s="94">
        <v>-9440.7799999999988</v>
      </c>
      <c r="T453" s="94">
        <v>-9131.0600000000031</v>
      </c>
      <c r="U453" s="95">
        <v>0</v>
      </c>
      <c r="V453" s="96">
        <v>3.5999999999999997E-2</v>
      </c>
    </row>
    <row r="454" spans="1:22" ht="13" x14ac:dyDescent="0.3">
      <c r="A454" s="20" t="s">
        <v>1134</v>
      </c>
      <c r="B454" s="20">
        <v>38500</v>
      </c>
      <c r="C454" s="20" t="s">
        <v>1150</v>
      </c>
      <c r="D454" s="77" t="s">
        <v>627</v>
      </c>
      <c r="E454" s="77" t="s">
        <v>155</v>
      </c>
      <c r="F454" s="94">
        <v>0</v>
      </c>
      <c r="G454" s="94">
        <v>0</v>
      </c>
      <c r="H454" s="94">
        <v>0</v>
      </c>
      <c r="I454" s="94">
        <v>0</v>
      </c>
      <c r="J454" s="94">
        <v>0</v>
      </c>
      <c r="K454" s="94">
        <v>0</v>
      </c>
      <c r="L454" s="95">
        <v>0</v>
      </c>
      <c r="M454" s="94">
        <v>-214.65</v>
      </c>
      <c r="N454" s="94">
        <v>0</v>
      </c>
      <c r="O454" s="94">
        <v>0</v>
      </c>
      <c r="P454" s="94">
        <v>0</v>
      </c>
      <c r="Q454" s="94">
        <v>0</v>
      </c>
      <c r="R454" s="94">
        <v>0</v>
      </c>
      <c r="S454" s="94">
        <v>-214.65</v>
      </c>
      <c r="T454" s="94">
        <v>-214.65000000000006</v>
      </c>
      <c r="U454" s="95">
        <v>0</v>
      </c>
      <c r="V454" s="96">
        <v>3.1E-2</v>
      </c>
    </row>
    <row r="455" spans="1:22" ht="13" x14ac:dyDescent="0.3">
      <c r="A455" s="20" t="s">
        <v>1134</v>
      </c>
      <c r="B455" s="20">
        <v>38602</v>
      </c>
      <c r="C455" s="20" t="s">
        <v>1151</v>
      </c>
      <c r="D455" s="77" t="s">
        <v>628</v>
      </c>
      <c r="E455" s="77" t="s">
        <v>673</v>
      </c>
      <c r="F455" s="94">
        <v>0</v>
      </c>
      <c r="G455" s="94">
        <v>0</v>
      </c>
      <c r="H455" s="94">
        <v>0</v>
      </c>
      <c r="I455" s="94">
        <v>0</v>
      </c>
      <c r="J455" s="94">
        <v>0</v>
      </c>
      <c r="K455" s="94">
        <v>0</v>
      </c>
      <c r="L455" s="95">
        <v>0</v>
      </c>
      <c r="M455" s="94">
        <v>0</v>
      </c>
      <c r="N455" s="94">
        <v>0</v>
      </c>
      <c r="O455" s="94">
        <v>0</v>
      </c>
      <c r="P455" s="94">
        <v>0</v>
      </c>
      <c r="Q455" s="94">
        <v>0</v>
      </c>
      <c r="R455" s="94">
        <v>0</v>
      </c>
      <c r="S455" s="94">
        <v>0</v>
      </c>
      <c r="T455" s="94">
        <v>0</v>
      </c>
      <c r="U455" s="95">
        <v>0</v>
      </c>
      <c r="V455" s="96">
        <v>6.7000000000000004E-2</v>
      </c>
    </row>
    <row r="456" spans="1:22" ht="13" x14ac:dyDescent="0.3">
      <c r="A456" s="20" t="s">
        <v>1134</v>
      </c>
      <c r="B456" s="20">
        <v>38608</v>
      </c>
      <c r="C456" s="20" t="s">
        <v>1152</v>
      </c>
      <c r="D456" s="77" t="s">
        <v>629</v>
      </c>
      <c r="E456" s="77" t="s">
        <v>674</v>
      </c>
      <c r="F456" s="94">
        <v>0</v>
      </c>
      <c r="G456" s="94">
        <v>0</v>
      </c>
      <c r="H456" s="94">
        <v>0</v>
      </c>
      <c r="I456" s="94">
        <v>0</v>
      </c>
      <c r="J456" s="94">
        <v>0</v>
      </c>
      <c r="K456" s="94">
        <v>0</v>
      </c>
      <c r="L456" s="95">
        <v>0</v>
      </c>
      <c r="M456" s="94">
        <v>0</v>
      </c>
      <c r="N456" s="94">
        <v>0</v>
      </c>
      <c r="O456" s="94">
        <v>0</v>
      </c>
      <c r="P456" s="94">
        <v>0</v>
      </c>
      <c r="Q456" s="94">
        <v>0</v>
      </c>
      <c r="R456" s="94">
        <v>0</v>
      </c>
      <c r="S456" s="94">
        <v>0</v>
      </c>
      <c r="T456" s="94">
        <v>0</v>
      </c>
      <c r="U456" s="95">
        <v>0</v>
      </c>
      <c r="V456" s="96">
        <v>6.7000000000000004E-2</v>
      </c>
    </row>
    <row r="457" spans="1:22" ht="13" x14ac:dyDescent="0.3">
      <c r="A457" s="20" t="s">
        <v>1134</v>
      </c>
      <c r="B457" s="20">
        <v>38700</v>
      </c>
      <c r="C457" s="20" t="s">
        <v>1153</v>
      </c>
      <c r="D457" s="77" t="s">
        <v>630</v>
      </c>
      <c r="E457" s="77" t="s">
        <v>156</v>
      </c>
      <c r="F457" s="94">
        <v>1654588.7100000002</v>
      </c>
      <c r="G457" s="94">
        <v>-429.51</v>
      </c>
      <c r="H457" s="94">
        <v>0</v>
      </c>
      <c r="I457" s="94">
        <v>0</v>
      </c>
      <c r="J457" s="94">
        <v>1654159.2000000002</v>
      </c>
      <c r="K457" s="94">
        <v>1654522.6315384619</v>
      </c>
      <c r="L457" s="95">
        <v>0</v>
      </c>
      <c r="M457" s="94">
        <v>-343096.05000000016</v>
      </c>
      <c r="N457" s="94">
        <v>-104236.82999999997</v>
      </c>
      <c r="O457" s="94">
        <v>0</v>
      </c>
      <c r="P457" s="94">
        <v>0</v>
      </c>
      <c r="Q457" s="94">
        <v>0</v>
      </c>
      <c r="R457" s="94">
        <v>0</v>
      </c>
      <c r="S457" s="94">
        <v>-447332.88000000012</v>
      </c>
      <c r="T457" s="94">
        <v>-395215.41692307725</v>
      </c>
      <c r="U457" s="95">
        <v>0</v>
      </c>
      <c r="V457" s="96">
        <v>6.3E-2</v>
      </c>
    </row>
    <row r="458" spans="1:22" ht="13" x14ac:dyDescent="0.3">
      <c r="A458" s="20" t="s">
        <v>1134</v>
      </c>
      <c r="B458" s="20">
        <v>39002</v>
      </c>
      <c r="C458" s="20" t="s">
        <v>1154</v>
      </c>
      <c r="D458" s="77" t="s">
        <v>631</v>
      </c>
      <c r="E458" s="77" t="s">
        <v>158</v>
      </c>
      <c r="F458" s="94">
        <v>110691.48</v>
      </c>
      <c r="G458" s="94">
        <v>12395.52</v>
      </c>
      <c r="H458" s="94">
        <v>0</v>
      </c>
      <c r="I458" s="94">
        <v>0</v>
      </c>
      <c r="J458" s="94">
        <v>123087</v>
      </c>
      <c r="K458" s="94">
        <v>112598.48307692308</v>
      </c>
      <c r="L458" s="95">
        <v>0</v>
      </c>
      <c r="M458" s="94">
        <v>-12772.490000000013</v>
      </c>
      <c r="N458" s="94">
        <v>-2793.1400000000008</v>
      </c>
      <c r="O458" s="94">
        <v>0</v>
      </c>
      <c r="P458" s="94">
        <v>0</v>
      </c>
      <c r="Q458" s="94">
        <v>0</v>
      </c>
      <c r="R458" s="94">
        <v>0</v>
      </c>
      <c r="S458" s="94">
        <v>-15565.630000000014</v>
      </c>
      <c r="T458" s="94">
        <v>-14158.136153846168</v>
      </c>
      <c r="U458" s="95">
        <v>0</v>
      </c>
      <c r="V458" s="96">
        <v>2.5000000000000001E-2</v>
      </c>
    </row>
    <row r="459" spans="1:22" ht="13" x14ac:dyDescent="0.3">
      <c r="A459" s="20" t="s">
        <v>1134</v>
      </c>
      <c r="B459" s="20">
        <v>39100</v>
      </c>
      <c r="C459" s="20" t="s">
        <v>1155</v>
      </c>
      <c r="D459" s="77" t="s">
        <v>632</v>
      </c>
      <c r="E459" s="77" t="s">
        <v>159</v>
      </c>
      <c r="F459" s="94">
        <v>818484.83000000007</v>
      </c>
      <c r="G459" s="94">
        <v>52030.619999999995</v>
      </c>
      <c r="H459" s="94">
        <v>-576000</v>
      </c>
      <c r="I459" s="94">
        <v>0</v>
      </c>
      <c r="J459" s="94">
        <v>294515.45000000007</v>
      </c>
      <c r="K459" s="94">
        <v>364642.92076923087</v>
      </c>
      <c r="L459" s="95">
        <v>0</v>
      </c>
      <c r="M459" s="94">
        <v>-105131.65000000005</v>
      </c>
      <c r="N459" s="94">
        <v>-24822.639999999999</v>
      </c>
      <c r="O459" s="94">
        <v>576000</v>
      </c>
      <c r="P459" s="94">
        <v>0</v>
      </c>
      <c r="Q459" s="94">
        <v>0</v>
      </c>
      <c r="R459" s="94">
        <v>0</v>
      </c>
      <c r="S459" s="94">
        <v>446045.70999999996</v>
      </c>
      <c r="T459" s="94">
        <v>367877.73000000004</v>
      </c>
      <c r="U459" s="95">
        <v>0</v>
      </c>
      <c r="V459" s="96">
        <v>6.7000000000000004E-2</v>
      </c>
    </row>
    <row r="460" spans="1:22" ht="13" x14ac:dyDescent="0.3">
      <c r="A460" s="20" t="s">
        <v>1134</v>
      </c>
      <c r="B460" s="20">
        <v>39101</v>
      </c>
      <c r="C460" s="20" t="s">
        <v>1156</v>
      </c>
      <c r="D460" s="77" t="s">
        <v>633</v>
      </c>
      <c r="E460" s="77" t="s">
        <v>160</v>
      </c>
      <c r="F460" s="94">
        <v>3955250.3900000011</v>
      </c>
      <c r="G460" s="94">
        <v>8817.7900000000009</v>
      </c>
      <c r="H460" s="94">
        <v>-664642.80000000005</v>
      </c>
      <c r="I460" s="94">
        <v>0</v>
      </c>
      <c r="J460" s="94">
        <v>3299425.3800000008</v>
      </c>
      <c r="K460" s="94">
        <v>3393881.2769230781</v>
      </c>
      <c r="L460" s="95">
        <v>0</v>
      </c>
      <c r="M460" s="94">
        <v>-3642005.8400000026</v>
      </c>
      <c r="N460" s="94">
        <v>-425219.0400000001</v>
      </c>
      <c r="O460" s="94">
        <v>664642.80000000005</v>
      </c>
      <c r="P460" s="94">
        <v>0</v>
      </c>
      <c r="Q460" s="94">
        <v>0</v>
      </c>
      <c r="R460" s="94">
        <v>0</v>
      </c>
      <c r="S460" s="94">
        <v>-3402582.0800000029</v>
      </c>
      <c r="T460" s="94">
        <v>-3297531.3292307723</v>
      </c>
      <c r="U460" s="95">
        <v>0</v>
      </c>
      <c r="V460" s="96">
        <v>0.125</v>
      </c>
    </row>
    <row r="461" spans="1:22" ht="13" x14ac:dyDescent="0.3">
      <c r="A461" s="20" t="s">
        <v>1134</v>
      </c>
      <c r="B461" s="20">
        <v>39102</v>
      </c>
      <c r="C461" s="20" t="s">
        <v>1157</v>
      </c>
      <c r="D461" s="77" t="s">
        <v>634</v>
      </c>
      <c r="E461" s="77" t="s">
        <v>161</v>
      </c>
      <c r="F461" s="94">
        <v>431251.75999999995</v>
      </c>
      <c r="G461" s="94">
        <v>54012.260000000009</v>
      </c>
      <c r="H461" s="94">
        <v>0</v>
      </c>
      <c r="I461" s="94">
        <v>0</v>
      </c>
      <c r="J461" s="94">
        <v>485264.01999999996</v>
      </c>
      <c r="K461" s="94">
        <v>445310.20461538457</v>
      </c>
      <c r="L461" s="95">
        <v>0</v>
      </c>
      <c r="M461" s="94">
        <v>-149901.03999999946</v>
      </c>
      <c r="N461" s="94">
        <v>-29612.69</v>
      </c>
      <c r="O461" s="94">
        <v>0</v>
      </c>
      <c r="P461" s="94">
        <v>0</v>
      </c>
      <c r="Q461" s="94">
        <v>0</v>
      </c>
      <c r="R461" s="94">
        <v>0</v>
      </c>
      <c r="S461" s="94">
        <v>-179513.72999999946</v>
      </c>
      <c r="T461" s="94">
        <v>-164523.72923076872</v>
      </c>
      <c r="U461" s="95">
        <v>0</v>
      </c>
      <c r="V461" s="96">
        <v>6.7000000000000004E-2</v>
      </c>
    </row>
    <row r="462" spans="1:22" ht="13" x14ac:dyDescent="0.3">
      <c r="A462" s="20" t="s">
        <v>1134</v>
      </c>
      <c r="B462" s="20">
        <v>39201</v>
      </c>
      <c r="C462" s="20" t="s">
        <v>1158</v>
      </c>
      <c r="D462" s="77" t="s">
        <v>635</v>
      </c>
      <c r="E462" s="77" t="s">
        <v>163</v>
      </c>
      <c r="F462" s="94">
        <v>918271.83000000031</v>
      </c>
      <c r="G462" s="94">
        <v>154613.82999999999</v>
      </c>
      <c r="H462" s="94">
        <v>-29025.599999999999</v>
      </c>
      <c r="I462" s="94">
        <v>30266.58</v>
      </c>
      <c r="J462" s="94">
        <v>1074126.6400000004</v>
      </c>
      <c r="K462" s="94">
        <v>964634.11076923111</v>
      </c>
      <c r="L462" s="95">
        <v>0</v>
      </c>
      <c r="M462" s="94">
        <v>-29876.289999999986</v>
      </c>
      <c r="N462" s="94">
        <v>-107017.11</v>
      </c>
      <c r="O462" s="94">
        <v>29025.599999999999</v>
      </c>
      <c r="P462" s="94">
        <v>0</v>
      </c>
      <c r="Q462" s="94">
        <v>-14378.81</v>
      </c>
      <c r="R462" s="94">
        <v>-9482.7899999999991</v>
      </c>
      <c r="S462" s="94">
        <v>-131729.4</v>
      </c>
      <c r="T462" s="94">
        <v>-69054.343846153832</v>
      </c>
      <c r="U462" s="95">
        <v>0</v>
      </c>
      <c r="V462" s="96">
        <v>0.112</v>
      </c>
    </row>
    <row r="463" spans="1:22" ht="13" x14ac:dyDescent="0.3">
      <c r="A463" s="20" t="s">
        <v>1134</v>
      </c>
      <c r="B463" s="20">
        <v>39202</v>
      </c>
      <c r="C463" s="20" t="s">
        <v>1159</v>
      </c>
      <c r="D463" s="77" t="s">
        <v>636</v>
      </c>
      <c r="E463" s="77" t="s">
        <v>164</v>
      </c>
      <c r="F463" s="94">
        <v>427553.59000000008</v>
      </c>
      <c r="G463" s="94">
        <v>-3793.92</v>
      </c>
      <c r="H463" s="94">
        <v>-51355</v>
      </c>
      <c r="I463" s="94">
        <v>0</v>
      </c>
      <c r="J463" s="94">
        <v>372404.6700000001</v>
      </c>
      <c r="K463" s="94">
        <v>404991.04846153845</v>
      </c>
      <c r="L463" s="95">
        <v>0</v>
      </c>
      <c r="M463" s="94">
        <v>-102867.84000000008</v>
      </c>
      <c r="N463" s="94">
        <v>-51778.73</v>
      </c>
      <c r="O463" s="94">
        <v>51355</v>
      </c>
      <c r="P463" s="94">
        <v>0</v>
      </c>
      <c r="Q463" s="94">
        <v>-13181.19</v>
      </c>
      <c r="R463" s="94">
        <v>0</v>
      </c>
      <c r="S463" s="94">
        <v>-116472.7600000001</v>
      </c>
      <c r="T463" s="94">
        <v>-112810.99846153855</v>
      </c>
      <c r="U463" s="95">
        <v>0</v>
      </c>
      <c r="V463" s="96">
        <v>0.127</v>
      </c>
    </row>
    <row r="464" spans="1:22" ht="13" x14ac:dyDescent="0.3">
      <c r="A464" s="20" t="s">
        <v>1134</v>
      </c>
      <c r="B464" s="20">
        <v>39203</v>
      </c>
      <c r="C464" s="20" t="s">
        <v>1160</v>
      </c>
      <c r="D464" s="77" t="s">
        <v>637</v>
      </c>
      <c r="E464" s="77" t="s">
        <v>165</v>
      </c>
      <c r="F464" s="94">
        <v>0</v>
      </c>
      <c r="G464" s="94">
        <v>0</v>
      </c>
      <c r="H464" s="94">
        <v>0</v>
      </c>
      <c r="I464" s="94">
        <v>0</v>
      </c>
      <c r="J464" s="94">
        <v>0</v>
      </c>
      <c r="K464" s="94">
        <v>0</v>
      </c>
      <c r="L464" s="95">
        <v>0</v>
      </c>
      <c r="M464" s="94">
        <v>0.4599999999627471</v>
      </c>
      <c r="N464" s="94">
        <v>0</v>
      </c>
      <c r="O464" s="94">
        <v>0</v>
      </c>
      <c r="P464" s="94">
        <v>0</v>
      </c>
      <c r="Q464" s="94">
        <v>0</v>
      </c>
      <c r="R464" s="94">
        <v>0</v>
      </c>
      <c r="S464" s="94">
        <v>0.4599999999627471</v>
      </c>
      <c r="T464" s="94">
        <v>0.4599999999627471</v>
      </c>
      <c r="U464" s="95">
        <v>0</v>
      </c>
      <c r="V464" s="96">
        <v>1.7000000000000001E-2</v>
      </c>
    </row>
    <row r="465" spans="1:22" ht="13.5" customHeight="1" x14ac:dyDescent="0.3">
      <c r="A465" s="20" t="s">
        <v>1134</v>
      </c>
      <c r="B465" s="20">
        <v>39204</v>
      </c>
      <c r="C465" s="20" t="s">
        <v>1161</v>
      </c>
      <c r="D465" s="77" t="s">
        <v>638</v>
      </c>
      <c r="E465" s="77" t="s">
        <v>166</v>
      </c>
      <c r="F465" s="94">
        <v>889518.25000000012</v>
      </c>
      <c r="G465" s="94">
        <v>0</v>
      </c>
      <c r="H465" s="94">
        <v>0</v>
      </c>
      <c r="I465" s="94">
        <v>0</v>
      </c>
      <c r="J465" s="94">
        <v>889518.25000000012</v>
      </c>
      <c r="K465" s="94">
        <v>889518.25000000012</v>
      </c>
      <c r="L465" s="95">
        <v>0</v>
      </c>
      <c r="M465" s="94">
        <v>-54280.619999999923</v>
      </c>
      <c r="N465" s="94">
        <v>-35580.720000000008</v>
      </c>
      <c r="O465" s="94">
        <v>0</v>
      </c>
      <c r="P465" s="94">
        <v>0</v>
      </c>
      <c r="Q465" s="94">
        <v>0</v>
      </c>
      <c r="R465" s="94">
        <v>0</v>
      </c>
      <c r="S465" s="94">
        <v>-89861.339999999938</v>
      </c>
      <c r="T465" s="94">
        <v>-72070.979999999909</v>
      </c>
      <c r="U465" s="95">
        <v>0</v>
      </c>
      <c r="V465" s="96">
        <v>0.04</v>
      </c>
    </row>
    <row r="466" spans="1:22" ht="13" x14ac:dyDescent="0.3">
      <c r="A466" s="20" t="s">
        <v>1134</v>
      </c>
      <c r="B466" s="20">
        <v>39205</v>
      </c>
      <c r="C466" s="20" t="s">
        <v>1162</v>
      </c>
      <c r="D466" s="77" t="s">
        <v>639</v>
      </c>
      <c r="E466" s="77" t="s">
        <v>167</v>
      </c>
      <c r="F466" s="94">
        <v>134191.32</v>
      </c>
      <c r="G466" s="94">
        <v>0</v>
      </c>
      <c r="H466" s="94">
        <v>0</v>
      </c>
      <c r="I466" s="94">
        <v>0</v>
      </c>
      <c r="J466" s="94">
        <v>134191.32</v>
      </c>
      <c r="K466" s="94">
        <v>134191.32000000004</v>
      </c>
      <c r="L466" s="95">
        <v>0</v>
      </c>
      <c r="M466" s="94">
        <v>8997.1200000000008</v>
      </c>
      <c r="N466" s="94">
        <v>-9930.1200000000008</v>
      </c>
      <c r="O466" s="94">
        <v>0</v>
      </c>
      <c r="P466" s="94">
        <v>0</v>
      </c>
      <c r="Q466" s="94">
        <v>0</v>
      </c>
      <c r="R466" s="94">
        <v>0</v>
      </c>
      <c r="S466" s="94">
        <v>-933</v>
      </c>
      <c r="T466" s="94">
        <v>4032.0599999999995</v>
      </c>
      <c r="U466" s="95">
        <v>-9.0949470177292824E-13</v>
      </c>
      <c r="V466" s="96">
        <v>7.3999999999999996E-2</v>
      </c>
    </row>
    <row r="467" spans="1:22" ht="13" x14ac:dyDescent="0.3">
      <c r="A467" s="20" t="s">
        <v>1134</v>
      </c>
      <c r="B467" s="20">
        <v>39400</v>
      </c>
      <c r="C467" s="20" t="s">
        <v>1163</v>
      </c>
      <c r="D467" s="77" t="s">
        <v>640</v>
      </c>
      <c r="E467" s="77" t="s">
        <v>169</v>
      </c>
      <c r="F467" s="94">
        <v>1605015.9200000002</v>
      </c>
      <c r="G467" s="94">
        <v>1837317.0699999996</v>
      </c>
      <c r="H467" s="94">
        <v>0</v>
      </c>
      <c r="I467" s="94">
        <v>0</v>
      </c>
      <c r="J467" s="94">
        <v>3442332.9899999998</v>
      </c>
      <c r="K467" s="94">
        <v>2875727.2638461543</v>
      </c>
      <c r="L467" s="95">
        <v>0</v>
      </c>
      <c r="M467" s="94">
        <v>-2134.9399999995931</v>
      </c>
      <c r="N467" s="94">
        <v>-186681.66</v>
      </c>
      <c r="O467" s="94">
        <v>0</v>
      </c>
      <c r="P467" s="94">
        <v>0</v>
      </c>
      <c r="Q467" s="94">
        <v>0</v>
      </c>
      <c r="R467" s="94">
        <v>0</v>
      </c>
      <c r="S467" s="94">
        <v>-188816.5999999996</v>
      </c>
      <c r="T467" s="94">
        <v>-87040.748461538053</v>
      </c>
      <c r="U467" s="95">
        <v>0</v>
      </c>
      <c r="V467" s="96">
        <v>6.6000000000000003E-2</v>
      </c>
    </row>
    <row r="468" spans="1:22" ht="13" x14ac:dyDescent="0.3">
      <c r="A468" s="20" t="s">
        <v>1134</v>
      </c>
      <c r="B468" s="20">
        <v>39500</v>
      </c>
      <c r="C468" s="20" t="s">
        <v>1164</v>
      </c>
      <c r="D468" s="77" t="s">
        <v>641</v>
      </c>
      <c r="E468" s="77" t="s">
        <v>170</v>
      </c>
      <c r="F468" s="94">
        <v>0</v>
      </c>
      <c r="G468" s="94">
        <v>0</v>
      </c>
      <c r="H468" s="94">
        <v>0</v>
      </c>
      <c r="I468" s="94">
        <v>0</v>
      </c>
      <c r="J468" s="94">
        <v>0</v>
      </c>
      <c r="K468" s="94">
        <v>0</v>
      </c>
      <c r="L468" s="95">
        <v>0</v>
      </c>
      <c r="M468" s="94">
        <v>36989.529999999882</v>
      </c>
      <c r="N468" s="94">
        <v>0</v>
      </c>
      <c r="O468" s="94">
        <v>0</v>
      </c>
      <c r="P468" s="94">
        <v>0</v>
      </c>
      <c r="Q468" s="94">
        <v>0</v>
      </c>
      <c r="R468" s="94">
        <v>0</v>
      </c>
      <c r="S468" s="94">
        <v>36989.529999999882</v>
      </c>
      <c r="T468" s="94">
        <v>36989.529999999897</v>
      </c>
      <c r="U468" s="95">
        <v>0</v>
      </c>
      <c r="V468" s="96">
        <v>0.05</v>
      </c>
    </row>
    <row r="469" spans="1:22" ht="13" x14ac:dyDescent="0.3">
      <c r="A469" s="20" t="s">
        <v>1134</v>
      </c>
      <c r="B469" s="20">
        <v>39600</v>
      </c>
      <c r="C469" s="20" t="s">
        <v>1165</v>
      </c>
      <c r="D469" s="77" t="s">
        <v>642</v>
      </c>
      <c r="E469" s="77" t="s">
        <v>171</v>
      </c>
      <c r="F469" s="94">
        <v>871165.05</v>
      </c>
      <c r="G469" s="94">
        <v>20284.570000000007</v>
      </c>
      <c r="H469" s="94">
        <v>0</v>
      </c>
      <c r="I469" s="94">
        <v>0</v>
      </c>
      <c r="J469" s="94">
        <v>891449.62000000011</v>
      </c>
      <c r="K469" s="94">
        <v>857048.76923076913</v>
      </c>
      <c r="L469" s="95">
        <v>0</v>
      </c>
      <c r="M469" s="94">
        <v>-14458.44</v>
      </c>
      <c r="N469" s="94">
        <v>-54667.649999999987</v>
      </c>
      <c r="O469" s="94">
        <v>0</v>
      </c>
      <c r="P469" s="94">
        <v>0</v>
      </c>
      <c r="Q469" s="94">
        <v>0</v>
      </c>
      <c r="R469" s="94">
        <v>0</v>
      </c>
      <c r="S469" s="94">
        <v>-69126.089999999982</v>
      </c>
      <c r="T469" s="94">
        <v>-41440.965384615381</v>
      </c>
      <c r="U469" s="95">
        <v>0</v>
      </c>
      <c r="V469" s="96">
        <v>6.4000000000000001E-2</v>
      </c>
    </row>
    <row r="470" spans="1:22" ht="13" x14ac:dyDescent="0.3">
      <c r="A470" s="20" t="s">
        <v>1134</v>
      </c>
      <c r="B470" s="20">
        <v>39700</v>
      </c>
      <c r="C470" s="20" t="s">
        <v>1166</v>
      </c>
      <c r="D470" s="77" t="s">
        <v>643</v>
      </c>
      <c r="E470" s="77" t="s">
        <v>172</v>
      </c>
      <c r="F470" s="94">
        <v>3137033.9000000004</v>
      </c>
      <c r="G470" s="94">
        <v>0</v>
      </c>
      <c r="H470" s="94">
        <v>-7191.74</v>
      </c>
      <c r="I470" s="94">
        <v>0</v>
      </c>
      <c r="J470" s="94">
        <v>3129842.16</v>
      </c>
      <c r="K470" s="94">
        <v>3130948.5815384616</v>
      </c>
      <c r="L470" s="95">
        <v>0</v>
      </c>
      <c r="M470" s="94">
        <v>-1426566.5099999972</v>
      </c>
      <c r="N470" s="94">
        <v>-263007.48</v>
      </c>
      <c r="O470" s="94">
        <v>7191.74</v>
      </c>
      <c r="P470" s="94">
        <v>0</v>
      </c>
      <c r="Q470" s="94">
        <v>0</v>
      </c>
      <c r="R470" s="94">
        <v>0</v>
      </c>
      <c r="S470" s="94">
        <v>-1682382.2499999972</v>
      </c>
      <c r="T470" s="94">
        <v>-1552023.6546153815</v>
      </c>
      <c r="U470" s="95">
        <v>0</v>
      </c>
      <c r="V470" s="96">
        <v>8.4000000000000005E-2</v>
      </c>
    </row>
    <row r="471" spans="1:22" ht="13" x14ac:dyDescent="0.3">
      <c r="A471" s="20" t="s">
        <v>1134</v>
      </c>
      <c r="B471" s="20">
        <v>39800</v>
      </c>
      <c r="C471" s="20" t="s">
        <v>1167</v>
      </c>
      <c r="D471" s="77" t="s">
        <v>644</v>
      </c>
      <c r="E471" s="77" t="s">
        <v>173</v>
      </c>
      <c r="F471" s="94">
        <v>25168.58</v>
      </c>
      <c r="G471" s="94">
        <v>0</v>
      </c>
      <c r="H471" s="94">
        <v>0</v>
      </c>
      <c r="I471" s="94">
        <v>0</v>
      </c>
      <c r="J471" s="94">
        <v>25168.58</v>
      </c>
      <c r="K471" s="94">
        <v>25168.580000000009</v>
      </c>
      <c r="L471" s="95">
        <v>0</v>
      </c>
      <c r="M471" s="94">
        <v>-2802.1100000000006</v>
      </c>
      <c r="N471" s="94">
        <v>-1485</v>
      </c>
      <c r="O471" s="94">
        <v>0</v>
      </c>
      <c r="P471" s="94">
        <v>0</v>
      </c>
      <c r="Q471" s="94">
        <v>0</v>
      </c>
      <c r="R471" s="94">
        <v>0</v>
      </c>
      <c r="S471" s="94">
        <v>-4287.1100000000006</v>
      </c>
      <c r="T471" s="94">
        <v>-3544.6100000000006</v>
      </c>
      <c r="U471" s="95">
        <v>0</v>
      </c>
      <c r="V471" s="96">
        <v>5.8999999999999997E-2</v>
      </c>
    </row>
    <row r="472" spans="1:22" ht="13" x14ac:dyDescent="0.3">
      <c r="A472" s="20" t="s">
        <v>1134</v>
      </c>
      <c r="B472" s="20">
        <v>39900</v>
      </c>
      <c r="C472" s="20" t="s">
        <v>1168</v>
      </c>
      <c r="D472" s="77" t="s">
        <v>675</v>
      </c>
      <c r="E472" s="77" t="s">
        <v>676</v>
      </c>
      <c r="F472" s="94">
        <v>0</v>
      </c>
      <c r="G472" s="94">
        <v>0</v>
      </c>
      <c r="H472" s="94">
        <v>0</v>
      </c>
      <c r="I472" s="94">
        <v>0</v>
      </c>
      <c r="J472" s="94">
        <v>0</v>
      </c>
      <c r="K472" s="94">
        <v>0</v>
      </c>
      <c r="L472" s="95">
        <v>0</v>
      </c>
      <c r="M472" s="94">
        <v>0</v>
      </c>
      <c r="N472" s="94">
        <v>0</v>
      </c>
      <c r="O472" s="94">
        <v>0</v>
      </c>
      <c r="P472" s="94">
        <v>0</v>
      </c>
      <c r="Q472" s="94">
        <v>0</v>
      </c>
      <c r="R472" s="94">
        <v>0</v>
      </c>
      <c r="S472" s="94">
        <v>0</v>
      </c>
      <c r="T472" s="94">
        <v>0</v>
      </c>
      <c r="U472" s="95">
        <v>0</v>
      </c>
      <c r="V472" s="96">
        <v>0</v>
      </c>
    </row>
    <row r="473" spans="1:22" x14ac:dyDescent="0.25">
      <c r="L473" s="103"/>
    </row>
    <row r="474" spans="1:22" ht="13.5" thickBot="1" x14ac:dyDescent="0.35">
      <c r="B474" s="20" t="s">
        <v>128</v>
      </c>
      <c r="C474" s="20"/>
      <c r="F474" s="104">
        <v>1310949587.6300004</v>
      </c>
      <c r="G474" s="104">
        <v>101752908.19</v>
      </c>
      <c r="H474" s="104">
        <v>-13483051.629999999</v>
      </c>
      <c r="I474" s="105">
        <v>0</v>
      </c>
      <c r="J474" s="104">
        <v>1399219444.1900005</v>
      </c>
      <c r="K474" s="104">
        <v>1352171147.829231</v>
      </c>
      <c r="L474" s="104">
        <v>0</v>
      </c>
      <c r="M474" s="104">
        <v>-630525977.69000053</v>
      </c>
      <c r="N474" s="104">
        <v>-57819094.620000005</v>
      </c>
      <c r="O474" s="104">
        <v>13483051.629999999</v>
      </c>
      <c r="P474" s="104">
        <v>6464618.120000001</v>
      </c>
      <c r="Q474" s="104">
        <v>-199472.65000000002</v>
      </c>
      <c r="R474" s="104">
        <v>0</v>
      </c>
      <c r="S474" s="104">
        <v>-668596875.20999992</v>
      </c>
      <c r="T474" s="104">
        <v>-646755596.98538506</v>
      </c>
      <c r="U474" s="104">
        <v>2.283684352732962E-11</v>
      </c>
    </row>
    <row r="475" spans="1:22" ht="13" thickTop="1" x14ac:dyDescent="0.25">
      <c r="A475" s="106"/>
      <c r="B475" s="106"/>
      <c r="C475" s="106"/>
      <c r="D475" s="106"/>
      <c r="E475" s="106"/>
      <c r="F475" s="107">
        <v>0</v>
      </c>
      <c r="G475" s="107">
        <v>0</v>
      </c>
      <c r="H475" s="107">
        <v>0</v>
      </c>
      <c r="I475" s="107">
        <v>0</v>
      </c>
      <c r="J475" s="107">
        <v>0</v>
      </c>
      <c r="K475" s="107">
        <v>0</v>
      </c>
      <c r="L475" s="107"/>
      <c r="M475" s="107">
        <v>0</v>
      </c>
      <c r="N475" s="107">
        <v>0</v>
      </c>
      <c r="O475" s="107">
        <v>0</v>
      </c>
      <c r="P475" s="107">
        <v>0</v>
      </c>
      <c r="Q475" s="107">
        <v>-3.637978807091713E-11</v>
      </c>
      <c r="R475" s="107">
        <v>0</v>
      </c>
      <c r="S475" s="107">
        <v>0</v>
      </c>
      <c r="T475" s="107">
        <v>0</v>
      </c>
      <c r="U475" s="107"/>
    </row>
    <row r="488" customFormat="1" x14ac:dyDescent="0.25"/>
    <row r="490" customFormat="1" x14ac:dyDescent="0.25"/>
    <row r="494" customFormat="1" x14ac:dyDescent="0.25"/>
    <row r="498" customFormat="1" x14ac:dyDescent="0.25"/>
  </sheetData>
  <phoneticPr fontId="0" type="noConversion"/>
  <pageMargins left="0.75" right="0.75" top="1" bottom="1" header="0.5" footer="0.5"/>
  <pageSetup orientation="portrait" r:id="rId1"/>
  <headerFooter alignWithMargins="0"/>
  <customProperties>
    <customPr name="EpmWorksheetKeyString_GUID" r:id="rId2"/>
  </customProperties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7"/>
    <pageSetUpPr fitToPage="1"/>
  </sheetPr>
  <dimension ref="A1:I63"/>
  <sheetViews>
    <sheetView zoomScale="80" zoomScaleNormal="80" workbookViewId="0">
      <pane xSplit="2" ySplit="4" topLeftCell="C5" activePane="bottomRight" state="frozen"/>
      <selection activeCell="R305" sqref="R305"/>
      <selection pane="topRight" activeCell="R305" sqref="R305"/>
      <selection pane="bottomLeft" activeCell="R305" sqref="R305"/>
      <selection pane="bottomRight" activeCell="R305" sqref="R305"/>
    </sheetView>
  </sheetViews>
  <sheetFormatPr defaultRowHeight="12.5" x14ac:dyDescent="0.25"/>
  <cols>
    <col min="1" max="1" width="33.81640625" bestFit="1" customWidth="1"/>
    <col min="2" max="2" width="12.26953125" customWidth="1"/>
    <col min="3" max="3" width="14.1796875" customWidth="1"/>
    <col min="4" max="4" width="16" customWidth="1"/>
    <col min="5" max="5" width="18.453125" customWidth="1"/>
    <col min="6" max="6" width="16.7265625" customWidth="1"/>
    <col min="7" max="7" width="14.1796875" customWidth="1"/>
    <col min="8" max="8" width="17.7265625" customWidth="1"/>
    <col min="9" max="249" width="8.81640625"/>
    <col min="250" max="250" width="33.81640625" bestFit="1" customWidth="1"/>
    <col min="251" max="251" width="12.453125" customWidth="1"/>
    <col min="252" max="252" width="14" bestFit="1" customWidth="1"/>
    <col min="253" max="253" width="16.54296875" customWidth="1"/>
    <col min="254" max="254" width="19.1796875" customWidth="1"/>
    <col min="255" max="255" width="17.54296875" customWidth="1"/>
    <col min="256" max="256" width="14" customWidth="1"/>
    <col min="257" max="257" width="18.26953125" bestFit="1" customWidth="1"/>
    <col min="258" max="258" width="8.81640625"/>
    <col min="259" max="259" width="12.26953125" bestFit="1" customWidth="1"/>
    <col min="260" max="260" width="16.54296875" bestFit="1" customWidth="1"/>
    <col min="261" max="261" width="19.1796875" bestFit="1" customWidth="1"/>
    <col min="262" max="262" width="17.54296875" bestFit="1" customWidth="1"/>
    <col min="263" max="263" width="12.26953125" bestFit="1" customWidth="1"/>
    <col min="264" max="264" width="18.26953125" bestFit="1" customWidth="1"/>
    <col min="265" max="505" width="8.81640625"/>
    <col min="506" max="506" width="33.81640625" bestFit="1" customWidth="1"/>
    <col min="507" max="507" width="12.453125" customWidth="1"/>
    <col min="508" max="508" width="14" bestFit="1" customWidth="1"/>
    <col min="509" max="509" width="16.54296875" customWidth="1"/>
    <col min="510" max="510" width="19.1796875" customWidth="1"/>
    <col min="511" max="511" width="17.54296875" customWidth="1"/>
    <col min="512" max="512" width="14" customWidth="1"/>
    <col min="513" max="513" width="18.26953125" bestFit="1" customWidth="1"/>
    <col min="514" max="514" width="8.81640625"/>
    <col min="515" max="515" width="12.26953125" bestFit="1" customWidth="1"/>
    <col min="516" max="516" width="16.54296875" bestFit="1" customWidth="1"/>
    <col min="517" max="517" width="19.1796875" bestFit="1" customWidth="1"/>
    <col min="518" max="518" width="17.54296875" bestFit="1" customWidth="1"/>
    <col min="519" max="519" width="12.26953125" bestFit="1" customWidth="1"/>
    <col min="520" max="520" width="18.26953125" bestFit="1" customWidth="1"/>
    <col min="521" max="761" width="8.81640625"/>
    <col min="762" max="762" width="33.81640625" bestFit="1" customWidth="1"/>
    <col min="763" max="763" width="12.453125" customWidth="1"/>
    <col min="764" max="764" width="14" bestFit="1" customWidth="1"/>
    <col min="765" max="765" width="16.54296875" customWidth="1"/>
    <col min="766" max="766" width="19.1796875" customWidth="1"/>
    <col min="767" max="767" width="17.54296875" customWidth="1"/>
    <col min="768" max="768" width="14" customWidth="1"/>
    <col min="769" max="769" width="18.26953125" bestFit="1" customWidth="1"/>
    <col min="770" max="770" width="8.81640625"/>
    <col min="771" max="771" width="12.26953125" bestFit="1" customWidth="1"/>
    <col min="772" max="772" width="16.54296875" bestFit="1" customWidth="1"/>
    <col min="773" max="773" width="19.1796875" bestFit="1" customWidth="1"/>
    <col min="774" max="774" width="17.54296875" bestFit="1" customWidth="1"/>
    <col min="775" max="775" width="12.26953125" bestFit="1" customWidth="1"/>
    <col min="776" max="776" width="18.26953125" bestFit="1" customWidth="1"/>
    <col min="777" max="1017" width="8.81640625"/>
    <col min="1018" max="1018" width="33.81640625" bestFit="1" customWidth="1"/>
    <col min="1019" max="1019" width="12.453125" customWidth="1"/>
    <col min="1020" max="1020" width="14" bestFit="1" customWidth="1"/>
    <col min="1021" max="1021" width="16.54296875" customWidth="1"/>
    <col min="1022" max="1022" width="19.1796875" customWidth="1"/>
    <col min="1023" max="1023" width="17.54296875" customWidth="1"/>
    <col min="1024" max="1024" width="14" customWidth="1"/>
    <col min="1025" max="1025" width="18.26953125" bestFit="1" customWidth="1"/>
    <col min="1026" max="1026" width="8.81640625"/>
    <col min="1027" max="1027" width="12.26953125" bestFit="1" customWidth="1"/>
    <col min="1028" max="1028" width="16.54296875" bestFit="1" customWidth="1"/>
    <col min="1029" max="1029" width="19.1796875" bestFit="1" customWidth="1"/>
    <col min="1030" max="1030" width="17.54296875" bestFit="1" customWidth="1"/>
    <col min="1031" max="1031" width="12.26953125" bestFit="1" customWidth="1"/>
    <col min="1032" max="1032" width="18.26953125" bestFit="1" customWidth="1"/>
    <col min="1033" max="1273" width="8.81640625"/>
    <col min="1274" max="1274" width="33.81640625" bestFit="1" customWidth="1"/>
    <col min="1275" max="1275" width="12.453125" customWidth="1"/>
    <col min="1276" max="1276" width="14" bestFit="1" customWidth="1"/>
    <col min="1277" max="1277" width="16.54296875" customWidth="1"/>
    <col min="1278" max="1278" width="19.1796875" customWidth="1"/>
    <col min="1279" max="1279" width="17.54296875" customWidth="1"/>
    <col min="1280" max="1280" width="14" customWidth="1"/>
    <col min="1281" max="1281" width="18.26953125" bestFit="1" customWidth="1"/>
    <col min="1282" max="1282" width="8.81640625"/>
    <col min="1283" max="1283" width="12.26953125" bestFit="1" customWidth="1"/>
    <col min="1284" max="1284" width="16.54296875" bestFit="1" customWidth="1"/>
    <col min="1285" max="1285" width="19.1796875" bestFit="1" customWidth="1"/>
    <col min="1286" max="1286" width="17.54296875" bestFit="1" customWidth="1"/>
    <col min="1287" max="1287" width="12.26953125" bestFit="1" customWidth="1"/>
    <col min="1288" max="1288" width="18.26953125" bestFit="1" customWidth="1"/>
    <col min="1289" max="1529" width="8.81640625"/>
    <col min="1530" max="1530" width="33.81640625" bestFit="1" customWidth="1"/>
    <col min="1531" max="1531" width="12.453125" customWidth="1"/>
    <col min="1532" max="1532" width="14" bestFit="1" customWidth="1"/>
    <col min="1533" max="1533" width="16.54296875" customWidth="1"/>
    <col min="1534" max="1534" width="19.1796875" customWidth="1"/>
    <col min="1535" max="1535" width="17.54296875" customWidth="1"/>
    <col min="1536" max="1536" width="14" customWidth="1"/>
    <col min="1537" max="1537" width="18.26953125" bestFit="1" customWidth="1"/>
    <col min="1538" max="1538" width="8.81640625"/>
    <col min="1539" max="1539" width="12.26953125" bestFit="1" customWidth="1"/>
    <col min="1540" max="1540" width="16.54296875" bestFit="1" customWidth="1"/>
    <col min="1541" max="1541" width="19.1796875" bestFit="1" customWidth="1"/>
    <col min="1542" max="1542" width="17.54296875" bestFit="1" customWidth="1"/>
    <col min="1543" max="1543" width="12.26953125" bestFit="1" customWidth="1"/>
    <col min="1544" max="1544" width="18.26953125" bestFit="1" customWidth="1"/>
    <col min="1545" max="1785" width="8.81640625"/>
    <col min="1786" max="1786" width="33.81640625" bestFit="1" customWidth="1"/>
    <col min="1787" max="1787" width="12.453125" customWidth="1"/>
    <col min="1788" max="1788" width="14" bestFit="1" customWidth="1"/>
    <col min="1789" max="1789" width="16.54296875" customWidth="1"/>
    <col min="1790" max="1790" width="19.1796875" customWidth="1"/>
    <col min="1791" max="1791" width="17.54296875" customWidth="1"/>
    <col min="1792" max="1792" width="14" customWidth="1"/>
    <col min="1793" max="1793" width="18.26953125" bestFit="1" customWidth="1"/>
    <col min="1794" max="1794" width="8.81640625"/>
    <col min="1795" max="1795" width="12.26953125" bestFit="1" customWidth="1"/>
    <col min="1796" max="1796" width="16.54296875" bestFit="1" customWidth="1"/>
    <col min="1797" max="1797" width="19.1796875" bestFit="1" customWidth="1"/>
    <col min="1798" max="1798" width="17.54296875" bestFit="1" customWidth="1"/>
    <col min="1799" max="1799" width="12.26953125" bestFit="1" customWidth="1"/>
    <col min="1800" max="1800" width="18.26953125" bestFit="1" customWidth="1"/>
    <col min="1801" max="2041" width="8.81640625"/>
    <col min="2042" max="2042" width="33.81640625" bestFit="1" customWidth="1"/>
    <col min="2043" max="2043" width="12.453125" customWidth="1"/>
    <col min="2044" max="2044" width="14" bestFit="1" customWidth="1"/>
    <col min="2045" max="2045" width="16.54296875" customWidth="1"/>
    <col min="2046" max="2046" width="19.1796875" customWidth="1"/>
    <col min="2047" max="2047" width="17.54296875" customWidth="1"/>
    <col min="2048" max="2048" width="14" customWidth="1"/>
    <col min="2049" max="2049" width="18.26953125" bestFit="1" customWidth="1"/>
    <col min="2050" max="2050" width="8.81640625"/>
    <col min="2051" max="2051" width="12.26953125" bestFit="1" customWidth="1"/>
    <col min="2052" max="2052" width="16.54296875" bestFit="1" customWidth="1"/>
    <col min="2053" max="2053" width="19.1796875" bestFit="1" customWidth="1"/>
    <col min="2054" max="2054" width="17.54296875" bestFit="1" customWidth="1"/>
    <col min="2055" max="2055" width="12.26953125" bestFit="1" customWidth="1"/>
    <col min="2056" max="2056" width="18.26953125" bestFit="1" customWidth="1"/>
    <col min="2057" max="2297" width="8.81640625"/>
    <col min="2298" max="2298" width="33.81640625" bestFit="1" customWidth="1"/>
    <col min="2299" max="2299" width="12.453125" customWidth="1"/>
    <col min="2300" max="2300" width="14" bestFit="1" customWidth="1"/>
    <col min="2301" max="2301" width="16.54296875" customWidth="1"/>
    <col min="2302" max="2302" width="19.1796875" customWidth="1"/>
    <col min="2303" max="2303" width="17.54296875" customWidth="1"/>
    <col min="2304" max="2304" width="14" customWidth="1"/>
    <col min="2305" max="2305" width="18.26953125" bestFit="1" customWidth="1"/>
    <col min="2306" max="2306" width="8.81640625"/>
    <col min="2307" max="2307" width="12.26953125" bestFit="1" customWidth="1"/>
    <col min="2308" max="2308" width="16.54296875" bestFit="1" customWidth="1"/>
    <col min="2309" max="2309" width="19.1796875" bestFit="1" customWidth="1"/>
    <col min="2310" max="2310" width="17.54296875" bestFit="1" customWidth="1"/>
    <col min="2311" max="2311" width="12.26953125" bestFit="1" customWidth="1"/>
    <col min="2312" max="2312" width="18.26953125" bestFit="1" customWidth="1"/>
    <col min="2313" max="2553" width="8.81640625"/>
    <col min="2554" max="2554" width="33.81640625" bestFit="1" customWidth="1"/>
    <col min="2555" max="2555" width="12.453125" customWidth="1"/>
    <col min="2556" max="2556" width="14" bestFit="1" customWidth="1"/>
    <col min="2557" max="2557" width="16.54296875" customWidth="1"/>
    <col min="2558" max="2558" width="19.1796875" customWidth="1"/>
    <col min="2559" max="2559" width="17.54296875" customWidth="1"/>
    <col min="2560" max="2560" width="14" customWidth="1"/>
    <col min="2561" max="2561" width="18.26953125" bestFit="1" customWidth="1"/>
    <col min="2562" max="2562" width="8.81640625"/>
    <col min="2563" max="2563" width="12.26953125" bestFit="1" customWidth="1"/>
    <col min="2564" max="2564" width="16.54296875" bestFit="1" customWidth="1"/>
    <col min="2565" max="2565" width="19.1796875" bestFit="1" customWidth="1"/>
    <col min="2566" max="2566" width="17.54296875" bestFit="1" customWidth="1"/>
    <col min="2567" max="2567" width="12.26953125" bestFit="1" customWidth="1"/>
    <col min="2568" max="2568" width="18.26953125" bestFit="1" customWidth="1"/>
    <col min="2569" max="2809" width="8.81640625"/>
    <col min="2810" max="2810" width="33.81640625" bestFit="1" customWidth="1"/>
    <col min="2811" max="2811" width="12.453125" customWidth="1"/>
    <col min="2812" max="2812" width="14" bestFit="1" customWidth="1"/>
    <col min="2813" max="2813" width="16.54296875" customWidth="1"/>
    <col min="2814" max="2814" width="19.1796875" customWidth="1"/>
    <col min="2815" max="2815" width="17.54296875" customWidth="1"/>
    <col min="2816" max="2816" width="14" customWidth="1"/>
    <col min="2817" max="2817" width="18.26953125" bestFit="1" customWidth="1"/>
    <col min="2818" max="2818" width="8.81640625"/>
    <col min="2819" max="2819" width="12.26953125" bestFit="1" customWidth="1"/>
    <col min="2820" max="2820" width="16.54296875" bestFit="1" customWidth="1"/>
    <col min="2821" max="2821" width="19.1796875" bestFit="1" customWidth="1"/>
    <col min="2822" max="2822" width="17.54296875" bestFit="1" customWidth="1"/>
    <col min="2823" max="2823" width="12.26953125" bestFit="1" customWidth="1"/>
    <col min="2824" max="2824" width="18.26953125" bestFit="1" customWidth="1"/>
    <col min="2825" max="3065" width="8.81640625"/>
    <col min="3066" max="3066" width="33.81640625" bestFit="1" customWidth="1"/>
    <col min="3067" max="3067" width="12.453125" customWidth="1"/>
    <col min="3068" max="3068" width="14" bestFit="1" customWidth="1"/>
    <col min="3069" max="3069" width="16.54296875" customWidth="1"/>
    <col min="3070" max="3070" width="19.1796875" customWidth="1"/>
    <col min="3071" max="3071" width="17.54296875" customWidth="1"/>
    <col min="3072" max="3072" width="14" customWidth="1"/>
    <col min="3073" max="3073" width="18.26953125" bestFit="1" customWidth="1"/>
    <col min="3074" max="3074" width="8.81640625"/>
    <col min="3075" max="3075" width="12.26953125" bestFit="1" customWidth="1"/>
    <col min="3076" max="3076" width="16.54296875" bestFit="1" customWidth="1"/>
    <col min="3077" max="3077" width="19.1796875" bestFit="1" customWidth="1"/>
    <col min="3078" max="3078" width="17.54296875" bestFit="1" customWidth="1"/>
    <col min="3079" max="3079" width="12.26953125" bestFit="1" customWidth="1"/>
    <col min="3080" max="3080" width="18.26953125" bestFit="1" customWidth="1"/>
    <col min="3081" max="3321" width="8.81640625"/>
    <col min="3322" max="3322" width="33.81640625" bestFit="1" customWidth="1"/>
    <col min="3323" max="3323" width="12.453125" customWidth="1"/>
    <col min="3324" max="3324" width="14" bestFit="1" customWidth="1"/>
    <col min="3325" max="3325" width="16.54296875" customWidth="1"/>
    <col min="3326" max="3326" width="19.1796875" customWidth="1"/>
    <col min="3327" max="3327" width="17.54296875" customWidth="1"/>
    <col min="3328" max="3328" width="14" customWidth="1"/>
    <col min="3329" max="3329" width="18.26953125" bestFit="1" customWidth="1"/>
    <col min="3330" max="3330" width="8.81640625"/>
    <col min="3331" max="3331" width="12.26953125" bestFit="1" customWidth="1"/>
    <col min="3332" max="3332" width="16.54296875" bestFit="1" customWidth="1"/>
    <col min="3333" max="3333" width="19.1796875" bestFit="1" customWidth="1"/>
    <col min="3334" max="3334" width="17.54296875" bestFit="1" customWidth="1"/>
    <col min="3335" max="3335" width="12.26953125" bestFit="1" customWidth="1"/>
    <col min="3336" max="3336" width="18.26953125" bestFit="1" customWidth="1"/>
    <col min="3337" max="3577" width="8.81640625"/>
    <col min="3578" max="3578" width="33.81640625" bestFit="1" customWidth="1"/>
    <col min="3579" max="3579" width="12.453125" customWidth="1"/>
    <col min="3580" max="3580" width="14" bestFit="1" customWidth="1"/>
    <col min="3581" max="3581" width="16.54296875" customWidth="1"/>
    <col min="3582" max="3582" width="19.1796875" customWidth="1"/>
    <col min="3583" max="3583" width="17.54296875" customWidth="1"/>
    <col min="3584" max="3584" width="14" customWidth="1"/>
    <col min="3585" max="3585" width="18.26953125" bestFit="1" customWidth="1"/>
    <col min="3586" max="3586" width="8.81640625"/>
    <col min="3587" max="3587" width="12.26953125" bestFit="1" customWidth="1"/>
    <col min="3588" max="3588" width="16.54296875" bestFit="1" customWidth="1"/>
    <col min="3589" max="3589" width="19.1796875" bestFit="1" customWidth="1"/>
    <col min="3590" max="3590" width="17.54296875" bestFit="1" customWidth="1"/>
    <col min="3591" max="3591" width="12.26953125" bestFit="1" customWidth="1"/>
    <col min="3592" max="3592" width="18.26953125" bestFit="1" customWidth="1"/>
    <col min="3593" max="3833" width="8.81640625"/>
    <col min="3834" max="3834" width="33.81640625" bestFit="1" customWidth="1"/>
    <col min="3835" max="3835" width="12.453125" customWidth="1"/>
    <col min="3836" max="3836" width="14" bestFit="1" customWidth="1"/>
    <col min="3837" max="3837" width="16.54296875" customWidth="1"/>
    <col min="3838" max="3838" width="19.1796875" customWidth="1"/>
    <col min="3839" max="3839" width="17.54296875" customWidth="1"/>
    <col min="3840" max="3840" width="14" customWidth="1"/>
    <col min="3841" max="3841" width="18.26953125" bestFit="1" customWidth="1"/>
    <col min="3842" max="3842" width="8.81640625"/>
    <col min="3843" max="3843" width="12.26953125" bestFit="1" customWidth="1"/>
    <col min="3844" max="3844" width="16.54296875" bestFit="1" customWidth="1"/>
    <col min="3845" max="3845" width="19.1796875" bestFit="1" customWidth="1"/>
    <col min="3846" max="3846" width="17.54296875" bestFit="1" customWidth="1"/>
    <col min="3847" max="3847" width="12.26953125" bestFit="1" customWidth="1"/>
    <col min="3848" max="3848" width="18.26953125" bestFit="1" customWidth="1"/>
    <col min="3849" max="4089" width="8.81640625"/>
    <col min="4090" max="4090" width="33.81640625" bestFit="1" customWidth="1"/>
    <col min="4091" max="4091" width="12.453125" customWidth="1"/>
    <col min="4092" max="4092" width="14" bestFit="1" customWidth="1"/>
    <col min="4093" max="4093" width="16.54296875" customWidth="1"/>
    <col min="4094" max="4094" width="19.1796875" customWidth="1"/>
    <col min="4095" max="4095" width="17.54296875" customWidth="1"/>
    <col min="4096" max="4096" width="14" customWidth="1"/>
    <col min="4097" max="4097" width="18.26953125" bestFit="1" customWidth="1"/>
    <col min="4098" max="4098" width="8.81640625"/>
    <col min="4099" max="4099" width="12.26953125" bestFit="1" customWidth="1"/>
    <col min="4100" max="4100" width="16.54296875" bestFit="1" customWidth="1"/>
    <col min="4101" max="4101" width="19.1796875" bestFit="1" customWidth="1"/>
    <col min="4102" max="4102" width="17.54296875" bestFit="1" customWidth="1"/>
    <col min="4103" max="4103" width="12.26953125" bestFit="1" customWidth="1"/>
    <col min="4104" max="4104" width="18.26953125" bestFit="1" customWidth="1"/>
    <col min="4105" max="4345" width="8.81640625"/>
    <col min="4346" max="4346" width="33.81640625" bestFit="1" customWidth="1"/>
    <col min="4347" max="4347" width="12.453125" customWidth="1"/>
    <col min="4348" max="4348" width="14" bestFit="1" customWidth="1"/>
    <col min="4349" max="4349" width="16.54296875" customWidth="1"/>
    <col min="4350" max="4350" width="19.1796875" customWidth="1"/>
    <col min="4351" max="4351" width="17.54296875" customWidth="1"/>
    <col min="4352" max="4352" width="14" customWidth="1"/>
    <col min="4353" max="4353" width="18.26953125" bestFit="1" customWidth="1"/>
    <col min="4354" max="4354" width="8.81640625"/>
    <col min="4355" max="4355" width="12.26953125" bestFit="1" customWidth="1"/>
    <col min="4356" max="4356" width="16.54296875" bestFit="1" customWidth="1"/>
    <col min="4357" max="4357" width="19.1796875" bestFit="1" customWidth="1"/>
    <col min="4358" max="4358" width="17.54296875" bestFit="1" customWidth="1"/>
    <col min="4359" max="4359" width="12.26953125" bestFit="1" customWidth="1"/>
    <col min="4360" max="4360" width="18.26953125" bestFit="1" customWidth="1"/>
    <col min="4361" max="4601" width="8.81640625"/>
    <col min="4602" max="4602" width="33.81640625" bestFit="1" customWidth="1"/>
    <col min="4603" max="4603" width="12.453125" customWidth="1"/>
    <col min="4604" max="4604" width="14" bestFit="1" customWidth="1"/>
    <col min="4605" max="4605" width="16.54296875" customWidth="1"/>
    <col min="4606" max="4606" width="19.1796875" customWidth="1"/>
    <col min="4607" max="4607" width="17.54296875" customWidth="1"/>
    <col min="4608" max="4608" width="14" customWidth="1"/>
    <col min="4609" max="4609" width="18.26953125" bestFit="1" customWidth="1"/>
    <col min="4610" max="4610" width="8.81640625"/>
    <col min="4611" max="4611" width="12.26953125" bestFit="1" customWidth="1"/>
    <col min="4612" max="4612" width="16.54296875" bestFit="1" customWidth="1"/>
    <col min="4613" max="4613" width="19.1796875" bestFit="1" customWidth="1"/>
    <col min="4614" max="4614" width="17.54296875" bestFit="1" customWidth="1"/>
    <col min="4615" max="4615" width="12.26953125" bestFit="1" customWidth="1"/>
    <col min="4616" max="4616" width="18.26953125" bestFit="1" customWidth="1"/>
    <col min="4617" max="4857" width="8.81640625"/>
    <col min="4858" max="4858" width="33.81640625" bestFit="1" customWidth="1"/>
    <col min="4859" max="4859" width="12.453125" customWidth="1"/>
    <col min="4860" max="4860" width="14" bestFit="1" customWidth="1"/>
    <col min="4861" max="4861" width="16.54296875" customWidth="1"/>
    <col min="4862" max="4862" width="19.1796875" customWidth="1"/>
    <col min="4863" max="4863" width="17.54296875" customWidth="1"/>
    <col min="4864" max="4864" width="14" customWidth="1"/>
    <col min="4865" max="4865" width="18.26953125" bestFit="1" customWidth="1"/>
    <col min="4866" max="4866" width="8.81640625"/>
    <col min="4867" max="4867" width="12.26953125" bestFit="1" customWidth="1"/>
    <col min="4868" max="4868" width="16.54296875" bestFit="1" customWidth="1"/>
    <col min="4869" max="4869" width="19.1796875" bestFit="1" customWidth="1"/>
    <col min="4870" max="4870" width="17.54296875" bestFit="1" customWidth="1"/>
    <col min="4871" max="4871" width="12.26953125" bestFit="1" customWidth="1"/>
    <col min="4872" max="4872" width="18.26953125" bestFit="1" customWidth="1"/>
    <col min="4873" max="5113" width="8.81640625"/>
    <col min="5114" max="5114" width="33.81640625" bestFit="1" customWidth="1"/>
    <col min="5115" max="5115" width="12.453125" customWidth="1"/>
    <col min="5116" max="5116" width="14" bestFit="1" customWidth="1"/>
    <col min="5117" max="5117" width="16.54296875" customWidth="1"/>
    <col min="5118" max="5118" width="19.1796875" customWidth="1"/>
    <col min="5119" max="5119" width="17.54296875" customWidth="1"/>
    <col min="5120" max="5120" width="14" customWidth="1"/>
    <col min="5121" max="5121" width="18.26953125" bestFit="1" customWidth="1"/>
    <col min="5122" max="5122" width="8.81640625"/>
    <col min="5123" max="5123" width="12.26953125" bestFit="1" customWidth="1"/>
    <col min="5124" max="5124" width="16.54296875" bestFit="1" customWidth="1"/>
    <col min="5125" max="5125" width="19.1796875" bestFit="1" customWidth="1"/>
    <col min="5126" max="5126" width="17.54296875" bestFit="1" customWidth="1"/>
    <col min="5127" max="5127" width="12.26953125" bestFit="1" customWidth="1"/>
    <col min="5128" max="5128" width="18.26953125" bestFit="1" customWidth="1"/>
    <col min="5129" max="5369" width="8.81640625"/>
    <col min="5370" max="5370" width="33.81640625" bestFit="1" customWidth="1"/>
    <col min="5371" max="5371" width="12.453125" customWidth="1"/>
    <col min="5372" max="5372" width="14" bestFit="1" customWidth="1"/>
    <col min="5373" max="5373" width="16.54296875" customWidth="1"/>
    <col min="5374" max="5374" width="19.1796875" customWidth="1"/>
    <col min="5375" max="5375" width="17.54296875" customWidth="1"/>
    <col min="5376" max="5376" width="14" customWidth="1"/>
    <col min="5377" max="5377" width="18.26953125" bestFit="1" customWidth="1"/>
    <col min="5378" max="5378" width="8.81640625"/>
    <col min="5379" max="5379" width="12.26953125" bestFit="1" customWidth="1"/>
    <col min="5380" max="5380" width="16.54296875" bestFit="1" customWidth="1"/>
    <col min="5381" max="5381" width="19.1796875" bestFit="1" customWidth="1"/>
    <col min="5382" max="5382" width="17.54296875" bestFit="1" customWidth="1"/>
    <col min="5383" max="5383" width="12.26953125" bestFit="1" customWidth="1"/>
    <col min="5384" max="5384" width="18.26953125" bestFit="1" customWidth="1"/>
    <col min="5385" max="5625" width="8.81640625"/>
    <col min="5626" max="5626" width="33.81640625" bestFit="1" customWidth="1"/>
    <col min="5627" max="5627" width="12.453125" customWidth="1"/>
    <col min="5628" max="5628" width="14" bestFit="1" customWidth="1"/>
    <col min="5629" max="5629" width="16.54296875" customWidth="1"/>
    <col min="5630" max="5630" width="19.1796875" customWidth="1"/>
    <col min="5631" max="5631" width="17.54296875" customWidth="1"/>
    <col min="5632" max="5632" width="14" customWidth="1"/>
    <col min="5633" max="5633" width="18.26953125" bestFit="1" customWidth="1"/>
    <col min="5634" max="5634" width="8.81640625"/>
    <col min="5635" max="5635" width="12.26953125" bestFit="1" customWidth="1"/>
    <col min="5636" max="5636" width="16.54296875" bestFit="1" customWidth="1"/>
    <col min="5637" max="5637" width="19.1796875" bestFit="1" customWidth="1"/>
    <col min="5638" max="5638" width="17.54296875" bestFit="1" customWidth="1"/>
    <col min="5639" max="5639" width="12.26953125" bestFit="1" customWidth="1"/>
    <col min="5640" max="5640" width="18.26953125" bestFit="1" customWidth="1"/>
    <col min="5641" max="5881" width="8.81640625"/>
    <col min="5882" max="5882" width="33.81640625" bestFit="1" customWidth="1"/>
    <col min="5883" max="5883" width="12.453125" customWidth="1"/>
    <col min="5884" max="5884" width="14" bestFit="1" customWidth="1"/>
    <col min="5885" max="5885" width="16.54296875" customWidth="1"/>
    <col min="5886" max="5886" width="19.1796875" customWidth="1"/>
    <col min="5887" max="5887" width="17.54296875" customWidth="1"/>
    <col min="5888" max="5888" width="14" customWidth="1"/>
    <col min="5889" max="5889" width="18.26953125" bestFit="1" customWidth="1"/>
    <col min="5890" max="5890" width="8.81640625"/>
    <col min="5891" max="5891" width="12.26953125" bestFit="1" customWidth="1"/>
    <col min="5892" max="5892" width="16.54296875" bestFit="1" customWidth="1"/>
    <col min="5893" max="5893" width="19.1796875" bestFit="1" customWidth="1"/>
    <col min="5894" max="5894" width="17.54296875" bestFit="1" customWidth="1"/>
    <col min="5895" max="5895" width="12.26953125" bestFit="1" customWidth="1"/>
    <col min="5896" max="5896" width="18.26953125" bestFit="1" customWidth="1"/>
    <col min="5897" max="6137" width="8.81640625"/>
    <col min="6138" max="6138" width="33.81640625" bestFit="1" customWidth="1"/>
    <col min="6139" max="6139" width="12.453125" customWidth="1"/>
    <col min="6140" max="6140" width="14" bestFit="1" customWidth="1"/>
    <col min="6141" max="6141" width="16.54296875" customWidth="1"/>
    <col min="6142" max="6142" width="19.1796875" customWidth="1"/>
    <col min="6143" max="6143" width="17.54296875" customWidth="1"/>
    <col min="6144" max="6144" width="14" customWidth="1"/>
    <col min="6145" max="6145" width="18.26953125" bestFit="1" customWidth="1"/>
    <col min="6146" max="6146" width="8.81640625"/>
    <col min="6147" max="6147" width="12.26953125" bestFit="1" customWidth="1"/>
    <col min="6148" max="6148" width="16.54296875" bestFit="1" customWidth="1"/>
    <col min="6149" max="6149" width="19.1796875" bestFit="1" customWidth="1"/>
    <col min="6150" max="6150" width="17.54296875" bestFit="1" customWidth="1"/>
    <col min="6151" max="6151" width="12.26953125" bestFit="1" customWidth="1"/>
    <col min="6152" max="6152" width="18.26953125" bestFit="1" customWidth="1"/>
    <col min="6153" max="6393" width="8.81640625"/>
    <col min="6394" max="6394" width="33.81640625" bestFit="1" customWidth="1"/>
    <col min="6395" max="6395" width="12.453125" customWidth="1"/>
    <col min="6396" max="6396" width="14" bestFit="1" customWidth="1"/>
    <col min="6397" max="6397" width="16.54296875" customWidth="1"/>
    <col min="6398" max="6398" width="19.1796875" customWidth="1"/>
    <col min="6399" max="6399" width="17.54296875" customWidth="1"/>
    <col min="6400" max="6400" width="14" customWidth="1"/>
    <col min="6401" max="6401" width="18.26953125" bestFit="1" customWidth="1"/>
    <col min="6402" max="6402" width="8.81640625"/>
    <col min="6403" max="6403" width="12.26953125" bestFit="1" customWidth="1"/>
    <col min="6404" max="6404" width="16.54296875" bestFit="1" customWidth="1"/>
    <col min="6405" max="6405" width="19.1796875" bestFit="1" customWidth="1"/>
    <col min="6406" max="6406" width="17.54296875" bestFit="1" customWidth="1"/>
    <col min="6407" max="6407" width="12.26953125" bestFit="1" customWidth="1"/>
    <col min="6408" max="6408" width="18.26953125" bestFit="1" customWidth="1"/>
    <col min="6409" max="6649" width="8.81640625"/>
    <col min="6650" max="6650" width="33.81640625" bestFit="1" customWidth="1"/>
    <col min="6651" max="6651" width="12.453125" customWidth="1"/>
    <col min="6652" max="6652" width="14" bestFit="1" customWidth="1"/>
    <col min="6653" max="6653" width="16.54296875" customWidth="1"/>
    <col min="6654" max="6654" width="19.1796875" customWidth="1"/>
    <col min="6655" max="6655" width="17.54296875" customWidth="1"/>
    <col min="6656" max="6656" width="14" customWidth="1"/>
    <col min="6657" max="6657" width="18.26953125" bestFit="1" customWidth="1"/>
    <col min="6658" max="6658" width="8.81640625"/>
    <col min="6659" max="6659" width="12.26953125" bestFit="1" customWidth="1"/>
    <col min="6660" max="6660" width="16.54296875" bestFit="1" customWidth="1"/>
    <col min="6661" max="6661" width="19.1796875" bestFit="1" customWidth="1"/>
    <col min="6662" max="6662" width="17.54296875" bestFit="1" customWidth="1"/>
    <col min="6663" max="6663" width="12.26953125" bestFit="1" customWidth="1"/>
    <col min="6664" max="6664" width="18.26953125" bestFit="1" customWidth="1"/>
    <col min="6665" max="6905" width="8.81640625"/>
    <col min="6906" max="6906" width="33.81640625" bestFit="1" customWidth="1"/>
    <col min="6907" max="6907" width="12.453125" customWidth="1"/>
    <col min="6908" max="6908" width="14" bestFit="1" customWidth="1"/>
    <col min="6909" max="6909" width="16.54296875" customWidth="1"/>
    <col min="6910" max="6910" width="19.1796875" customWidth="1"/>
    <col min="6911" max="6911" width="17.54296875" customWidth="1"/>
    <col min="6912" max="6912" width="14" customWidth="1"/>
    <col min="6913" max="6913" width="18.26953125" bestFit="1" customWidth="1"/>
    <col min="6914" max="6914" width="8.81640625"/>
    <col min="6915" max="6915" width="12.26953125" bestFit="1" customWidth="1"/>
    <col min="6916" max="6916" width="16.54296875" bestFit="1" customWidth="1"/>
    <col min="6917" max="6917" width="19.1796875" bestFit="1" customWidth="1"/>
    <col min="6918" max="6918" width="17.54296875" bestFit="1" customWidth="1"/>
    <col min="6919" max="6919" width="12.26953125" bestFit="1" customWidth="1"/>
    <col min="6920" max="6920" width="18.26953125" bestFit="1" customWidth="1"/>
    <col min="6921" max="7161" width="8.81640625"/>
    <col min="7162" max="7162" width="33.81640625" bestFit="1" customWidth="1"/>
    <col min="7163" max="7163" width="12.453125" customWidth="1"/>
    <col min="7164" max="7164" width="14" bestFit="1" customWidth="1"/>
    <col min="7165" max="7165" width="16.54296875" customWidth="1"/>
    <col min="7166" max="7166" width="19.1796875" customWidth="1"/>
    <col min="7167" max="7167" width="17.54296875" customWidth="1"/>
    <col min="7168" max="7168" width="14" customWidth="1"/>
    <col min="7169" max="7169" width="18.26953125" bestFit="1" customWidth="1"/>
    <col min="7170" max="7170" width="8.81640625"/>
    <col min="7171" max="7171" width="12.26953125" bestFit="1" customWidth="1"/>
    <col min="7172" max="7172" width="16.54296875" bestFit="1" customWidth="1"/>
    <col min="7173" max="7173" width="19.1796875" bestFit="1" customWidth="1"/>
    <col min="7174" max="7174" width="17.54296875" bestFit="1" customWidth="1"/>
    <col min="7175" max="7175" width="12.26953125" bestFit="1" customWidth="1"/>
    <col min="7176" max="7176" width="18.26953125" bestFit="1" customWidth="1"/>
    <col min="7177" max="7417" width="8.81640625"/>
    <col min="7418" max="7418" width="33.81640625" bestFit="1" customWidth="1"/>
    <col min="7419" max="7419" width="12.453125" customWidth="1"/>
    <col min="7420" max="7420" width="14" bestFit="1" customWidth="1"/>
    <col min="7421" max="7421" width="16.54296875" customWidth="1"/>
    <col min="7422" max="7422" width="19.1796875" customWidth="1"/>
    <col min="7423" max="7423" width="17.54296875" customWidth="1"/>
    <col min="7424" max="7424" width="14" customWidth="1"/>
    <col min="7425" max="7425" width="18.26953125" bestFit="1" customWidth="1"/>
    <col min="7426" max="7426" width="8.81640625"/>
    <col min="7427" max="7427" width="12.26953125" bestFit="1" customWidth="1"/>
    <col min="7428" max="7428" width="16.54296875" bestFit="1" customWidth="1"/>
    <col min="7429" max="7429" width="19.1796875" bestFit="1" customWidth="1"/>
    <col min="7430" max="7430" width="17.54296875" bestFit="1" customWidth="1"/>
    <col min="7431" max="7431" width="12.26953125" bestFit="1" customWidth="1"/>
    <col min="7432" max="7432" width="18.26953125" bestFit="1" customWidth="1"/>
    <col min="7433" max="7673" width="8.81640625"/>
    <col min="7674" max="7674" width="33.81640625" bestFit="1" customWidth="1"/>
    <col min="7675" max="7675" width="12.453125" customWidth="1"/>
    <col min="7676" max="7676" width="14" bestFit="1" customWidth="1"/>
    <col min="7677" max="7677" width="16.54296875" customWidth="1"/>
    <col min="7678" max="7678" width="19.1796875" customWidth="1"/>
    <col min="7679" max="7679" width="17.54296875" customWidth="1"/>
    <col min="7680" max="7680" width="14" customWidth="1"/>
    <col min="7681" max="7681" width="18.26953125" bestFit="1" customWidth="1"/>
    <col min="7682" max="7682" width="8.81640625"/>
    <col min="7683" max="7683" width="12.26953125" bestFit="1" customWidth="1"/>
    <col min="7684" max="7684" width="16.54296875" bestFit="1" customWidth="1"/>
    <col min="7685" max="7685" width="19.1796875" bestFit="1" customWidth="1"/>
    <col min="7686" max="7686" width="17.54296875" bestFit="1" customWidth="1"/>
    <col min="7687" max="7687" width="12.26953125" bestFit="1" customWidth="1"/>
    <col min="7688" max="7688" width="18.26953125" bestFit="1" customWidth="1"/>
    <col min="7689" max="7929" width="8.81640625"/>
    <col min="7930" max="7930" width="33.81640625" bestFit="1" customWidth="1"/>
    <col min="7931" max="7931" width="12.453125" customWidth="1"/>
    <col min="7932" max="7932" width="14" bestFit="1" customWidth="1"/>
    <col min="7933" max="7933" width="16.54296875" customWidth="1"/>
    <col min="7934" max="7934" width="19.1796875" customWidth="1"/>
    <col min="7935" max="7935" width="17.54296875" customWidth="1"/>
    <col min="7936" max="7936" width="14" customWidth="1"/>
    <col min="7937" max="7937" width="18.26953125" bestFit="1" customWidth="1"/>
    <col min="7938" max="7938" width="8.81640625"/>
    <col min="7939" max="7939" width="12.26953125" bestFit="1" customWidth="1"/>
    <col min="7940" max="7940" width="16.54296875" bestFit="1" customWidth="1"/>
    <col min="7941" max="7941" width="19.1796875" bestFit="1" customWidth="1"/>
    <col min="7942" max="7942" width="17.54296875" bestFit="1" customWidth="1"/>
    <col min="7943" max="7943" width="12.26953125" bestFit="1" customWidth="1"/>
    <col min="7944" max="7944" width="18.26953125" bestFit="1" customWidth="1"/>
    <col min="7945" max="8185" width="8.81640625"/>
    <col min="8186" max="8186" width="33.81640625" bestFit="1" customWidth="1"/>
    <col min="8187" max="8187" width="12.453125" customWidth="1"/>
    <col min="8188" max="8188" width="14" bestFit="1" customWidth="1"/>
    <col min="8189" max="8189" width="16.54296875" customWidth="1"/>
    <col min="8190" max="8190" width="19.1796875" customWidth="1"/>
    <col min="8191" max="8191" width="17.54296875" customWidth="1"/>
    <col min="8192" max="8192" width="14" customWidth="1"/>
    <col min="8193" max="8193" width="18.26953125" bestFit="1" customWidth="1"/>
    <col min="8194" max="8194" width="8.81640625"/>
    <col min="8195" max="8195" width="12.26953125" bestFit="1" customWidth="1"/>
    <col min="8196" max="8196" width="16.54296875" bestFit="1" customWidth="1"/>
    <col min="8197" max="8197" width="19.1796875" bestFit="1" customWidth="1"/>
    <col min="8198" max="8198" width="17.54296875" bestFit="1" customWidth="1"/>
    <col min="8199" max="8199" width="12.26953125" bestFit="1" customWidth="1"/>
    <col min="8200" max="8200" width="18.26953125" bestFit="1" customWidth="1"/>
    <col min="8201" max="8441" width="8.81640625"/>
    <col min="8442" max="8442" width="33.81640625" bestFit="1" customWidth="1"/>
    <col min="8443" max="8443" width="12.453125" customWidth="1"/>
    <col min="8444" max="8444" width="14" bestFit="1" customWidth="1"/>
    <col min="8445" max="8445" width="16.54296875" customWidth="1"/>
    <col min="8446" max="8446" width="19.1796875" customWidth="1"/>
    <col min="8447" max="8447" width="17.54296875" customWidth="1"/>
    <col min="8448" max="8448" width="14" customWidth="1"/>
    <col min="8449" max="8449" width="18.26953125" bestFit="1" customWidth="1"/>
    <col min="8450" max="8450" width="8.81640625"/>
    <col min="8451" max="8451" width="12.26953125" bestFit="1" customWidth="1"/>
    <col min="8452" max="8452" width="16.54296875" bestFit="1" customWidth="1"/>
    <col min="8453" max="8453" width="19.1796875" bestFit="1" customWidth="1"/>
    <col min="8454" max="8454" width="17.54296875" bestFit="1" customWidth="1"/>
    <col min="8455" max="8455" width="12.26953125" bestFit="1" customWidth="1"/>
    <col min="8456" max="8456" width="18.26953125" bestFit="1" customWidth="1"/>
    <col min="8457" max="8697" width="8.81640625"/>
    <col min="8698" max="8698" width="33.81640625" bestFit="1" customWidth="1"/>
    <col min="8699" max="8699" width="12.453125" customWidth="1"/>
    <col min="8700" max="8700" width="14" bestFit="1" customWidth="1"/>
    <col min="8701" max="8701" width="16.54296875" customWidth="1"/>
    <col min="8702" max="8702" width="19.1796875" customWidth="1"/>
    <col min="8703" max="8703" width="17.54296875" customWidth="1"/>
    <col min="8704" max="8704" width="14" customWidth="1"/>
    <col min="8705" max="8705" width="18.26953125" bestFit="1" customWidth="1"/>
    <col min="8706" max="8706" width="8.81640625"/>
    <col min="8707" max="8707" width="12.26953125" bestFit="1" customWidth="1"/>
    <col min="8708" max="8708" width="16.54296875" bestFit="1" customWidth="1"/>
    <col min="8709" max="8709" width="19.1796875" bestFit="1" customWidth="1"/>
    <col min="8710" max="8710" width="17.54296875" bestFit="1" customWidth="1"/>
    <col min="8711" max="8711" width="12.26953125" bestFit="1" customWidth="1"/>
    <col min="8712" max="8712" width="18.26953125" bestFit="1" customWidth="1"/>
    <col min="8713" max="8953" width="8.81640625"/>
    <col min="8954" max="8954" width="33.81640625" bestFit="1" customWidth="1"/>
    <col min="8955" max="8955" width="12.453125" customWidth="1"/>
    <col min="8956" max="8956" width="14" bestFit="1" customWidth="1"/>
    <col min="8957" max="8957" width="16.54296875" customWidth="1"/>
    <col min="8958" max="8958" width="19.1796875" customWidth="1"/>
    <col min="8959" max="8959" width="17.54296875" customWidth="1"/>
    <col min="8960" max="8960" width="14" customWidth="1"/>
    <col min="8961" max="8961" width="18.26953125" bestFit="1" customWidth="1"/>
    <col min="8962" max="8962" width="8.81640625"/>
    <col min="8963" max="8963" width="12.26953125" bestFit="1" customWidth="1"/>
    <col min="8964" max="8964" width="16.54296875" bestFit="1" customWidth="1"/>
    <col min="8965" max="8965" width="19.1796875" bestFit="1" customWidth="1"/>
    <col min="8966" max="8966" width="17.54296875" bestFit="1" customWidth="1"/>
    <col min="8967" max="8967" width="12.26953125" bestFit="1" customWidth="1"/>
    <col min="8968" max="8968" width="18.26953125" bestFit="1" customWidth="1"/>
    <col min="8969" max="9209" width="8.81640625"/>
    <col min="9210" max="9210" width="33.81640625" bestFit="1" customWidth="1"/>
    <col min="9211" max="9211" width="12.453125" customWidth="1"/>
    <col min="9212" max="9212" width="14" bestFit="1" customWidth="1"/>
    <col min="9213" max="9213" width="16.54296875" customWidth="1"/>
    <col min="9214" max="9214" width="19.1796875" customWidth="1"/>
    <col min="9215" max="9215" width="17.54296875" customWidth="1"/>
    <col min="9216" max="9216" width="14" customWidth="1"/>
    <col min="9217" max="9217" width="18.26953125" bestFit="1" customWidth="1"/>
    <col min="9218" max="9218" width="8.81640625"/>
    <col min="9219" max="9219" width="12.26953125" bestFit="1" customWidth="1"/>
    <col min="9220" max="9220" width="16.54296875" bestFit="1" customWidth="1"/>
    <col min="9221" max="9221" width="19.1796875" bestFit="1" customWidth="1"/>
    <col min="9222" max="9222" width="17.54296875" bestFit="1" customWidth="1"/>
    <col min="9223" max="9223" width="12.26953125" bestFit="1" customWidth="1"/>
    <col min="9224" max="9224" width="18.26953125" bestFit="1" customWidth="1"/>
    <col min="9225" max="9465" width="8.81640625"/>
    <col min="9466" max="9466" width="33.81640625" bestFit="1" customWidth="1"/>
    <col min="9467" max="9467" width="12.453125" customWidth="1"/>
    <col min="9468" max="9468" width="14" bestFit="1" customWidth="1"/>
    <col min="9469" max="9469" width="16.54296875" customWidth="1"/>
    <col min="9470" max="9470" width="19.1796875" customWidth="1"/>
    <col min="9471" max="9471" width="17.54296875" customWidth="1"/>
    <col min="9472" max="9472" width="14" customWidth="1"/>
    <col min="9473" max="9473" width="18.26953125" bestFit="1" customWidth="1"/>
    <col min="9474" max="9474" width="8.81640625"/>
    <col min="9475" max="9475" width="12.26953125" bestFit="1" customWidth="1"/>
    <col min="9476" max="9476" width="16.54296875" bestFit="1" customWidth="1"/>
    <col min="9477" max="9477" width="19.1796875" bestFit="1" customWidth="1"/>
    <col min="9478" max="9478" width="17.54296875" bestFit="1" customWidth="1"/>
    <col min="9479" max="9479" width="12.26953125" bestFit="1" customWidth="1"/>
    <col min="9480" max="9480" width="18.26953125" bestFit="1" customWidth="1"/>
    <col min="9481" max="9721" width="8.81640625"/>
    <col min="9722" max="9722" width="33.81640625" bestFit="1" customWidth="1"/>
    <col min="9723" max="9723" width="12.453125" customWidth="1"/>
    <col min="9724" max="9724" width="14" bestFit="1" customWidth="1"/>
    <col min="9725" max="9725" width="16.54296875" customWidth="1"/>
    <col min="9726" max="9726" width="19.1796875" customWidth="1"/>
    <col min="9727" max="9727" width="17.54296875" customWidth="1"/>
    <col min="9728" max="9728" width="14" customWidth="1"/>
    <col min="9729" max="9729" width="18.26953125" bestFit="1" customWidth="1"/>
    <col min="9730" max="9730" width="8.81640625"/>
    <col min="9731" max="9731" width="12.26953125" bestFit="1" customWidth="1"/>
    <col min="9732" max="9732" width="16.54296875" bestFit="1" customWidth="1"/>
    <col min="9733" max="9733" width="19.1796875" bestFit="1" customWidth="1"/>
    <col min="9734" max="9734" width="17.54296875" bestFit="1" customWidth="1"/>
    <col min="9735" max="9735" width="12.26953125" bestFit="1" customWidth="1"/>
    <col min="9736" max="9736" width="18.26953125" bestFit="1" customWidth="1"/>
    <col min="9737" max="9977" width="8.81640625"/>
    <col min="9978" max="9978" width="33.81640625" bestFit="1" customWidth="1"/>
    <col min="9979" max="9979" width="12.453125" customWidth="1"/>
    <col min="9980" max="9980" width="14" bestFit="1" customWidth="1"/>
    <col min="9981" max="9981" width="16.54296875" customWidth="1"/>
    <col min="9982" max="9982" width="19.1796875" customWidth="1"/>
    <col min="9983" max="9983" width="17.54296875" customWidth="1"/>
    <col min="9984" max="9984" width="14" customWidth="1"/>
    <col min="9985" max="9985" width="18.26953125" bestFit="1" customWidth="1"/>
    <col min="9986" max="9986" width="8.81640625"/>
    <col min="9987" max="9987" width="12.26953125" bestFit="1" customWidth="1"/>
    <col min="9988" max="9988" width="16.54296875" bestFit="1" customWidth="1"/>
    <col min="9989" max="9989" width="19.1796875" bestFit="1" customWidth="1"/>
    <col min="9990" max="9990" width="17.54296875" bestFit="1" customWidth="1"/>
    <col min="9991" max="9991" width="12.26953125" bestFit="1" customWidth="1"/>
    <col min="9992" max="9992" width="18.26953125" bestFit="1" customWidth="1"/>
    <col min="9993" max="10233" width="8.81640625"/>
    <col min="10234" max="10234" width="33.81640625" bestFit="1" customWidth="1"/>
    <col min="10235" max="10235" width="12.453125" customWidth="1"/>
    <col min="10236" max="10236" width="14" bestFit="1" customWidth="1"/>
    <col min="10237" max="10237" width="16.54296875" customWidth="1"/>
    <col min="10238" max="10238" width="19.1796875" customWidth="1"/>
    <col min="10239" max="10239" width="17.54296875" customWidth="1"/>
    <col min="10240" max="10240" width="14" customWidth="1"/>
    <col min="10241" max="10241" width="18.26953125" bestFit="1" customWidth="1"/>
    <col min="10242" max="10242" width="8.81640625"/>
    <col min="10243" max="10243" width="12.26953125" bestFit="1" customWidth="1"/>
    <col min="10244" max="10244" width="16.54296875" bestFit="1" customWidth="1"/>
    <col min="10245" max="10245" width="19.1796875" bestFit="1" customWidth="1"/>
    <col min="10246" max="10246" width="17.54296875" bestFit="1" customWidth="1"/>
    <col min="10247" max="10247" width="12.26953125" bestFit="1" customWidth="1"/>
    <col min="10248" max="10248" width="18.26953125" bestFit="1" customWidth="1"/>
    <col min="10249" max="10489" width="8.81640625"/>
    <col min="10490" max="10490" width="33.81640625" bestFit="1" customWidth="1"/>
    <col min="10491" max="10491" width="12.453125" customWidth="1"/>
    <col min="10492" max="10492" width="14" bestFit="1" customWidth="1"/>
    <col min="10493" max="10493" width="16.54296875" customWidth="1"/>
    <col min="10494" max="10494" width="19.1796875" customWidth="1"/>
    <col min="10495" max="10495" width="17.54296875" customWidth="1"/>
    <col min="10496" max="10496" width="14" customWidth="1"/>
    <col min="10497" max="10497" width="18.26953125" bestFit="1" customWidth="1"/>
    <col min="10498" max="10498" width="8.81640625"/>
    <col min="10499" max="10499" width="12.26953125" bestFit="1" customWidth="1"/>
    <col min="10500" max="10500" width="16.54296875" bestFit="1" customWidth="1"/>
    <col min="10501" max="10501" width="19.1796875" bestFit="1" customWidth="1"/>
    <col min="10502" max="10502" width="17.54296875" bestFit="1" customWidth="1"/>
    <col min="10503" max="10503" width="12.26953125" bestFit="1" customWidth="1"/>
    <col min="10504" max="10504" width="18.26953125" bestFit="1" customWidth="1"/>
    <col min="10505" max="10745" width="8.81640625"/>
    <col min="10746" max="10746" width="33.81640625" bestFit="1" customWidth="1"/>
    <col min="10747" max="10747" width="12.453125" customWidth="1"/>
    <col min="10748" max="10748" width="14" bestFit="1" customWidth="1"/>
    <col min="10749" max="10749" width="16.54296875" customWidth="1"/>
    <col min="10750" max="10750" width="19.1796875" customWidth="1"/>
    <col min="10751" max="10751" width="17.54296875" customWidth="1"/>
    <col min="10752" max="10752" width="14" customWidth="1"/>
    <col min="10753" max="10753" width="18.26953125" bestFit="1" customWidth="1"/>
    <col min="10754" max="10754" width="8.81640625"/>
    <col min="10755" max="10755" width="12.26953125" bestFit="1" customWidth="1"/>
    <col min="10756" max="10756" width="16.54296875" bestFit="1" customWidth="1"/>
    <col min="10757" max="10757" width="19.1796875" bestFit="1" customWidth="1"/>
    <col min="10758" max="10758" width="17.54296875" bestFit="1" customWidth="1"/>
    <col min="10759" max="10759" width="12.26953125" bestFit="1" customWidth="1"/>
    <col min="10760" max="10760" width="18.26953125" bestFit="1" customWidth="1"/>
    <col min="10761" max="11001" width="8.81640625"/>
    <col min="11002" max="11002" width="33.81640625" bestFit="1" customWidth="1"/>
    <col min="11003" max="11003" width="12.453125" customWidth="1"/>
    <col min="11004" max="11004" width="14" bestFit="1" customWidth="1"/>
    <col min="11005" max="11005" width="16.54296875" customWidth="1"/>
    <col min="11006" max="11006" width="19.1796875" customWidth="1"/>
    <col min="11007" max="11007" width="17.54296875" customWidth="1"/>
    <col min="11008" max="11008" width="14" customWidth="1"/>
    <col min="11009" max="11009" width="18.26953125" bestFit="1" customWidth="1"/>
    <col min="11010" max="11010" width="8.81640625"/>
    <col min="11011" max="11011" width="12.26953125" bestFit="1" customWidth="1"/>
    <col min="11012" max="11012" width="16.54296875" bestFit="1" customWidth="1"/>
    <col min="11013" max="11013" width="19.1796875" bestFit="1" customWidth="1"/>
    <col min="11014" max="11014" width="17.54296875" bestFit="1" customWidth="1"/>
    <col min="11015" max="11015" width="12.26953125" bestFit="1" customWidth="1"/>
    <col min="11016" max="11016" width="18.26953125" bestFit="1" customWidth="1"/>
    <col min="11017" max="11257" width="8.81640625"/>
    <col min="11258" max="11258" width="33.81640625" bestFit="1" customWidth="1"/>
    <col min="11259" max="11259" width="12.453125" customWidth="1"/>
    <col min="11260" max="11260" width="14" bestFit="1" customWidth="1"/>
    <col min="11261" max="11261" width="16.54296875" customWidth="1"/>
    <col min="11262" max="11262" width="19.1796875" customWidth="1"/>
    <col min="11263" max="11263" width="17.54296875" customWidth="1"/>
    <col min="11264" max="11264" width="14" customWidth="1"/>
    <col min="11265" max="11265" width="18.26953125" bestFit="1" customWidth="1"/>
    <col min="11266" max="11266" width="8.81640625"/>
    <col min="11267" max="11267" width="12.26953125" bestFit="1" customWidth="1"/>
    <col min="11268" max="11268" width="16.54296875" bestFit="1" customWidth="1"/>
    <col min="11269" max="11269" width="19.1796875" bestFit="1" customWidth="1"/>
    <col min="11270" max="11270" width="17.54296875" bestFit="1" customWidth="1"/>
    <col min="11271" max="11271" width="12.26953125" bestFit="1" customWidth="1"/>
    <col min="11272" max="11272" width="18.26953125" bestFit="1" customWidth="1"/>
    <col min="11273" max="11513" width="8.81640625"/>
    <col min="11514" max="11514" width="33.81640625" bestFit="1" customWidth="1"/>
    <col min="11515" max="11515" width="12.453125" customWidth="1"/>
    <col min="11516" max="11516" width="14" bestFit="1" customWidth="1"/>
    <col min="11517" max="11517" width="16.54296875" customWidth="1"/>
    <col min="11518" max="11518" width="19.1796875" customWidth="1"/>
    <col min="11519" max="11519" width="17.54296875" customWidth="1"/>
    <col min="11520" max="11520" width="14" customWidth="1"/>
    <col min="11521" max="11521" width="18.26953125" bestFit="1" customWidth="1"/>
    <col min="11522" max="11522" width="8.81640625"/>
    <col min="11523" max="11523" width="12.26953125" bestFit="1" customWidth="1"/>
    <col min="11524" max="11524" width="16.54296875" bestFit="1" customWidth="1"/>
    <col min="11525" max="11525" width="19.1796875" bestFit="1" customWidth="1"/>
    <col min="11526" max="11526" width="17.54296875" bestFit="1" customWidth="1"/>
    <col min="11527" max="11527" width="12.26953125" bestFit="1" customWidth="1"/>
    <col min="11528" max="11528" width="18.26953125" bestFit="1" customWidth="1"/>
    <col min="11529" max="11769" width="8.81640625"/>
    <col min="11770" max="11770" width="33.81640625" bestFit="1" customWidth="1"/>
    <col min="11771" max="11771" width="12.453125" customWidth="1"/>
    <col min="11772" max="11772" width="14" bestFit="1" customWidth="1"/>
    <col min="11773" max="11773" width="16.54296875" customWidth="1"/>
    <col min="11774" max="11774" width="19.1796875" customWidth="1"/>
    <col min="11775" max="11775" width="17.54296875" customWidth="1"/>
    <col min="11776" max="11776" width="14" customWidth="1"/>
    <col min="11777" max="11777" width="18.26953125" bestFit="1" customWidth="1"/>
    <col min="11778" max="11778" width="8.81640625"/>
    <col min="11779" max="11779" width="12.26953125" bestFit="1" customWidth="1"/>
    <col min="11780" max="11780" width="16.54296875" bestFit="1" customWidth="1"/>
    <col min="11781" max="11781" width="19.1796875" bestFit="1" customWidth="1"/>
    <col min="11782" max="11782" width="17.54296875" bestFit="1" customWidth="1"/>
    <col min="11783" max="11783" width="12.26953125" bestFit="1" customWidth="1"/>
    <col min="11784" max="11784" width="18.26953125" bestFit="1" customWidth="1"/>
    <col min="11785" max="12025" width="8.81640625"/>
    <col min="12026" max="12026" width="33.81640625" bestFit="1" customWidth="1"/>
    <col min="12027" max="12027" width="12.453125" customWidth="1"/>
    <col min="12028" max="12028" width="14" bestFit="1" customWidth="1"/>
    <col min="12029" max="12029" width="16.54296875" customWidth="1"/>
    <col min="12030" max="12030" width="19.1796875" customWidth="1"/>
    <col min="12031" max="12031" width="17.54296875" customWidth="1"/>
    <col min="12032" max="12032" width="14" customWidth="1"/>
    <col min="12033" max="12033" width="18.26953125" bestFit="1" customWidth="1"/>
    <col min="12034" max="12034" width="8.81640625"/>
    <col min="12035" max="12035" width="12.26953125" bestFit="1" customWidth="1"/>
    <col min="12036" max="12036" width="16.54296875" bestFit="1" customWidth="1"/>
    <col min="12037" max="12037" width="19.1796875" bestFit="1" customWidth="1"/>
    <col min="12038" max="12038" width="17.54296875" bestFit="1" customWidth="1"/>
    <col min="12039" max="12039" width="12.26953125" bestFit="1" customWidth="1"/>
    <col min="12040" max="12040" width="18.26953125" bestFit="1" customWidth="1"/>
    <col min="12041" max="12281" width="8.81640625"/>
    <col min="12282" max="12282" width="33.81640625" bestFit="1" customWidth="1"/>
    <col min="12283" max="12283" width="12.453125" customWidth="1"/>
    <col min="12284" max="12284" width="14" bestFit="1" customWidth="1"/>
    <col min="12285" max="12285" width="16.54296875" customWidth="1"/>
    <col min="12286" max="12286" width="19.1796875" customWidth="1"/>
    <col min="12287" max="12287" width="17.54296875" customWidth="1"/>
    <col min="12288" max="12288" width="14" customWidth="1"/>
    <col min="12289" max="12289" width="18.26953125" bestFit="1" customWidth="1"/>
    <col min="12290" max="12290" width="8.81640625"/>
    <col min="12291" max="12291" width="12.26953125" bestFit="1" customWidth="1"/>
    <col min="12292" max="12292" width="16.54296875" bestFit="1" customWidth="1"/>
    <col min="12293" max="12293" width="19.1796875" bestFit="1" customWidth="1"/>
    <col min="12294" max="12294" width="17.54296875" bestFit="1" customWidth="1"/>
    <col min="12295" max="12295" width="12.26953125" bestFit="1" customWidth="1"/>
    <col min="12296" max="12296" width="18.26953125" bestFit="1" customWidth="1"/>
    <col min="12297" max="12537" width="8.81640625"/>
    <col min="12538" max="12538" width="33.81640625" bestFit="1" customWidth="1"/>
    <col min="12539" max="12539" width="12.453125" customWidth="1"/>
    <col min="12540" max="12540" width="14" bestFit="1" customWidth="1"/>
    <col min="12541" max="12541" width="16.54296875" customWidth="1"/>
    <col min="12542" max="12542" width="19.1796875" customWidth="1"/>
    <col min="12543" max="12543" width="17.54296875" customWidth="1"/>
    <col min="12544" max="12544" width="14" customWidth="1"/>
    <col min="12545" max="12545" width="18.26953125" bestFit="1" customWidth="1"/>
    <col min="12546" max="12546" width="8.81640625"/>
    <col min="12547" max="12547" width="12.26953125" bestFit="1" customWidth="1"/>
    <col min="12548" max="12548" width="16.54296875" bestFit="1" customWidth="1"/>
    <col min="12549" max="12549" width="19.1796875" bestFit="1" customWidth="1"/>
    <col min="12550" max="12550" width="17.54296875" bestFit="1" customWidth="1"/>
    <col min="12551" max="12551" width="12.26953125" bestFit="1" customWidth="1"/>
    <col min="12552" max="12552" width="18.26953125" bestFit="1" customWidth="1"/>
    <col min="12553" max="12793" width="8.81640625"/>
    <col min="12794" max="12794" width="33.81640625" bestFit="1" customWidth="1"/>
    <col min="12795" max="12795" width="12.453125" customWidth="1"/>
    <col min="12796" max="12796" width="14" bestFit="1" customWidth="1"/>
    <col min="12797" max="12797" width="16.54296875" customWidth="1"/>
    <col min="12798" max="12798" width="19.1796875" customWidth="1"/>
    <col min="12799" max="12799" width="17.54296875" customWidth="1"/>
    <col min="12800" max="12800" width="14" customWidth="1"/>
    <col min="12801" max="12801" width="18.26953125" bestFit="1" customWidth="1"/>
    <col min="12802" max="12802" width="8.81640625"/>
    <col min="12803" max="12803" width="12.26953125" bestFit="1" customWidth="1"/>
    <col min="12804" max="12804" width="16.54296875" bestFit="1" customWidth="1"/>
    <col min="12805" max="12805" width="19.1796875" bestFit="1" customWidth="1"/>
    <col min="12806" max="12806" width="17.54296875" bestFit="1" customWidth="1"/>
    <col min="12807" max="12807" width="12.26953125" bestFit="1" customWidth="1"/>
    <col min="12808" max="12808" width="18.26953125" bestFit="1" customWidth="1"/>
    <col min="12809" max="13049" width="8.81640625"/>
    <col min="13050" max="13050" width="33.81640625" bestFit="1" customWidth="1"/>
    <col min="13051" max="13051" width="12.453125" customWidth="1"/>
    <col min="13052" max="13052" width="14" bestFit="1" customWidth="1"/>
    <col min="13053" max="13053" width="16.54296875" customWidth="1"/>
    <col min="13054" max="13054" width="19.1796875" customWidth="1"/>
    <col min="13055" max="13055" width="17.54296875" customWidth="1"/>
    <col min="13056" max="13056" width="14" customWidth="1"/>
    <col min="13057" max="13057" width="18.26953125" bestFit="1" customWidth="1"/>
    <col min="13058" max="13058" width="8.81640625"/>
    <col min="13059" max="13059" width="12.26953125" bestFit="1" customWidth="1"/>
    <col min="13060" max="13060" width="16.54296875" bestFit="1" customWidth="1"/>
    <col min="13061" max="13061" width="19.1796875" bestFit="1" customWidth="1"/>
    <col min="13062" max="13062" width="17.54296875" bestFit="1" customWidth="1"/>
    <col min="13063" max="13063" width="12.26953125" bestFit="1" customWidth="1"/>
    <col min="13064" max="13064" width="18.26953125" bestFit="1" customWidth="1"/>
    <col min="13065" max="13305" width="8.81640625"/>
    <col min="13306" max="13306" width="33.81640625" bestFit="1" customWidth="1"/>
    <col min="13307" max="13307" width="12.453125" customWidth="1"/>
    <col min="13308" max="13308" width="14" bestFit="1" customWidth="1"/>
    <col min="13309" max="13309" width="16.54296875" customWidth="1"/>
    <col min="13310" max="13310" width="19.1796875" customWidth="1"/>
    <col min="13311" max="13311" width="17.54296875" customWidth="1"/>
    <col min="13312" max="13312" width="14" customWidth="1"/>
    <col min="13313" max="13313" width="18.26953125" bestFit="1" customWidth="1"/>
    <col min="13314" max="13314" width="8.81640625"/>
    <col min="13315" max="13315" width="12.26953125" bestFit="1" customWidth="1"/>
    <col min="13316" max="13316" width="16.54296875" bestFit="1" customWidth="1"/>
    <col min="13317" max="13317" width="19.1796875" bestFit="1" customWidth="1"/>
    <col min="13318" max="13318" width="17.54296875" bestFit="1" customWidth="1"/>
    <col min="13319" max="13319" width="12.26953125" bestFit="1" customWidth="1"/>
    <col min="13320" max="13320" width="18.26953125" bestFit="1" customWidth="1"/>
    <col min="13321" max="13561" width="8.81640625"/>
    <col min="13562" max="13562" width="33.81640625" bestFit="1" customWidth="1"/>
    <col min="13563" max="13563" width="12.453125" customWidth="1"/>
    <col min="13564" max="13564" width="14" bestFit="1" customWidth="1"/>
    <col min="13565" max="13565" width="16.54296875" customWidth="1"/>
    <col min="13566" max="13566" width="19.1796875" customWidth="1"/>
    <col min="13567" max="13567" width="17.54296875" customWidth="1"/>
    <col min="13568" max="13568" width="14" customWidth="1"/>
    <col min="13569" max="13569" width="18.26953125" bestFit="1" customWidth="1"/>
    <col min="13570" max="13570" width="8.81640625"/>
    <col min="13571" max="13571" width="12.26953125" bestFit="1" customWidth="1"/>
    <col min="13572" max="13572" width="16.54296875" bestFit="1" customWidth="1"/>
    <col min="13573" max="13573" width="19.1796875" bestFit="1" customWidth="1"/>
    <col min="13574" max="13574" width="17.54296875" bestFit="1" customWidth="1"/>
    <col min="13575" max="13575" width="12.26953125" bestFit="1" customWidth="1"/>
    <col min="13576" max="13576" width="18.26953125" bestFit="1" customWidth="1"/>
    <col min="13577" max="13817" width="8.81640625"/>
    <col min="13818" max="13818" width="33.81640625" bestFit="1" customWidth="1"/>
    <col min="13819" max="13819" width="12.453125" customWidth="1"/>
    <col min="13820" max="13820" width="14" bestFit="1" customWidth="1"/>
    <col min="13821" max="13821" width="16.54296875" customWidth="1"/>
    <col min="13822" max="13822" width="19.1796875" customWidth="1"/>
    <col min="13823" max="13823" width="17.54296875" customWidth="1"/>
    <col min="13824" max="13824" width="14" customWidth="1"/>
    <col min="13825" max="13825" width="18.26953125" bestFit="1" customWidth="1"/>
    <col min="13826" max="13826" width="8.81640625"/>
    <col min="13827" max="13827" width="12.26953125" bestFit="1" customWidth="1"/>
    <col min="13828" max="13828" width="16.54296875" bestFit="1" customWidth="1"/>
    <col min="13829" max="13829" width="19.1796875" bestFit="1" customWidth="1"/>
    <col min="13830" max="13830" width="17.54296875" bestFit="1" customWidth="1"/>
    <col min="13831" max="13831" width="12.26953125" bestFit="1" customWidth="1"/>
    <col min="13832" max="13832" width="18.26953125" bestFit="1" customWidth="1"/>
    <col min="13833" max="14073" width="8.81640625"/>
    <col min="14074" max="14074" width="33.81640625" bestFit="1" customWidth="1"/>
    <col min="14075" max="14075" width="12.453125" customWidth="1"/>
    <col min="14076" max="14076" width="14" bestFit="1" customWidth="1"/>
    <col min="14077" max="14077" width="16.54296875" customWidth="1"/>
    <col min="14078" max="14078" width="19.1796875" customWidth="1"/>
    <col min="14079" max="14079" width="17.54296875" customWidth="1"/>
    <col min="14080" max="14080" width="14" customWidth="1"/>
    <col min="14081" max="14081" width="18.26953125" bestFit="1" customWidth="1"/>
    <col min="14082" max="14082" width="8.81640625"/>
    <col min="14083" max="14083" width="12.26953125" bestFit="1" customWidth="1"/>
    <col min="14084" max="14084" width="16.54296875" bestFit="1" customWidth="1"/>
    <col min="14085" max="14085" width="19.1796875" bestFit="1" customWidth="1"/>
    <col min="14086" max="14086" width="17.54296875" bestFit="1" customWidth="1"/>
    <col min="14087" max="14087" width="12.26953125" bestFit="1" customWidth="1"/>
    <col min="14088" max="14088" width="18.26953125" bestFit="1" customWidth="1"/>
    <col min="14089" max="14329" width="8.81640625"/>
    <col min="14330" max="14330" width="33.81640625" bestFit="1" customWidth="1"/>
    <col min="14331" max="14331" width="12.453125" customWidth="1"/>
    <col min="14332" max="14332" width="14" bestFit="1" customWidth="1"/>
    <col min="14333" max="14333" width="16.54296875" customWidth="1"/>
    <col min="14334" max="14334" width="19.1796875" customWidth="1"/>
    <col min="14335" max="14335" width="17.54296875" customWidth="1"/>
    <col min="14336" max="14336" width="14" customWidth="1"/>
    <col min="14337" max="14337" width="18.26953125" bestFit="1" customWidth="1"/>
    <col min="14338" max="14338" width="8.81640625"/>
    <col min="14339" max="14339" width="12.26953125" bestFit="1" customWidth="1"/>
    <col min="14340" max="14340" width="16.54296875" bestFit="1" customWidth="1"/>
    <col min="14341" max="14341" width="19.1796875" bestFit="1" customWidth="1"/>
    <col min="14342" max="14342" width="17.54296875" bestFit="1" customWidth="1"/>
    <col min="14343" max="14343" width="12.26953125" bestFit="1" customWidth="1"/>
    <col min="14344" max="14344" width="18.26953125" bestFit="1" customWidth="1"/>
    <col min="14345" max="14585" width="8.81640625"/>
    <col min="14586" max="14586" width="33.81640625" bestFit="1" customWidth="1"/>
    <col min="14587" max="14587" width="12.453125" customWidth="1"/>
    <col min="14588" max="14588" width="14" bestFit="1" customWidth="1"/>
    <col min="14589" max="14589" width="16.54296875" customWidth="1"/>
    <col min="14590" max="14590" width="19.1796875" customWidth="1"/>
    <col min="14591" max="14591" width="17.54296875" customWidth="1"/>
    <col min="14592" max="14592" width="14" customWidth="1"/>
    <col min="14593" max="14593" width="18.26953125" bestFit="1" customWidth="1"/>
    <col min="14594" max="14594" width="8.81640625"/>
    <col min="14595" max="14595" width="12.26953125" bestFit="1" customWidth="1"/>
    <col min="14596" max="14596" width="16.54296875" bestFit="1" customWidth="1"/>
    <col min="14597" max="14597" width="19.1796875" bestFit="1" customWidth="1"/>
    <col min="14598" max="14598" width="17.54296875" bestFit="1" customWidth="1"/>
    <col min="14599" max="14599" width="12.26953125" bestFit="1" customWidth="1"/>
    <col min="14600" max="14600" width="18.26953125" bestFit="1" customWidth="1"/>
    <col min="14601" max="14841" width="8.81640625"/>
    <col min="14842" max="14842" width="33.81640625" bestFit="1" customWidth="1"/>
    <col min="14843" max="14843" width="12.453125" customWidth="1"/>
    <col min="14844" max="14844" width="14" bestFit="1" customWidth="1"/>
    <col min="14845" max="14845" width="16.54296875" customWidth="1"/>
    <col min="14846" max="14846" width="19.1796875" customWidth="1"/>
    <col min="14847" max="14847" width="17.54296875" customWidth="1"/>
    <col min="14848" max="14848" width="14" customWidth="1"/>
    <col min="14849" max="14849" width="18.26953125" bestFit="1" customWidth="1"/>
    <col min="14850" max="14850" width="8.81640625"/>
    <col min="14851" max="14851" width="12.26953125" bestFit="1" customWidth="1"/>
    <col min="14852" max="14852" width="16.54296875" bestFit="1" customWidth="1"/>
    <col min="14853" max="14853" width="19.1796875" bestFit="1" customWidth="1"/>
    <col min="14854" max="14854" width="17.54296875" bestFit="1" customWidth="1"/>
    <col min="14855" max="14855" width="12.26953125" bestFit="1" customWidth="1"/>
    <col min="14856" max="14856" width="18.26953125" bestFit="1" customWidth="1"/>
    <col min="14857" max="15097" width="8.81640625"/>
    <col min="15098" max="15098" width="33.81640625" bestFit="1" customWidth="1"/>
    <col min="15099" max="15099" width="12.453125" customWidth="1"/>
    <col min="15100" max="15100" width="14" bestFit="1" customWidth="1"/>
    <col min="15101" max="15101" width="16.54296875" customWidth="1"/>
    <col min="15102" max="15102" width="19.1796875" customWidth="1"/>
    <col min="15103" max="15103" width="17.54296875" customWidth="1"/>
    <col min="15104" max="15104" width="14" customWidth="1"/>
    <col min="15105" max="15105" width="18.26953125" bestFit="1" customWidth="1"/>
    <col min="15106" max="15106" width="8.81640625"/>
    <col min="15107" max="15107" width="12.26953125" bestFit="1" customWidth="1"/>
    <col min="15108" max="15108" width="16.54296875" bestFit="1" customWidth="1"/>
    <col min="15109" max="15109" width="19.1796875" bestFit="1" customWidth="1"/>
    <col min="15110" max="15110" width="17.54296875" bestFit="1" customWidth="1"/>
    <col min="15111" max="15111" width="12.26953125" bestFit="1" customWidth="1"/>
    <col min="15112" max="15112" width="18.26953125" bestFit="1" customWidth="1"/>
    <col min="15113" max="15353" width="8.81640625"/>
    <col min="15354" max="15354" width="33.81640625" bestFit="1" customWidth="1"/>
    <col min="15355" max="15355" width="12.453125" customWidth="1"/>
    <col min="15356" max="15356" width="14" bestFit="1" customWidth="1"/>
    <col min="15357" max="15357" width="16.54296875" customWidth="1"/>
    <col min="15358" max="15358" width="19.1796875" customWidth="1"/>
    <col min="15359" max="15359" width="17.54296875" customWidth="1"/>
    <col min="15360" max="15360" width="14" customWidth="1"/>
    <col min="15361" max="15361" width="18.26953125" bestFit="1" customWidth="1"/>
    <col min="15362" max="15362" width="8.81640625"/>
    <col min="15363" max="15363" width="12.26953125" bestFit="1" customWidth="1"/>
    <col min="15364" max="15364" width="16.54296875" bestFit="1" customWidth="1"/>
    <col min="15365" max="15365" width="19.1796875" bestFit="1" customWidth="1"/>
    <col min="15366" max="15366" width="17.54296875" bestFit="1" customWidth="1"/>
    <col min="15367" max="15367" width="12.26953125" bestFit="1" customWidth="1"/>
    <col min="15368" max="15368" width="18.26953125" bestFit="1" customWidth="1"/>
    <col min="15369" max="15609" width="8.81640625"/>
    <col min="15610" max="15610" width="33.81640625" bestFit="1" customWidth="1"/>
    <col min="15611" max="15611" width="12.453125" customWidth="1"/>
    <col min="15612" max="15612" width="14" bestFit="1" customWidth="1"/>
    <col min="15613" max="15613" width="16.54296875" customWidth="1"/>
    <col min="15614" max="15614" width="19.1796875" customWidth="1"/>
    <col min="15615" max="15615" width="17.54296875" customWidth="1"/>
    <col min="15616" max="15616" width="14" customWidth="1"/>
    <col min="15617" max="15617" width="18.26953125" bestFit="1" customWidth="1"/>
    <col min="15618" max="15618" width="8.81640625"/>
    <col min="15619" max="15619" width="12.26953125" bestFit="1" customWidth="1"/>
    <col min="15620" max="15620" width="16.54296875" bestFit="1" customWidth="1"/>
    <col min="15621" max="15621" width="19.1796875" bestFit="1" customWidth="1"/>
    <col min="15622" max="15622" width="17.54296875" bestFit="1" customWidth="1"/>
    <col min="15623" max="15623" width="12.26953125" bestFit="1" customWidth="1"/>
    <col min="15624" max="15624" width="18.26953125" bestFit="1" customWidth="1"/>
    <col min="15625" max="15865" width="8.81640625"/>
    <col min="15866" max="15866" width="33.81640625" bestFit="1" customWidth="1"/>
    <col min="15867" max="15867" width="12.453125" customWidth="1"/>
    <col min="15868" max="15868" width="14" bestFit="1" customWidth="1"/>
    <col min="15869" max="15869" width="16.54296875" customWidth="1"/>
    <col min="15870" max="15870" width="19.1796875" customWidth="1"/>
    <col min="15871" max="15871" width="17.54296875" customWidth="1"/>
    <col min="15872" max="15872" width="14" customWidth="1"/>
    <col min="15873" max="15873" width="18.26953125" bestFit="1" customWidth="1"/>
    <col min="15874" max="15874" width="8.81640625"/>
    <col min="15875" max="15875" width="12.26953125" bestFit="1" customWidth="1"/>
    <col min="15876" max="15876" width="16.54296875" bestFit="1" customWidth="1"/>
    <col min="15877" max="15877" width="19.1796875" bestFit="1" customWidth="1"/>
    <col min="15878" max="15878" width="17.54296875" bestFit="1" customWidth="1"/>
    <col min="15879" max="15879" width="12.26953125" bestFit="1" customWidth="1"/>
    <col min="15880" max="15880" width="18.26953125" bestFit="1" customWidth="1"/>
    <col min="15881" max="16121" width="8.81640625"/>
    <col min="16122" max="16122" width="33.81640625" bestFit="1" customWidth="1"/>
    <col min="16123" max="16123" width="12.453125" customWidth="1"/>
    <col min="16124" max="16124" width="14" bestFit="1" customWidth="1"/>
    <col min="16125" max="16125" width="16.54296875" customWidth="1"/>
    <col min="16126" max="16126" width="19.1796875" customWidth="1"/>
    <col min="16127" max="16127" width="17.54296875" customWidth="1"/>
    <col min="16128" max="16128" width="14" customWidth="1"/>
    <col min="16129" max="16129" width="18.26953125" bestFit="1" customWidth="1"/>
    <col min="16130" max="16130" width="8.81640625"/>
    <col min="16131" max="16131" width="12.26953125" bestFit="1" customWidth="1"/>
    <col min="16132" max="16132" width="16.54296875" bestFit="1" customWidth="1"/>
    <col min="16133" max="16133" width="19.1796875" bestFit="1" customWidth="1"/>
    <col min="16134" max="16134" width="17.54296875" bestFit="1" customWidth="1"/>
    <col min="16135" max="16135" width="12.26953125" bestFit="1" customWidth="1"/>
    <col min="16136" max="16136" width="18.26953125" bestFit="1" customWidth="1"/>
    <col min="16137" max="16384" width="8.81640625"/>
  </cols>
  <sheetData>
    <row r="1" spans="1:8" ht="15.5" x14ac:dyDescent="0.35">
      <c r="A1" s="59" t="s">
        <v>129</v>
      </c>
      <c r="B1" s="60"/>
      <c r="E1" s="109" t="s">
        <v>677</v>
      </c>
      <c r="H1" s="61" t="s">
        <v>130</v>
      </c>
    </row>
    <row r="3" spans="1:8" x14ac:dyDescent="0.25">
      <c r="A3" s="62"/>
      <c r="B3" s="63"/>
      <c r="C3" s="70" t="s">
        <v>131</v>
      </c>
      <c r="D3" s="63"/>
      <c r="E3" s="63"/>
      <c r="F3" s="63"/>
      <c r="G3" s="63"/>
      <c r="H3" s="64"/>
    </row>
    <row r="4" spans="1:8" ht="13" x14ac:dyDescent="0.3">
      <c r="A4" s="70" t="s">
        <v>123</v>
      </c>
      <c r="B4" s="71" t="s">
        <v>9</v>
      </c>
      <c r="C4" s="110" t="s">
        <v>132</v>
      </c>
      <c r="D4" s="111" t="s">
        <v>133</v>
      </c>
      <c r="E4" s="111" t="s">
        <v>134</v>
      </c>
      <c r="F4" s="111" t="s">
        <v>135</v>
      </c>
      <c r="G4" s="111" t="s">
        <v>136</v>
      </c>
      <c r="H4" s="112" t="s">
        <v>137</v>
      </c>
    </row>
    <row r="5" spans="1:8" x14ac:dyDescent="0.25">
      <c r="A5" s="62" t="s">
        <v>138</v>
      </c>
      <c r="B5" s="65">
        <v>30100</v>
      </c>
      <c r="C5" s="66">
        <v>12620.1</v>
      </c>
      <c r="D5" s="67">
        <v>0</v>
      </c>
      <c r="E5" s="67">
        <v>0</v>
      </c>
      <c r="F5" s="67">
        <v>0</v>
      </c>
      <c r="G5" s="67">
        <v>12620.1</v>
      </c>
      <c r="H5" s="68">
        <v>12620.100000000002</v>
      </c>
    </row>
    <row r="6" spans="1:8" x14ac:dyDescent="0.25">
      <c r="A6" s="62" t="s">
        <v>139</v>
      </c>
      <c r="B6" s="65">
        <v>30200</v>
      </c>
      <c r="C6" s="66">
        <v>0</v>
      </c>
      <c r="D6" s="67">
        <v>0</v>
      </c>
      <c r="E6" s="67">
        <v>0</v>
      </c>
      <c r="F6" s="67">
        <v>0</v>
      </c>
      <c r="G6" s="67">
        <v>0</v>
      </c>
      <c r="H6" s="68">
        <v>0</v>
      </c>
    </row>
    <row r="7" spans="1:8" x14ac:dyDescent="0.25">
      <c r="A7" s="62" t="s">
        <v>140</v>
      </c>
      <c r="B7" s="65">
        <v>30300</v>
      </c>
      <c r="C7" s="66">
        <v>815325.07000000007</v>
      </c>
      <c r="D7" s="67">
        <v>0</v>
      </c>
      <c r="E7" s="67">
        <v>0</v>
      </c>
      <c r="F7" s="67">
        <v>0</v>
      </c>
      <c r="G7" s="67">
        <v>815325.07000000007</v>
      </c>
      <c r="H7" s="68">
        <v>815325.07000000007</v>
      </c>
    </row>
    <row r="8" spans="1:8" x14ac:dyDescent="0.25">
      <c r="A8" s="62" t="s">
        <v>141</v>
      </c>
      <c r="B8" s="65">
        <v>30301</v>
      </c>
      <c r="C8" s="66">
        <v>27122220.820000008</v>
      </c>
      <c r="D8" s="67">
        <v>4449609.18</v>
      </c>
      <c r="E8" s="67">
        <v>-5854250.0299999993</v>
      </c>
      <c r="F8" s="67">
        <v>0</v>
      </c>
      <c r="G8" s="67">
        <v>25717579.970000006</v>
      </c>
      <c r="H8" s="68">
        <v>25440415.004615393</v>
      </c>
    </row>
    <row r="9" spans="1:8" x14ac:dyDescent="0.25">
      <c r="A9" s="62" t="s">
        <v>671</v>
      </c>
      <c r="B9" s="65">
        <v>30302</v>
      </c>
      <c r="C9" s="66">
        <v>0</v>
      </c>
      <c r="D9" s="67">
        <v>0</v>
      </c>
      <c r="E9" s="67">
        <v>0</v>
      </c>
      <c r="F9" s="67">
        <v>0</v>
      </c>
      <c r="G9" s="67">
        <v>0</v>
      </c>
      <c r="H9" s="68">
        <v>0</v>
      </c>
    </row>
    <row r="10" spans="1:8" x14ac:dyDescent="0.25">
      <c r="A10" s="62" t="s">
        <v>142</v>
      </c>
      <c r="B10" s="65">
        <v>37400</v>
      </c>
      <c r="C10" s="66">
        <v>6922116.1699999999</v>
      </c>
      <c r="D10" s="67">
        <v>7216782.5899999999</v>
      </c>
      <c r="E10" s="67">
        <v>0</v>
      </c>
      <c r="F10" s="67">
        <v>0</v>
      </c>
      <c r="G10" s="67">
        <v>14138898.759999998</v>
      </c>
      <c r="H10" s="68">
        <v>11760444.063076923</v>
      </c>
    </row>
    <row r="11" spans="1:8" x14ac:dyDescent="0.25">
      <c r="A11" s="62" t="s">
        <v>143</v>
      </c>
      <c r="B11" s="65">
        <v>37402</v>
      </c>
      <c r="C11" s="66">
        <v>1931350.5000000005</v>
      </c>
      <c r="D11" s="67">
        <v>905061.81</v>
      </c>
      <c r="E11" s="67">
        <v>0</v>
      </c>
      <c r="F11" s="67">
        <v>0</v>
      </c>
      <c r="G11" s="67">
        <v>2836412.3100000005</v>
      </c>
      <c r="H11" s="68">
        <v>2553263.1292307698</v>
      </c>
    </row>
    <row r="12" spans="1:8" x14ac:dyDescent="0.25">
      <c r="A12" s="62" t="s">
        <v>144</v>
      </c>
      <c r="B12" s="65">
        <v>37500</v>
      </c>
      <c r="C12" s="66">
        <v>18841525.760000002</v>
      </c>
      <c r="D12" s="67">
        <v>574457.27</v>
      </c>
      <c r="E12" s="67">
        <v>0</v>
      </c>
      <c r="F12" s="67">
        <v>0</v>
      </c>
      <c r="G12" s="67">
        <v>19415983.030000005</v>
      </c>
      <c r="H12" s="68">
        <v>19069773.423846159</v>
      </c>
    </row>
    <row r="13" spans="1:8" x14ac:dyDescent="0.25">
      <c r="A13" s="62" t="s">
        <v>145</v>
      </c>
      <c r="B13" s="65">
        <v>37600</v>
      </c>
      <c r="C13" s="66">
        <v>377052867.07999998</v>
      </c>
      <c r="D13" s="67">
        <v>10535828.5</v>
      </c>
      <c r="E13" s="67">
        <v>-2271521.1100000003</v>
      </c>
      <c r="F13" s="67">
        <v>0</v>
      </c>
      <c r="G13" s="67">
        <v>385317174.47000003</v>
      </c>
      <c r="H13" s="68">
        <v>380608539.56307685</v>
      </c>
    </row>
    <row r="14" spans="1:8" x14ac:dyDescent="0.25">
      <c r="A14" s="62" t="s">
        <v>146</v>
      </c>
      <c r="B14" s="65">
        <v>37602</v>
      </c>
      <c r="C14" s="66">
        <v>359055147.61999995</v>
      </c>
      <c r="D14" s="67">
        <v>42798083.230000004</v>
      </c>
      <c r="E14" s="67">
        <v>-543219.1</v>
      </c>
      <c r="F14" s="67">
        <v>0</v>
      </c>
      <c r="G14" s="67">
        <v>401310011.74999976</v>
      </c>
      <c r="H14" s="68">
        <v>379970342.66769218</v>
      </c>
    </row>
    <row r="15" spans="1:8" x14ac:dyDescent="0.25">
      <c r="A15" s="62" t="s">
        <v>147</v>
      </c>
      <c r="B15" s="65">
        <v>37800</v>
      </c>
      <c r="C15" s="66">
        <v>11408584.599999998</v>
      </c>
      <c r="D15" s="67">
        <v>1592632.83</v>
      </c>
      <c r="E15" s="67">
        <v>-76233.399999999994</v>
      </c>
      <c r="F15" s="67">
        <v>0</v>
      </c>
      <c r="G15" s="67">
        <v>12924984.029999999</v>
      </c>
      <c r="H15" s="68">
        <v>11897027.695384612</v>
      </c>
    </row>
    <row r="16" spans="1:8" x14ac:dyDescent="0.25">
      <c r="A16" s="62" t="s">
        <v>148</v>
      </c>
      <c r="B16" s="65">
        <v>37900</v>
      </c>
      <c r="C16" s="66">
        <v>32871597.739999998</v>
      </c>
      <c r="D16" s="67">
        <v>1720641.4900000002</v>
      </c>
      <c r="E16" s="67">
        <v>-6130.88</v>
      </c>
      <c r="F16" s="67">
        <v>0</v>
      </c>
      <c r="G16" s="67">
        <v>34586108.349999994</v>
      </c>
      <c r="H16" s="68">
        <v>33680795.40461538</v>
      </c>
    </row>
    <row r="17" spans="1:8" x14ac:dyDescent="0.25">
      <c r="A17" s="62" t="s">
        <v>149</v>
      </c>
      <c r="B17" s="65">
        <v>38000</v>
      </c>
      <c r="C17" s="66">
        <v>44850041.200000018</v>
      </c>
      <c r="D17" s="67">
        <v>1824234.0499999998</v>
      </c>
      <c r="E17" s="67">
        <v>-297928.00000000012</v>
      </c>
      <c r="F17" s="67">
        <v>0</v>
      </c>
      <c r="G17" s="67">
        <v>46376347.250000015</v>
      </c>
      <c r="H17" s="68">
        <v>45609493.510000028</v>
      </c>
    </row>
    <row r="18" spans="1:8" x14ac:dyDescent="0.25">
      <c r="A18" s="62" t="s">
        <v>150</v>
      </c>
      <c r="B18" s="65">
        <v>38002</v>
      </c>
      <c r="C18" s="66">
        <v>231188304.25999999</v>
      </c>
      <c r="D18" s="67">
        <v>16713523.239999995</v>
      </c>
      <c r="E18" s="67">
        <v>-396791.63999999996</v>
      </c>
      <c r="F18" s="67">
        <v>0</v>
      </c>
      <c r="G18" s="67">
        <v>247505035.86000004</v>
      </c>
      <c r="H18" s="68">
        <v>238338682.69923076</v>
      </c>
    </row>
    <row r="19" spans="1:8" x14ac:dyDescent="0.25">
      <c r="A19" s="62" t="s">
        <v>151</v>
      </c>
      <c r="B19" s="65">
        <v>38100</v>
      </c>
      <c r="C19" s="66">
        <v>59751725.270000018</v>
      </c>
      <c r="D19" s="67">
        <v>4357357.1400000006</v>
      </c>
      <c r="E19" s="67">
        <v>-1076327.8500000001</v>
      </c>
      <c r="F19" s="67">
        <v>0</v>
      </c>
      <c r="G19" s="67">
        <v>63032754.560000017</v>
      </c>
      <c r="H19" s="68">
        <v>60891911.398461565</v>
      </c>
    </row>
    <row r="20" spans="1:8" x14ac:dyDescent="0.25">
      <c r="A20" s="62" t="s">
        <v>152</v>
      </c>
      <c r="B20" s="65">
        <v>38200</v>
      </c>
      <c r="C20" s="66">
        <v>47030785.100000001</v>
      </c>
      <c r="D20" s="67">
        <v>2463694.61</v>
      </c>
      <c r="E20" s="67">
        <v>-319302.69</v>
      </c>
      <c r="F20" s="67">
        <v>0</v>
      </c>
      <c r="G20" s="67">
        <v>49175177.020000011</v>
      </c>
      <c r="H20" s="68">
        <v>48090382.660769232</v>
      </c>
    </row>
    <row r="21" spans="1:8" x14ac:dyDescent="0.25">
      <c r="A21" s="62" t="s">
        <v>153</v>
      </c>
      <c r="B21" s="65">
        <v>38300</v>
      </c>
      <c r="C21" s="66">
        <v>14143687.020000003</v>
      </c>
      <c r="D21" s="67">
        <v>554220.32999999996</v>
      </c>
      <c r="E21" s="67">
        <v>-64582.04</v>
      </c>
      <c r="F21" s="67">
        <v>0</v>
      </c>
      <c r="G21" s="67">
        <v>14633325.310000002</v>
      </c>
      <c r="H21" s="68">
        <v>14369481.31692308</v>
      </c>
    </row>
    <row r="22" spans="1:8" x14ac:dyDescent="0.25">
      <c r="A22" s="62" t="s">
        <v>154</v>
      </c>
      <c r="B22" s="65">
        <v>38400</v>
      </c>
      <c r="C22" s="66">
        <v>19104104.869999997</v>
      </c>
      <c r="D22" s="67">
        <v>889418.10000000009</v>
      </c>
      <c r="E22" s="67">
        <v>-78463.209999999992</v>
      </c>
      <c r="F22" s="67">
        <v>0</v>
      </c>
      <c r="G22" s="67">
        <v>19915059.759999994</v>
      </c>
      <c r="H22" s="68">
        <v>19565214.914615382</v>
      </c>
    </row>
    <row r="23" spans="1:8" x14ac:dyDescent="0.25">
      <c r="A23" s="62" t="s">
        <v>155</v>
      </c>
      <c r="B23" s="65">
        <v>38500</v>
      </c>
      <c r="C23" s="66">
        <v>9112797.4399999995</v>
      </c>
      <c r="D23" s="67">
        <v>0</v>
      </c>
      <c r="E23" s="67">
        <v>-23703.08</v>
      </c>
      <c r="F23" s="67">
        <v>0</v>
      </c>
      <c r="G23" s="67">
        <v>9089094.3600000013</v>
      </c>
      <c r="H23" s="68">
        <v>9101800.7461538482</v>
      </c>
    </row>
    <row r="24" spans="1:8" x14ac:dyDescent="0.25">
      <c r="A24" s="62" t="s">
        <v>673</v>
      </c>
      <c r="B24" s="65">
        <v>38602</v>
      </c>
      <c r="C24" s="66">
        <v>0</v>
      </c>
      <c r="D24" s="67">
        <v>0</v>
      </c>
      <c r="E24" s="67">
        <v>0</v>
      </c>
      <c r="F24" s="67">
        <v>0</v>
      </c>
      <c r="G24" s="67">
        <v>0</v>
      </c>
      <c r="H24" s="68">
        <v>0</v>
      </c>
    </row>
    <row r="25" spans="1:8" x14ac:dyDescent="0.25">
      <c r="A25" s="62" t="s">
        <v>674</v>
      </c>
      <c r="B25" s="65">
        <v>38608</v>
      </c>
      <c r="C25" s="66">
        <v>0</v>
      </c>
      <c r="D25" s="67">
        <v>0</v>
      </c>
      <c r="E25" s="67">
        <v>0</v>
      </c>
      <c r="F25" s="67">
        <v>0</v>
      </c>
      <c r="G25" s="67">
        <v>0</v>
      </c>
      <c r="H25" s="68">
        <v>0</v>
      </c>
    </row>
    <row r="26" spans="1:8" x14ac:dyDescent="0.25">
      <c r="A26" s="62" t="s">
        <v>156</v>
      </c>
      <c r="B26" s="65">
        <v>38700</v>
      </c>
      <c r="C26" s="66">
        <v>5161566.5200000014</v>
      </c>
      <c r="D26" s="67">
        <v>727592.24000000011</v>
      </c>
      <c r="E26" s="67">
        <v>0</v>
      </c>
      <c r="F26" s="67">
        <v>0</v>
      </c>
      <c r="G26" s="67">
        <v>5889158.7599999998</v>
      </c>
      <c r="H26" s="68">
        <v>5599236.5023076925</v>
      </c>
    </row>
    <row r="27" spans="1:8" x14ac:dyDescent="0.25">
      <c r="A27" s="62" t="s">
        <v>157</v>
      </c>
      <c r="B27" s="65">
        <v>39000</v>
      </c>
      <c r="C27" s="66">
        <v>9582.32</v>
      </c>
      <c r="D27" s="67">
        <v>6208.5</v>
      </c>
      <c r="E27" s="67">
        <v>0</v>
      </c>
      <c r="F27" s="67">
        <v>0</v>
      </c>
      <c r="G27" s="67">
        <v>15790.82</v>
      </c>
      <c r="H27" s="68">
        <v>12146.454615384619</v>
      </c>
    </row>
    <row r="28" spans="1:8" x14ac:dyDescent="0.25">
      <c r="A28" s="62" t="s">
        <v>158</v>
      </c>
      <c r="B28" s="65">
        <v>39002</v>
      </c>
      <c r="C28" s="66">
        <v>121764.45</v>
      </c>
      <c r="D28" s="67">
        <v>12395.52</v>
      </c>
      <c r="E28" s="67">
        <v>0</v>
      </c>
      <c r="F28" s="67">
        <v>0</v>
      </c>
      <c r="G28" s="67">
        <v>134159.97</v>
      </c>
      <c r="H28" s="68">
        <v>123671.45307692308</v>
      </c>
    </row>
    <row r="29" spans="1:8" x14ac:dyDescent="0.25">
      <c r="A29" s="62" t="s">
        <v>159</v>
      </c>
      <c r="B29" s="65">
        <v>39100</v>
      </c>
      <c r="C29" s="66">
        <v>1953232.6099999999</v>
      </c>
      <c r="D29" s="67">
        <v>93011.23</v>
      </c>
      <c r="E29" s="67">
        <v>-576000</v>
      </c>
      <c r="F29" s="67">
        <v>0</v>
      </c>
      <c r="G29" s="67">
        <v>1470243.8399999999</v>
      </c>
      <c r="H29" s="68">
        <v>1514190.4046153845</v>
      </c>
    </row>
    <row r="30" spans="1:8" x14ac:dyDescent="0.25">
      <c r="A30" s="62" t="s">
        <v>160</v>
      </c>
      <c r="B30" s="65">
        <v>39101</v>
      </c>
      <c r="C30" s="66">
        <v>6029978.330000001</v>
      </c>
      <c r="D30" s="67">
        <v>197659.37</v>
      </c>
      <c r="E30" s="67">
        <v>-933953.06</v>
      </c>
      <c r="F30" s="67">
        <v>0</v>
      </c>
      <c r="G30" s="67">
        <v>5293684.6400000006</v>
      </c>
      <c r="H30" s="68">
        <v>5339441.7846153853</v>
      </c>
    </row>
    <row r="31" spans="1:8" x14ac:dyDescent="0.25">
      <c r="A31" s="62" t="s">
        <v>161</v>
      </c>
      <c r="B31" s="65">
        <v>39102</v>
      </c>
      <c r="C31" s="66">
        <v>842479.6399999999</v>
      </c>
      <c r="D31" s="67">
        <v>79596.460000000006</v>
      </c>
      <c r="E31" s="67">
        <v>0</v>
      </c>
      <c r="F31" s="67">
        <v>0</v>
      </c>
      <c r="G31" s="67">
        <v>922076.1</v>
      </c>
      <c r="H31" s="68">
        <v>865266.81230769213</v>
      </c>
    </row>
    <row r="32" spans="1:8" x14ac:dyDescent="0.25">
      <c r="A32" s="62" t="s">
        <v>162</v>
      </c>
      <c r="B32" s="65">
        <v>39103</v>
      </c>
      <c r="C32" s="66">
        <v>0</v>
      </c>
      <c r="D32" s="67">
        <v>0</v>
      </c>
      <c r="E32" s="67">
        <v>0</v>
      </c>
      <c r="F32" s="67">
        <v>0</v>
      </c>
      <c r="G32" s="67">
        <v>0</v>
      </c>
      <c r="H32" s="68">
        <v>0</v>
      </c>
    </row>
    <row r="33" spans="1:8" x14ac:dyDescent="0.25">
      <c r="A33" s="62" t="s">
        <v>163</v>
      </c>
      <c r="B33" s="65">
        <v>39201</v>
      </c>
      <c r="C33" s="66">
        <v>6939054.6799999988</v>
      </c>
      <c r="D33" s="67">
        <v>1344886.5100000002</v>
      </c>
      <c r="E33" s="67">
        <v>-248255.03</v>
      </c>
      <c r="F33" s="67">
        <v>0</v>
      </c>
      <c r="G33" s="67">
        <v>8035686.160000002</v>
      </c>
      <c r="H33" s="68">
        <v>7175736.7569230776</v>
      </c>
    </row>
    <row r="34" spans="1:8" x14ac:dyDescent="0.25">
      <c r="A34" s="62" t="s">
        <v>164</v>
      </c>
      <c r="B34" s="65">
        <v>39202</v>
      </c>
      <c r="C34" s="66">
        <v>6453704.6100000003</v>
      </c>
      <c r="D34" s="67">
        <v>541006.42999999993</v>
      </c>
      <c r="E34" s="67">
        <v>-425514.52999999997</v>
      </c>
      <c r="F34" s="67">
        <v>0</v>
      </c>
      <c r="G34" s="67">
        <v>6569196.5099999988</v>
      </c>
      <c r="H34" s="68">
        <v>6382656.0346153853</v>
      </c>
    </row>
    <row r="35" spans="1:8" x14ac:dyDescent="0.25">
      <c r="A35" s="62" t="s">
        <v>165</v>
      </c>
      <c r="B35" s="65">
        <v>39203</v>
      </c>
      <c r="C35" s="66">
        <v>0</v>
      </c>
      <c r="D35" s="67">
        <v>0</v>
      </c>
      <c r="E35" s="67">
        <v>0</v>
      </c>
      <c r="F35" s="67">
        <v>0</v>
      </c>
      <c r="G35" s="67">
        <v>0</v>
      </c>
      <c r="H35" s="68">
        <v>0</v>
      </c>
    </row>
    <row r="36" spans="1:8" x14ac:dyDescent="0.25">
      <c r="A36" s="62" t="s">
        <v>166</v>
      </c>
      <c r="B36" s="65">
        <v>39204</v>
      </c>
      <c r="C36" s="66">
        <v>1150047.78</v>
      </c>
      <c r="D36" s="67">
        <v>5738.84</v>
      </c>
      <c r="E36" s="67">
        <v>-2292.7399999999998</v>
      </c>
      <c r="F36" s="67">
        <v>0</v>
      </c>
      <c r="G36" s="67">
        <v>1153493.8800000001</v>
      </c>
      <c r="H36" s="68">
        <v>1150313.9400000002</v>
      </c>
    </row>
    <row r="37" spans="1:8" x14ac:dyDescent="0.25">
      <c r="A37" s="62" t="s">
        <v>167</v>
      </c>
      <c r="B37" s="65">
        <v>39205</v>
      </c>
      <c r="C37" s="66">
        <v>1229800.97</v>
      </c>
      <c r="D37" s="67">
        <v>572826.75000000012</v>
      </c>
      <c r="E37" s="67">
        <v>-32788.949999999997</v>
      </c>
      <c r="F37" s="67">
        <v>0</v>
      </c>
      <c r="G37" s="67">
        <v>1769838.7700000003</v>
      </c>
      <c r="H37" s="68">
        <v>1586771.5646153844</v>
      </c>
    </row>
    <row r="38" spans="1:8" x14ac:dyDescent="0.25">
      <c r="A38" s="62" t="s">
        <v>168</v>
      </c>
      <c r="B38" s="65">
        <v>39300</v>
      </c>
      <c r="C38" s="66">
        <v>0</v>
      </c>
      <c r="D38" s="67">
        <v>1283.3900000000001</v>
      </c>
      <c r="E38" s="67">
        <v>0</v>
      </c>
      <c r="F38" s="67">
        <v>0</v>
      </c>
      <c r="G38" s="67">
        <v>1283.3900000000001</v>
      </c>
      <c r="H38" s="68">
        <v>1184.6676923076923</v>
      </c>
    </row>
    <row r="39" spans="1:8" x14ac:dyDescent="0.25">
      <c r="A39" s="62" t="s">
        <v>169</v>
      </c>
      <c r="B39" s="65">
        <v>39400</v>
      </c>
      <c r="C39" s="66">
        <v>3703103.59</v>
      </c>
      <c r="D39" s="67">
        <v>2405996.5299999998</v>
      </c>
      <c r="E39" s="67">
        <v>-10941.39</v>
      </c>
      <c r="F39" s="67">
        <v>0</v>
      </c>
      <c r="G39" s="67">
        <v>6098158.7299999995</v>
      </c>
      <c r="H39" s="68">
        <v>5159588.306153846</v>
      </c>
    </row>
    <row r="40" spans="1:8" x14ac:dyDescent="0.25">
      <c r="A40" s="62" t="s">
        <v>666</v>
      </c>
      <c r="B40" s="65">
        <v>39401</v>
      </c>
      <c r="C40" s="66">
        <v>0</v>
      </c>
      <c r="D40" s="67">
        <v>7720.92</v>
      </c>
      <c r="E40" s="67">
        <v>0</v>
      </c>
      <c r="F40" s="67">
        <v>0</v>
      </c>
      <c r="G40" s="67">
        <v>7720.92</v>
      </c>
      <c r="H40" s="68">
        <v>7127.0030769230762</v>
      </c>
    </row>
    <row r="41" spans="1:8" x14ac:dyDescent="0.25">
      <c r="A41" s="62" t="s">
        <v>170</v>
      </c>
      <c r="B41" s="65">
        <v>39500</v>
      </c>
      <c r="C41" s="66">
        <v>0</v>
      </c>
      <c r="D41" s="67">
        <v>0</v>
      </c>
      <c r="E41" s="67">
        <v>0</v>
      </c>
      <c r="F41" s="67">
        <v>0</v>
      </c>
      <c r="G41" s="67">
        <v>0</v>
      </c>
      <c r="H41" s="68">
        <v>0</v>
      </c>
    </row>
    <row r="42" spans="1:8" x14ac:dyDescent="0.25">
      <c r="A42" s="62" t="s">
        <v>171</v>
      </c>
      <c r="B42" s="65">
        <v>39600</v>
      </c>
      <c r="C42" s="66">
        <v>2656740.21</v>
      </c>
      <c r="D42" s="67">
        <v>118928.18000000002</v>
      </c>
      <c r="E42" s="67">
        <v>0</v>
      </c>
      <c r="F42" s="67">
        <v>0</v>
      </c>
      <c r="G42" s="67">
        <v>2775668.39</v>
      </c>
      <c r="H42" s="68">
        <v>2694268.1569230761</v>
      </c>
    </row>
    <row r="43" spans="1:8" x14ac:dyDescent="0.25">
      <c r="A43" s="62" t="s">
        <v>172</v>
      </c>
      <c r="B43" s="65">
        <v>39700</v>
      </c>
      <c r="C43" s="66">
        <v>5024054.3400000008</v>
      </c>
      <c r="D43" s="67">
        <v>42035.16</v>
      </c>
      <c r="E43" s="67">
        <v>-224380.83999999997</v>
      </c>
      <c r="F43" s="67">
        <v>0</v>
      </c>
      <c r="G43" s="67">
        <v>4841708.66</v>
      </c>
      <c r="H43" s="68">
        <v>4847578.7784615392</v>
      </c>
    </row>
    <row r="44" spans="1:8" x14ac:dyDescent="0.25">
      <c r="A44" s="62" t="s">
        <v>173</v>
      </c>
      <c r="B44" s="65">
        <v>39800</v>
      </c>
      <c r="C44" s="66">
        <v>443145.93000000005</v>
      </c>
      <c r="D44" s="67">
        <v>45560.030000000006</v>
      </c>
      <c r="E44" s="67">
        <v>-20472.060000000001</v>
      </c>
      <c r="F44" s="67">
        <v>0</v>
      </c>
      <c r="G44" s="67">
        <v>468233.9</v>
      </c>
      <c r="H44" s="68">
        <v>444603.1761538462</v>
      </c>
    </row>
    <row r="45" spans="1:8" x14ac:dyDescent="0.25">
      <c r="A45" s="62" t="s">
        <v>676</v>
      </c>
      <c r="B45" s="65">
        <v>39900</v>
      </c>
      <c r="C45" s="66">
        <v>0</v>
      </c>
      <c r="D45" s="67">
        <v>0</v>
      </c>
      <c r="E45" s="67">
        <v>0</v>
      </c>
      <c r="F45" s="67">
        <v>0</v>
      </c>
      <c r="G45" s="67">
        <v>0</v>
      </c>
      <c r="H45" s="68">
        <v>0</v>
      </c>
    </row>
    <row r="46" spans="1:8" ht="13" x14ac:dyDescent="0.3">
      <c r="A46" s="113" t="s">
        <v>174</v>
      </c>
      <c r="B46" s="114"/>
      <c r="C46" s="115">
        <v>1302933056.5999997</v>
      </c>
      <c r="D46" s="116">
        <v>102797990.43000001</v>
      </c>
      <c r="E46" s="116">
        <v>-13483051.630000001</v>
      </c>
      <c r="F46" s="116">
        <v>0</v>
      </c>
      <c r="G46" s="116">
        <v>1392247995.4000001</v>
      </c>
      <c r="H46" s="117">
        <v>1344679295.1638458</v>
      </c>
    </row>
    <row r="52" spans="1:9" x14ac:dyDescent="0.25">
      <c r="A52" s="118" t="s">
        <v>176</v>
      </c>
      <c r="B52" s="1">
        <v>11501</v>
      </c>
      <c r="C52" s="94">
        <v>5031897.24</v>
      </c>
      <c r="D52" s="94">
        <v>0</v>
      </c>
      <c r="E52" s="94">
        <v>0</v>
      </c>
      <c r="F52" s="94">
        <v>0</v>
      </c>
      <c r="G52" s="94">
        <v>5031897.24</v>
      </c>
      <c r="H52" s="94">
        <v>5031897.2400000012</v>
      </c>
      <c r="I52" s="10">
        <v>0</v>
      </c>
    </row>
    <row r="53" spans="1:9" x14ac:dyDescent="0.25">
      <c r="I53" s="10"/>
    </row>
    <row r="54" spans="1:9" x14ac:dyDescent="0.25">
      <c r="A54" t="s">
        <v>175</v>
      </c>
      <c r="B54" s="1">
        <v>10500</v>
      </c>
      <c r="C54" s="94">
        <v>2984633.79</v>
      </c>
      <c r="D54" s="94">
        <v>-1045082.24</v>
      </c>
      <c r="E54" s="94">
        <v>0</v>
      </c>
      <c r="F54" s="94">
        <v>0</v>
      </c>
      <c r="G54" s="94">
        <v>1939551.5499999998</v>
      </c>
      <c r="H54" s="94">
        <v>2459955.4253846155</v>
      </c>
      <c r="I54" s="10">
        <v>0</v>
      </c>
    </row>
    <row r="55" spans="1:9" x14ac:dyDescent="0.25">
      <c r="I55" s="10"/>
    </row>
    <row r="57" spans="1:9" ht="13.5" thickBot="1" x14ac:dyDescent="0.35">
      <c r="A57" t="s">
        <v>177</v>
      </c>
      <c r="C57" s="69">
        <v>1310949587.6299996</v>
      </c>
      <c r="D57" s="69">
        <v>101752908.19000001</v>
      </c>
      <c r="E57" s="69">
        <v>-13483051.630000001</v>
      </c>
      <c r="F57" s="69">
        <v>0</v>
      </c>
      <c r="G57" s="69">
        <v>1399219444.1900001</v>
      </c>
      <c r="H57" s="69">
        <v>1352171147.8292303</v>
      </c>
      <c r="I57" s="10">
        <v>0</v>
      </c>
    </row>
    <row r="58" spans="1:9" ht="13" thickTop="1" x14ac:dyDescent="0.25">
      <c r="A58" s="25"/>
      <c r="B58" s="25"/>
      <c r="C58" s="25"/>
      <c r="D58" s="25"/>
      <c r="E58" s="25"/>
      <c r="F58" s="25"/>
      <c r="G58" s="25"/>
      <c r="H58" s="25"/>
    </row>
    <row r="59" spans="1:9" x14ac:dyDescent="0.25">
      <c r="B59" s="7" t="s">
        <v>178</v>
      </c>
      <c r="C59" s="94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</row>
    <row r="60" spans="1:9" x14ac:dyDescent="0.25">
      <c r="B60" s="7" t="s">
        <v>178</v>
      </c>
      <c r="C60" s="94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</row>
    <row r="61" spans="1:9" x14ac:dyDescent="0.25">
      <c r="D61" s="10"/>
    </row>
    <row r="62" spans="1:9" x14ac:dyDescent="0.25">
      <c r="C62" s="9">
        <v>1310949587.6300004</v>
      </c>
      <c r="D62" s="9">
        <v>101752908.19</v>
      </c>
      <c r="E62" s="9">
        <v>-13483051.629999999</v>
      </c>
      <c r="F62" s="9">
        <v>0</v>
      </c>
      <c r="G62" s="9">
        <v>1399219444.1900005</v>
      </c>
    </row>
    <row r="63" spans="1:9" x14ac:dyDescent="0.25">
      <c r="C63" s="10">
        <v>0</v>
      </c>
      <c r="D63" s="10">
        <v>0</v>
      </c>
      <c r="E63" s="10">
        <v>0</v>
      </c>
      <c r="F63" s="10">
        <v>0</v>
      </c>
      <c r="G63" s="10">
        <v>0</v>
      </c>
    </row>
  </sheetData>
  <phoneticPr fontId="0" type="noConversion"/>
  <printOptions horizontalCentered="1"/>
  <pageMargins left="0.75" right="0.75" top="1" bottom="1" header="0.5" footer="0.5"/>
  <pageSetup scale="67" orientation="landscape" r:id="rId1"/>
  <headerFooter alignWithMargins="0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5" ma:contentTypeDescription="Create a new document." ma:contentTypeScope="" ma:versionID="f035dac22cadacfe87112752328b214e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619e50145137097d3700925a0477279b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CE39CA2-41BE-46C2-B54A-82B5435FB6D0}">
  <ds:schemaRefs>
    <ds:schemaRef ds:uri="http://purl.org/dc/elements/1.1/"/>
    <ds:schemaRef ds:uri="http://schemas.microsoft.com/office/2006/metadata/properties"/>
    <ds:schemaRef ds:uri="94791C15-4105-42DF-B17E-66B53D20FDE0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ce9d3abe-bc67-4c3a-8bb7-62a662d1f451"/>
    <ds:schemaRef ds:uri="94791c15-4105-42df-b17e-66b53d20fde0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97A579E-8FAB-4FB8-A6B5-7174F62D3BE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21B544-1A7E-477D-8F98-A6610B336D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10</vt:i4>
      </vt:variant>
    </vt:vector>
  </HeadingPairs>
  <TitlesOfParts>
    <vt:vector size="25" baseType="lpstr">
      <vt:lpstr>Proposed Rates</vt:lpstr>
      <vt:lpstr>Proposed Accruals</vt:lpstr>
      <vt:lpstr>Plant &amp; Reserve</vt:lpstr>
      <vt:lpstr>Reserve Allocation</vt:lpstr>
      <vt:lpstr>Avg Age</vt:lpstr>
      <vt:lpstr>Parameter</vt:lpstr>
      <vt:lpstr>Comparative</vt:lpstr>
      <vt:lpstr>Annual Status</vt:lpstr>
      <vt:lpstr>ASR Assets</vt:lpstr>
      <vt:lpstr>ASR Reserves</vt:lpstr>
      <vt:lpstr>COR Reserve</vt:lpstr>
      <vt:lpstr>Theoretical Reserve</vt:lpstr>
      <vt:lpstr>Rate Computation</vt:lpstr>
      <vt:lpstr>Report Table</vt:lpstr>
      <vt:lpstr>Rate Comparsion</vt:lpstr>
      <vt:lpstr>'ASR Assets'!Print_Area</vt:lpstr>
      <vt:lpstr>'ASR Reserves'!Print_Area</vt:lpstr>
      <vt:lpstr>Comparative!Print_Area</vt:lpstr>
      <vt:lpstr>'Plant &amp; Reserve'!Print_Area</vt:lpstr>
      <vt:lpstr>'Proposed Accruals'!Print_Area</vt:lpstr>
      <vt:lpstr>'Proposed Rates'!Print_Area</vt:lpstr>
      <vt:lpstr>Comparative!Print_Titles</vt:lpstr>
      <vt:lpstr>'Plant &amp; Reserve'!Print_Titles</vt:lpstr>
      <vt:lpstr>'Proposed Accruals'!Print_Titles</vt:lpstr>
      <vt:lpstr>'Proposed Rates'!Print_Titles</vt:lpstr>
    </vt:vector>
  </TitlesOfParts>
  <Company>TECO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TECO</dc:creator>
  <cp:lastModifiedBy>Irizarry, Brenda L.</cp:lastModifiedBy>
  <cp:lastPrinted>2018-08-02T15:25:18Z</cp:lastPrinted>
  <dcterms:created xsi:type="dcterms:W3CDTF">1999-02-11T16:03:43Z</dcterms:created>
  <dcterms:modified xsi:type="dcterms:W3CDTF">2023-07-31T11:41:08Z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2023-06-17T16:22:17Z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4833bfbc-6de1-4b9f-ad6a-7f291ed9e378</vt:lpwstr>
  </property>
  <property fmtid="{D5CDD505-2E9C-101B-9397-08002B2CF9AE}" pid="8" name="MSIP_Label_a83f872e-d8d7-43ac-9961-0f2ad31e50e5_ContentBits">
    <vt:lpwstr>0</vt:lpwstr>
  </property>
  <property fmtid="{D5CDD505-2E9C-101B-9397-08002B2CF9AE}" pid="9" name="ContentTypeId">
    <vt:lpwstr>0x01010093961404F3F6B34988E14CCD792B016F</vt:lpwstr>
  </property>
</Properties>
</file>