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drawings/drawing2.xml" ContentType="application/vnd.openxmlformats-officedocument.drawing+xml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omments2.xml" ContentType="application/vnd.openxmlformats-officedocument.spreadsheetml.comments+xml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omments3.xml" ContentType="application/vnd.openxmlformats-officedocument.spreadsheetml.comments+xml"/>
  <Override PartName="/xl/customProperty43.bin" ContentType="application/vnd.openxmlformats-officedocument.spreadsheetml.customProperty"/>
  <Override PartName="/xl/customProperty4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tcv\Desktop\"/>
    </mc:Choice>
  </mc:AlternateContent>
  <xr:revisionPtr revIDLastSave="0" documentId="13_ncr:1_{DE609EB5-FBBB-4251-AFBC-6D1D9619D192}" xr6:coauthVersionLast="47" xr6:coauthVersionMax="47" xr10:uidLastSave="{00000000-0000-0000-0000-000000000000}"/>
  <bookViews>
    <workbookView xWindow="-120" yWindow="-120" windowWidth="29040" windowHeight="15840" firstSheet="11" activeTab="20" xr2:uid="{00000000-000D-0000-FFFF-FFFF00000000}"/>
  </bookViews>
  <sheets>
    <sheet name="PlantByAcctByCounty" sheetId="23" state="hidden" r:id="rId1"/>
    <sheet name="M&amp;S" sheetId="33" state="hidden" r:id="rId2"/>
    <sheet name="101 &amp; 106 By County" sheetId="24" state="hidden" r:id="rId3"/>
    <sheet name="Distribution" sheetId="25" state="hidden" r:id="rId4"/>
    <sheet name="Meters" sheetId="26" state="hidden" r:id="rId5"/>
    <sheet name="Bills" sheetId="28" state="hidden" r:id="rId6"/>
    <sheet name="TPP by County" sheetId="29" state="hidden" r:id="rId7"/>
    <sheet name="Allocation Stats" sheetId="30" state="hidden" r:id="rId8"/>
    <sheet name="DR-405" sheetId="31" state="hidden" r:id="rId9"/>
    <sheet name="Cost Approach" sheetId="9" r:id="rId10"/>
    <sheet name="Sum. of Prop." sheetId="11" r:id="rId11"/>
    <sheet name="CapRate" sheetId="7" r:id="rId12"/>
    <sheet name="LTD" sheetId="14" r:id="rId13"/>
    <sheet name="Inc Approach" sheetId="6" r:id="rId14"/>
    <sheet name="Valuation" sheetId="12" r:id="rId15"/>
    <sheet name="Reconciliation" sheetId="10" r:id="rId16"/>
    <sheet name="FMV BY COUNTY-DR405 AUDIT" sheetId="36" state="hidden" r:id="rId17"/>
    <sheet name="Alloc. Factors" sheetId="27" r:id="rId18"/>
    <sheet name="CountyDetailEst-'22 factors" sheetId="38" r:id="rId19"/>
    <sheet name="BalSht-NBV" sheetId="16" r:id="rId20"/>
    <sheet name="ByPANSummary" sheetId="22" r:id="rId21"/>
    <sheet name="Division budget" sheetId="35" state="hidden" r:id="rId22"/>
  </sheets>
  <definedNames>
    <definedName name="_xlnm.Print_Area" localSheetId="17">'Alloc. Factors'!$A$1:$G$50</definedName>
    <definedName name="_xlnm.Print_Area" localSheetId="19">'BalSht-NBV'!$A$1:$Q$29</definedName>
    <definedName name="_xlnm.Print_Area" localSheetId="11">CapRate!$A$1:$F$12</definedName>
    <definedName name="_xlnm.Print_Area" localSheetId="9">'Cost Approach'!$B$1:$D$22</definedName>
    <definedName name="_xlnm.Print_Area" localSheetId="13">'Inc Approach'!$A$1:$G$40</definedName>
    <definedName name="_xlnm.Print_Area" localSheetId="12">LTD!$A$1:$J$3</definedName>
    <definedName name="_xlnm.Print_Area" localSheetId="15">Reconciliation!$A$1:$G$19</definedName>
    <definedName name="_xlnm.Print_Area" localSheetId="10">'Sum. of Prop.'!$A$1:$H$29</definedName>
    <definedName name="_xlnm.Print_Area" localSheetId="6">'TPP by County'!$A$519:$D$536</definedName>
    <definedName name="_xlnm.Print_Area" localSheetId="14">Valuation!$A$1:$J$54</definedName>
    <definedName name="_xlnm.Print_Titles" localSheetId="6">'TPP by County'!$1:$3</definedName>
    <definedName name="_xlnm.Print_Titles" localSheetId="14">Valuation!$1:$38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38" l="1"/>
  <c r="N11" i="38" l="1"/>
  <c r="N12" i="38"/>
  <c r="N13" i="38"/>
  <c r="N14" i="38"/>
  <c r="N15" i="38"/>
  <c r="N16" i="38"/>
  <c r="N17" i="38"/>
  <c r="N18" i="38"/>
  <c r="N19" i="38"/>
  <c r="N20" i="38"/>
  <c r="N21" i="38"/>
  <c r="N22" i="38"/>
  <c r="N23" i="38"/>
  <c r="N24" i="38"/>
  <c r="N25" i="38"/>
  <c r="N26" i="38"/>
  <c r="N27" i="38"/>
  <c r="N28" i="38"/>
  <c r="N29" i="38"/>
  <c r="N30" i="38"/>
  <c r="N31" i="38"/>
  <c r="N32" i="38"/>
  <c r="N33" i="38"/>
  <c r="N34" i="38"/>
  <c r="N35" i="38"/>
  <c r="N36" i="38"/>
  <c r="N37" i="38"/>
  <c r="N38" i="38"/>
  <c r="N39" i="38"/>
  <c r="N40" i="38"/>
  <c r="N41" i="38"/>
  <c r="N42" i="38"/>
  <c r="N43" i="38"/>
  <c r="N44" i="38"/>
  <c r="N45" i="38"/>
  <c r="N46" i="38"/>
  <c r="N47" i="38"/>
  <c r="N48" i="38"/>
  <c r="N49" i="38"/>
  <c r="N50" i="38"/>
  <c r="N10" i="38"/>
  <c r="N9" i="38"/>
  <c r="D51" i="38"/>
  <c r="E51" i="38" l="1"/>
  <c r="O26" i="38" l="1"/>
  <c r="O24" i="38"/>
  <c r="J51" i="38" l="1"/>
  <c r="I51" i="38"/>
  <c r="H51" i="38"/>
  <c r="G51" i="38"/>
  <c r="K51" i="38"/>
  <c r="M50" i="38"/>
  <c r="O50" i="38"/>
  <c r="K50" i="38"/>
  <c r="C50" i="38"/>
  <c r="D50" i="38" s="1"/>
  <c r="M49" i="38"/>
  <c r="O49" i="38"/>
  <c r="K49" i="38"/>
  <c r="C49" i="38"/>
  <c r="D49" i="38" s="1"/>
  <c r="M48" i="38"/>
  <c r="O48" i="38"/>
  <c r="K48" i="38"/>
  <c r="D48" i="38"/>
  <c r="C48" i="38"/>
  <c r="M47" i="38"/>
  <c r="O47" i="38"/>
  <c r="K47" i="38"/>
  <c r="C47" i="38"/>
  <c r="D47" i="38" s="1"/>
  <c r="L47" i="38" s="1"/>
  <c r="M46" i="38"/>
  <c r="K46" i="38"/>
  <c r="C46" i="38"/>
  <c r="D46" i="38" s="1"/>
  <c r="M45" i="38"/>
  <c r="O45" i="38"/>
  <c r="K45" i="38"/>
  <c r="C45" i="38"/>
  <c r="M44" i="38"/>
  <c r="O44" i="38"/>
  <c r="K44" i="38"/>
  <c r="C44" i="38"/>
  <c r="M43" i="38"/>
  <c r="O43" i="38"/>
  <c r="K43" i="38"/>
  <c r="D43" i="38"/>
  <c r="C43" i="38"/>
  <c r="M42" i="38"/>
  <c r="K42" i="38"/>
  <c r="C42" i="38"/>
  <c r="M41" i="38"/>
  <c r="O41" i="38"/>
  <c r="K41" i="38"/>
  <c r="C41" i="38"/>
  <c r="M40" i="38"/>
  <c r="O40" i="38"/>
  <c r="K40" i="38"/>
  <c r="C40" i="38"/>
  <c r="M39" i="38"/>
  <c r="K39" i="38"/>
  <c r="D39" i="38"/>
  <c r="L39" i="38" s="1"/>
  <c r="C39" i="38"/>
  <c r="M38" i="38"/>
  <c r="O38" i="38"/>
  <c r="K38" i="38"/>
  <c r="C38" i="38"/>
  <c r="D38" i="38" s="1"/>
  <c r="M37" i="38"/>
  <c r="K37" i="38"/>
  <c r="C37" i="38"/>
  <c r="D37" i="38" s="1"/>
  <c r="L37" i="38" s="1"/>
  <c r="M36" i="38"/>
  <c r="O36" i="38"/>
  <c r="K36" i="38"/>
  <c r="C36" i="38"/>
  <c r="D36" i="38" s="1"/>
  <c r="L36" i="38" s="1"/>
  <c r="M35" i="38"/>
  <c r="O35" i="38"/>
  <c r="K35" i="38"/>
  <c r="C35" i="38"/>
  <c r="M34" i="38"/>
  <c r="K34" i="38"/>
  <c r="D34" i="38"/>
  <c r="C34" i="38"/>
  <c r="M33" i="38"/>
  <c r="O33" i="38"/>
  <c r="K33" i="38"/>
  <c r="D33" i="38"/>
  <c r="C33" i="38"/>
  <c r="M32" i="38"/>
  <c r="O32" i="38"/>
  <c r="K32" i="38"/>
  <c r="C32" i="38"/>
  <c r="D32" i="38" s="1"/>
  <c r="L32" i="38" s="1"/>
  <c r="M31" i="38"/>
  <c r="O31" i="38"/>
  <c r="K31" i="38"/>
  <c r="C31" i="38"/>
  <c r="D31" i="38" s="1"/>
  <c r="M30" i="38"/>
  <c r="O30" i="38"/>
  <c r="K30" i="38"/>
  <c r="C30" i="38"/>
  <c r="M29" i="38"/>
  <c r="O29" i="38"/>
  <c r="K29" i="38"/>
  <c r="D29" i="38"/>
  <c r="C29" i="38"/>
  <c r="M28" i="38"/>
  <c r="K28" i="38"/>
  <c r="D28" i="38"/>
  <c r="L28" i="38" s="1"/>
  <c r="C28" i="38"/>
  <c r="M27" i="38"/>
  <c r="O27" i="38"/>
  <c r="K27" i="38"/>
  <c r="C27" i="38"/>
  <c r="D27" i="38" s="1"/>
  <c r="L27" i="38" s="1"/>
  <c r="M26" i="38"/>
  <c r="P26" i="38" s="1"/>
  <c r="K26" i="38"/>
  <c r="C26" i="38"/>
  <c r="D26" i="38" s="1"/>
  <c r="L26" i="38" s="1"/>
  <c r="M25" i="38"/>
  <c r="K25" i="38"/>
  <c r="L25" i="38" s="1"/>
  <c r="C25" i="38"/>
  <c r="M24" i="38"/>
  <c r="K24" i="38"/>
  <c r="C24" i="38"/>
  <c r="D24" i="38" s="1"/>
  <c r="M23" i="38"/>
  <c r="O23" i="38"/>
  <c r="K23" i="38"/>
  <c r="D23" i="38"/>
  <c r="L23" i="38" s="1"/>
  <c r="C23" i="38"/>
  <c r="M22" i="38"/>
  <c r="O22" i="38"/>
  <c r="K22" i="38"/>
  <c r="C22" i="38"/>
  <c r="D22" i="38" s="1"/>
  <c r="M21" i="38"/>
  <c r="O21" i="38"/>
  <c r="K21" i="38"/>
  <c r="D21" i="38"/>
  <c r="C21" i="38"/>
  <c r="M20" i="38"/>
  <c r="O20" i="38"/>
  <c r="K20" i="38"/>
  <c r="C20" i="38"/>
  <c r="D20" i="38" s="1"/>
  <c r="L20" i="38" s="1"/>
  <c r="M19" i="38"/>
  <c r="K19" i="38"/>
  <c r="C19" i="38"/>
  <c r="D19" i="38" s="1"/>
  <c r="M18" i="38"/>
  <c r="O18" i="38"/>
  <c r="K18" i="38"/>
  <c r="C18" i="38"/>
  <c r="D18" i="38" s="1"/>
  <c r="M17" i="38"/>
  <c r="O17" i="38"/>
  <c r="K17" i="38"/>
  <c r="D17" i="38"/>
  <c r="L17" i="38" s="1"/>
  <c r="C17" i="38"/>
  <c r="M16" i="38"/>
  <c r="O16" i="38"/>
  <c r="K16" i="38"/>
  <c r="C16" i="38"/>
  <c r="D16" i="38" s="1"/>
  <c r="M15" i="38"/>
  <c r="K15" i="38"/>
  <c r="C15" i="38"/>
  <c r="D15" i="38" s="1"/>
  <c r="M14" i="38"/>
  <c r="O14" i="38"/>
  <c r="K14" i="38"/>
  <c r="C14" i="38"/>
  <c r="M13" i="38"/>
  <c r="K13" i="38"/>
  <c r="C13" i="38"/>
  <c r="M12" i="38"/>
  <c r="O12" i="38"/>
  <c r="K12" i="38"/>
  <c r="C12" i="38"/>
  <c r="D12" i="38" s="1"/>
  <c r="O11" i="38"/>
  <c r="M11" i="38"/>
  <c r="K11" i="38"/>
  <c r="C11" i="38"/>
  <c r="D11" i="38" s="1"/>
  <c r="L11" i="38" s="1"/>
  <c r="M10" i="38"/>
  <c r="K10" i="38"/>
  <c r="C10" i="38"/>
  <c r="D10" i="38" s="1"/>
  <c r="O9" i="38"/>
  <c r="K9" i="38"/>
  <c r="C9" i="38"/>
  <c r="C51" i="38" s="1"/>
  <c r="F7" i="38"/>
  <c r="E7" i="38"/>
  <c r="D7" i="38"/>
  <c r="D44" i="38" s="1"/>
  <c r="L44" i="38" s="1"/>
  <c r="P44" i="38" s="1"/>
  <c r="P27" i="38" l="1"/>
  <c r="O19" i="38"/>
  <c r="O46" i="38"/>
  <c r="O37" i="38"/>
  <c r="P37" i="38" s="1"/>
  <c r="O25" i="38"/>
  <c r="P25" i="38" s="1"/>
  <c r="O28" i="38"/>
  <c r="P28" i="38" s="1"/>
  <c r="O34" i="38"/>
  <c r="O42" i="38"/>
  <c r="O10" i="38"/>
  <c r="O13" i="38"/>
  <c r="O15" i="38"/>
  <c r="O39" i="38"/>
  <c r="P39" i="38" s="1"/>
  <c r="P36" i="38"/>
  <c r="P23" i="38"/>
  <c r="P32" i="38"/>
  <c r="P47" i="38"/>
  <c r="P17" i="38"/>
  <c r="P11" i="38"/>
  <c r="P20" i="38"/>
  <c r="L15" i="38"/>
  <c r="P15" i="38" s="1"/>
  <c r="L18" i="38"/>
  <c r="P18" i="38" s="1"/>
  <c r="L24" i="38"/>
  <c r="P24" i="38" s="1"/>
  <c r="L34" i="38"/>
  <c r="L43" i="38"/>
  <c r="P43" i="38" s="1"/>
  <c r="L12" i="38"/>
  <c r="P12" i="38" s="1"/>
  <c r="L21" i="38"/>
  <c r="L33" i="38"/>
  <c r="P33" i="38" s="1"/>
  <c r="L48" i="38"/>
  <c r="L50" i="38"/>
  <c r="P50" i="38" s="1"/>
  <c r="L29" i="38"/>
  <c r="L38" i="38"/>
  <c r="P38" i="38" s="1"/>
  <c r="L10" i="38"/>
  <c r="L16" i="38"/>
  <c r="P16" i="38" s="1"/>
  <c r="L19" i="38"/>
  <c r="L22" i="38"/>
  <c r="P22" i="38" s="1"/>
  <c r="L31" i="38"/>
  <c r="P31" i="38" s="1"/>
  <c r="L46" i="38"/>
  <c r="P46" i="38" s="1"/>
  <c r="L49" i="38"/>
  <c r="P29" i="38"/>
  <c r="P49" i="38"/>
  <c r="P21" i="38"/>
  <c r="P48" i="38"/>
  <c r="D13" i="38"/>
  <c r="L13" i="38" s="1"/>
  <c r="D9" i="38"/>
  <c r="D41" i="38"/>
  <c r="L41" i="38" s="1"/>
  <c r="P41" i="38" s="1"/>
  <c r="D45" i="38"/>
  <c r="L45" i="38" s="1"/>
  <c r="P45" i="38" s="1"/>
  <c r="D14" i="38"/>
  <c r="L14" i="38" s="1"/>
  <c r="P14" i="38" s="1"/>
  <c r="N51" i="38"/>
  <c r="D42" i="38"/>
  <c r="L42" i="38" s="1"/>
  <c r="D30" i="38"/>
  <c r="L30" i="38" s="1"/>
  <c r="P30" i="38" s="1"/>
  <c r="D35" i="38"/>
  <c r="L35" i="38" s="1"/>
  <c r="P35" i="38" s="1"/>
  <c r="D40" i="38"/>
  <c r="L40" i="38" s="1"/>
  <c r="P40" i="38" s="1"/>
  <c r="F34" i="6"/>
  <c r="O51" i="38" l="1"/>
  <c r="P19" i="38"/>
  <c r="P10" i="38"/>
  <c r="P42" i="38"/>
  <c r="O7" i="38"/>
  <c r="P34" i="38"/>
  <c r="P13" i="38"/>
  <c r="L9" i="38"/>
  <c r="M9" i="38" l="1"/>
  <c r="L7" i="38"/>
  <c r="L51" i="38"/>
  <c r="B10" i="6"/>
  <c r="AA15" i="6"/>
  <c r="B8" i="7"/>
  <c r="E8" i="7"/>
  <c r="B9" i="6"/>
  <c r="P9" i="38" l="1"/>
  <c r="M7" i="38"/>
  <c r="M51" i="38"/>
  <c r="R48" i="22"/>
  <c r="S48" i="22"/>
  <c r="Q48" i="22"/>
  <c r="R81" i="22"/>
  <c r="S81" i="22"/>
  <c r="Q81" i="22"/>
  <c r="C14" i="16"/>
  <c r="F14" i="16"/>
  <c r="C18" i="16"/>
  <c r="F18" i="16"/>
  <c r="D23" i="16"/>
  <c r="F27" i="16"/>
  <c r="F28" i="16"/>
  <c r="P51" i="38" l="1"/>
  <c r="P7" i="38"/>
  <c r="R539" i="22"/>
  <c r="S539" i="22"/>
  <c r="Q539" i="22"/>
  <c r="R522" i="22"/>
  <c r="S522" i="22"/>
  <c r="Q522" i="22"/>
  <c r="R504" i="22"/>
  <c r="S504" i="22"/>
  <c r="Q504" i="22"/>
  <c r="R487" i="22"/>
  <c r="S487" i="22"/>
  <c r="Q487" i="22"/>
  <c r="R481" i="22"/>
  <c r="S481" i="22"/>
  <c r="Q481" i="22"/>
  <c r="R458" i="22"/>
  <c r="S458" i="22"/>
  <c r="Q458" i="22"/>
  <c r="R446" i="22"/>
  <c r="S446" i="22"/>
  <c r="Q446" i="22"/>
  <c r="R385" i="22"/>
  <c r="S385" i="22"/>
  <c r="Q385" i="22"/>
  <c r="R333" i="22"/>
  <c r="S333" i="22"/>
  <c r="Q333" i="22"/>
  <c r="R318" i="22"/>
  <c r="S318" i="22"/>
  <c r="Q318" i="22"/>
  <c r="R297" i="22"/>
  <c r="S297" i="22"/>
  <c r="Q297" i="22"/>
  <c r="R280" i="22"/>
  <c r="S280" i="22"/>
  <c r="Q280" i="22"/>
  <c r="R264" i="22"/>
  <c r="S264" i="22"/>
  <c r="Q264" i="22"/>
  <c r="R247" i="22"/>
  <c r="S247" i="22"/>
  <c r="Q247" i="22"/>
  <c r="R231" i="22"/>
  <c r="S231" i="22"/>
  <c r="Q231" i="22"/>
  <c r="R225" i="22"/>
  <c r="S225" i="22"/>
  <c r="Q225" i="22"/>
  <c r="R195" i="22"/>
  <c r="S195" i="22"/>
  <c r="Q195" i="22"/>
  <c r="R176" i="22"/>
  <c r="S176" i="22"/>
  <c r="Q176" i="22"/>
  <c r="R155" i="22"/>
  <c r="S155" i="22"/>
  <c r="Q155" i="22"/>
  <c r="R153" i="22"/>
  <c r="S153" i="22"/>
  <c r="Q153" i="22"/>
  <c r="R29" i="22"/>
  <c r="S29" i="22"/>
  <c r="Q29" i="22"/>
  <c r="R21" i="22"/>
  <c r="S21" i="22"/>
  <c r="Q21" i="22"/>
  <c r="R14" i="22"/>
  <c r="D22" i="16" s="1"/>
  <c r="D24" i="16" s="1"/>
  <c r="S14" i="22"/>
  <c r="Q14" i="22"/>
  <c r="C22" i="16" s="1"/>
  <c r="S12" i="22"/>
  <c r="Q12" i="22"/>
  <c r="C23" i="16" s="1"/>
  <c r="F23" i="16" s="1"/>
  <c r="R8" i="22"/>
  <c r="S8" i="22"/>
  <c r="Q8" i="22"/>
  <c r="F10" i="6"/>
  <c r="F9" i="6"/>
  <c r="F8" i="6"/>
  <c r="C24" i="16" l="1"/>
  <c r="F22" i="16"/>
  <c r="F24" i="16" s="1"/>
  <c r="Z15" i="6"/>
  <c r="F16" i="22" l="1"/>
  <c r="D16" i="22"/>
  <c r="C16" i="22"/>
  <c r="Y15" i="6"/>
  <c r="C15" i="22" l="1"/>
  <c r="D15" i="22"/>
  <c r="F15" i="22"/>
  <c r="P541" i="22"/>
  <c r="D44" i="22"/>
  <c r="E44" i="22"/>
  <c r="C44" i="22"/>
  <c r="E15" i="22" l="1"/>
  <c r="E19" i="22" s="1"/>
  <c r="F44" i="22"/>
  <c r="C47" i="22"/>
  <c r="C48" i="22" s="1"/>
  <c r="C50" i="22"/>
  <c r="X15" i="6" l="1"/>
  <c r="W15" i="6"/>
  <c r="T536" i="22"/>
  <c r="D34" i="22"/>
  <c r="C30" i="22"/>
  <c r="C25" i="22"/>
  <c r="C21" i="22"/>
  <c r="D18" i="22"/>
  <c r="C5" i="22"/>
  <c r="D32" i="22"/>
  <c r="C32" i="22"/>
  <c r="B17" i="11"/>
  <c r="B9" i="11"/>
  <c r="J20" i="12"/>
  <c r="B24" i="11"/>
  <c r="D9" i="9" s="1"/>
  <c r="L14" i="16"/>
  <c r="L18" i="16"/>
  <c r="D24" i="11"/>
  <c r="C27" i="22"/>
  <c r="C31" i="22"/>
  <c r="C20" i="22"/>
  <c r="C26" i="22"/>
  <c r="C6" i="22"/>
  <c r="C9" i="16" s="1"/>
  <c r="C4" i="22"/>
  <c r="C7" i="16" s="1"/>
  <c r="D6" i="22"/>
  <c r="D26" i="22"/>
  <c r="E26" i="22"/>
  <c r="E29" i="22" s="1"/>
  <c r="D31" i="22"/>
  <c r="D30" i="22"/>
  <c r="D9" i="22"/>
  <c r="D20" i="22"/>
  <c r="D7" i="22"/>
  <c r="K22" i="7"/>
  <c r="B10" i="7" s="1"/>
  <c r="U15" i="6"/>
  <c r="G8" i="27"/>
  <c r="G10" i="27"/>
  <c r="G11" i="27"/>
  <c r="G12" i="27"/>
  <c r="G13" i="27"/>
  <c r="G14" i="27"/>
  <c r="G15" i="27"/>
  <c r="G16" i="27"/>
  <c r="G19" i="27"/>
  <c r="G20" i="27"/>
  <c r="G21" i="27"/>
  <c r="G22" i="27"/>
  <c r="G25" i="27"/>
  <c r="G26" i="27"/>
  <c r="G29" i="27"/>
  <c r="G30" i="27"/>
  <c r="G31" i="27"/>
  <c r="G32" i="27"/>
  <c r="G34" i="27"/>
  <c r="G35" i="27"/>
  <c r="G37" i="27"/>
  <c r="G39" i="27"/>
  <c r="G42" i="27"/>
  <c r="G44" i="27"/>
  <c r="G45" i="27"/>
  <c r="G46" i="27"/>
  <c r="G47" i="27"/>
  <c r="G49" i="27"/>
  <c r="T15" i="6"/>
  <c r="R15" i="6"/>
  <c r="D14" i="22"/>
  <c r="C36" i="22"/>
  <c r="C35" i="22"/>
  <c r="D35" i="22"/>
  <c r="C34" i="22"/>
  <c r="C33" i="22"/>
  <c r="C24" i="22"/>
  <c r="C23" i="22"/>
  <c r="C22" i="22"/>
  <c r="D22" i="22"/>
  <c r="C18" i="22"/>
  <c r="C17" i="22"/>
  <c r="C7" i="22"/>
  <c r="C8" i="22"/>
  <c r="C9" i="22"/>
  <c r="N14" i="16"/>
  <c r="N18" i="16"/>
  <c r="L27" i="16"/>
  <c r="N27" i="16"/>
  <c r="L28" i="16"/>
  <c r="N28" i="16"/>
  <c r="D21" i="22"/>
  <c r="D23" i="22"/>
  <c r="D24" i="22"/>
  <c r="D25" i="22"/>
  <c r="C28" i="22"/>
  <c r="D28" i="22"/>
  <c r="D4" i="22"/>
  <c r="D5" i="22"/>
  <c r="D8" i="22"/>
  <c r="D11" i="16" s="1"/>
  <c r="D10" i="22"/>
  <c r="D12" i="16" s="1"/>
  <c r="F50" i="27"/>
  <c r="E49" i="12" s="1"/>
  <c r="D36" i="22"/>
  <c r="D33" i="22"/>
  <c r="D17" i="22"/>
  <c r="O15" i="6"/>
  <c r="P15" i="6"/>
  <c r="J33" i="12"/>
  <c r="J32" i="12" s="1"/>
  <c r="F11" i="22"/>
  <c r="B12" i="11"/>
  <c r="B19" i="11" s="1"/>
  <c r="P16" i="16"/>
  <c r="P21" i="16"/>
  <c r="P26" i="16"/>
  <c r="P601" i="22"/>
  <c r="O601" i="22"/>
  <c r="B18" i="11"/>
  <c r="B46" i="12"/>
  <c r="D41" i="33"/>
  <c r="B45" i="6"/>
  <c r="D7" i="29"/>
  <c r="E257" i="24"/>
  <c r="I551" i="23"/>
  <c r="E247" i="24"/>
  <c r="E248" i="24"/>
  <c r="E227" i="24"/>
  <c r="E480" i="23"/>
  <c r="I480" i="23"/>
  <c r="J480" i="23" s="1"/>
  <c r="E142" i="24" s="1"/>
  <c r="F60" i="31"/>
  <c r="D60" i="31"/>
  <c r="C142" i="24"/>
  <c r="A287" i="24"/>
  <c r="B287" i="24"/>
  <c r="E287" i="24"/>
  <c r="F24" i="31"/>
  <c r="D24" i="31"/>
  <c r="E306" i="24"/>
  <c r="H306" i="24"/>
  <c r="D481" i="29" s="1"/>
  <c r="A306" i="24"/>
  <c r="B306" i="24"/>
  <c r="E39" i="24"/>
  <c r="B39" i="24"/>
  <c r="A39" i="24"/>
  <c r="I582" i="23"/>
  <c r="I581" i="23"/>
  <c r="E582" i="23"/>
  <c r="I420" i="23"/>
  <c r="J420" i="23" s="1"/>
  <c r="E402" i="23"/>
  <c r="E403" i="23"/>
  <c r="E404" i="23"/>
  <c r="E405" i="23"/>
  <c r="E406" i="23"/>
  <c r="E407" i="23"/>
  <c r="E408" i="23"/>
  <c r="E409" i="23"/>
  <c r="E410" i="23"/>
  <c r="E411" i="23"/>
  <c r="E412" i="23"/>
  <c r="E413" i="23"/>
  <c r="E414" i="23"/>
  <c r="E415" i="23"/>
  <c r="E416" i="23"/>
  <c r="E417" i="23"/>
  <c r="E418" i="23"/>
  <c r="E419" i="23"/>
  <c r="E420" i="23"/>
  <c r="E421" i="23"/>
  <c r="E422" i="23"/>
  <c r="E423" i="23"/>
  <c r="E424" i="23"/>
  <c r="E425" i="23"/>
  <c r="E426" i="23"/>
  <c r="E427" i="23"/>
  <c r="E428" i="23"/>
  <c r="E429" i="23"/>
  <c r="E430" i="23"/>
  <c r="E431" i="23"/>
  <c r="E432" i="23"/>
  <c r="E433" i="23"/>
  <c r="E434" i="23"/>
  <c r="E435" i="23"/>
  <c r="E436" i="23"/>
  <c r="E437" i="23"/>
  <c r="E438" i="23"/>
  <c r="E439" i="23"/>
  <c r="E440" i="23"/>
  <c r="E441" i="23"/>
  <c r="E442" i="23"/>
  <c r="E443" i="23"/>
  <c r="E444" i="23"/>
  <c r="E445" i="23"/>
  <c r="E446" i="23"/>
  <c r="E447" i="23"/>
  <c r="E448" i="23"/>
  <c r="E449" i="23"/>
  <c r="E450" i="23"/>
  <c r="E451" i="23"/>
  <c r="E452" i="23"/>
  <c r="E453" i="23"/>
  <c r="E454" i="23"/>
  <c r="E455" i="23"/>
  <c r="E456" i="23"/>
  <c r="E457" i="23"/>
  <c r="E458" i="23"/>
  <c r="E459" i="23"/>
  <c r="E460" i="23"/>
  <c r="E461" i="23"/>
  <c r="E462" i="23"/>
  <c r="E463" i="23"/>
  <c r="E464" i="23"/>
  <c r="E465" i="23"/>
  <c r="E466" i="23"/>
  <c r="E467" i="23"/>
  <c r="E468" i="23"/>
  <c r="E469" i="23"/>
  <c r="E470" i="23"/>
  <c r="E471" i="23"/>
  <c r="E472" i="23"/>
  <c r="E473" i="23"/>
  <c r="E474" i="23"/>
  <c r="E475" i="23"/>
  <c r="E476" i="23"/>
  <c r="E477" i="23"/>
  <c r="E478" i="23"/>
  <c r="E479" i="23"/>
  <c r="E481" i="23"/>
  <c r="E482" i="23"/>
  <c r="E483" i="23"/>
  <c r="E484" i="23"/>
  <c r="E485" i="23"/>
  <c r="E486" i="23"/>
  <c r="E487" i="23"/>
  <c r="E488" i="23"/>
  <c r="E489" i="23"/>
  <c r="E490" i="23"/>
  <c r="E491" i="23"/>
  <c r="E492" i="23"/>
  <c r="E493" i="23"/>
  <c r="E494" i="23"/>
  <c r="E495" i="23"/>
  <c r="E496" i="23"/>
  <c r="E497" i="23"/>
  <c r="E498" i="23"/>
  <c r="E499" i="23"/>
  <c r="E500" i="23"/>
  <c r="E501" i="23"/>
  <c r="E502" i="23"/>
  <c r="E503" i="23"/>
  <c r="E504" i="23"/>
  <c r="E505" i="23"/>
  <c r="E506" i="23"/>
  <c r="E507" i="23"/>
  <c r="E508" i="23"/>
  <c r="E509" i="23"/>
  <c r="E510" i="23"/>
  <c r="E511" i="23"/>
  <c r="E512" i="23"/>
  <c r="E513" i="23"/>
  <c r="E514" i="23"/>
  <c r="E515" i="23"/>
  <c r="E516" i="23"/>
  <c r="E517" i="23"/>
  <c r="E518" i="23"/>
  <c r="E519" i="23"/>
  <c r="E520" i="23"/>
  <c r="E521" i="23"/>
  <c r="E522" i="23"/>
  <c r="E523" i="23"/>
  <c r="E524" i="23"/>
  <c r="E525" i="23"/>
  <c r="E526" i="23"/>
  <c r="E527" i="23"/>
  <c r="E528" i="23"/>
  <c r="E529" i="23"/>
  <c r="E530" i="23"/>
  <c r="E531" i="23"/>
  <c r="E532" i="23"/>
  <c r="E533" i="23"/>
  <c r="E534" i="23"/>
  <c r="E535" i="23"/>
  <c r="E536" i="23"/>
  <c r="E537" i="23"/>
  <c r="E538" i="23"/>
  <c r="E539" i="23"/>
  <c r="E540" i="23"/>
  <c r="E541" i="23"/>
  <c r="E542" i="23"/>
  <c r="E543" i="23"/>
  <c r="E544" i="23"/>
  <c r="E545" i="23"/>
  <c r="E546" i="23"/>
  <c r="E547" i="23"/>
  <c r="E548" i="23"/>
  <c r="E549" i="23"/>
  <c r="E550" i="23"/>
  <c r="E551" i="23"/>
  <c r="E552" i="23"/>
  <c r="E553" i="23"/>
  <c r="E554" i="23"/>
  <c r="E555" i="23"/>
  <c r="E556" i="23"/>
  <c r="E557" i="23"/>
  <c r="E558" i="23"/>
  <c r="E559" i="23"/>
  <c r="E560" i="23"/>
  <c r="E561" i="23"/>
  <c r="E562" i="23"/>
  <c r="E563" i="23"/>
  <c r="E564" i="23"/>
  <c r="E565" i="23"/>
  <c r="E566" i="23"/>
  <c r="E567" i="23"/>
  <c r="E568" i="23"/>
  <c r="E569" i="23"/>
  <c r="E570" i="23"/>
  <c r="E571" i="23"/>
  <c r="E572" i="23"/>
  <c r="E573" i="23"/>
  <c r="E574" i="23"/>
  <c r="E575" i="23"/>
  <c r="E576" i="23"/>
  <c r="E577" i="23"/>
  <c r="E578" i="23"/>
  <c r="E579" i="23"/>
  <c r="E581" i="23"/>
  <c r="E583" i="23"/>
  <c r="E584" i="23"/>
  <c r="E585" i="23"/>
  <c r="E586" i="23"/>
  <c r="E587" i="23"/>
  <c r="E588" i="23"/>
  <c r="E589" i="23"/>
  <c r="E590" i="23"/>
  <c r="E591" i="23"/>
  <c r="E592" i="23"/>
  <c r="E593" i="23"/>
  <c r="E594" i="23"/>
  <c r="E595" i="23"/>
  <c r="E596" i="23"/>
  <c r="E597" i="23"/>
  <c r="E598" i="23"/>
  <c r="E599" i="23"/>
  <c r="E600" i="23"/>
  <c r="E601" i="23"/>
  <c r="E602" i="23"/>
  <c r="E603" i="23"/>
  <c r="E604" i="23"/>
  <c r="E605" i="23"/>
  <c r="E606" i="23"/>
  <c r="E607" i="23"/>
  <c r="E608" i="23"/>
  <c r="E609" i="23"/>
  <c r="E610" i="23"/>
  <c r="E611" i="23"/>
  <c r="E612" i="23"/>
  <c r="E613" i="23"/>
  <c r="E614" i="23"/>
  <c r="E615" i="23"/>
  <c r="E616" i="23"/>
  <c r="E617" i="23"/>
  <c r="E618" i="23"/>
  <c r="E619" i="23"/>
  <c r="E620" i="23"/>
  <c r="E621" i="23"/>
  <c r="E622" i="23"/>
  <c r="E623" i="23"/>
  <c r="E624" i="23"/>
  <c r="E625" i="23"/>
  <c r="E626" i="23"/>
  <c r="E627" i="23"/>
  <c r="E628" i="23"/>
  <c r="E629" i="23"/>
  <c r="E630" i="23"/>
  <c r="E631" i="23"/>
  <c r="E632" i="23"/>
  <c r="E633" i="23"/>
  <c r="E634" i="23"/>
  <c r="E635" i="23"/>
  <c r="E636" i="23"/>
  <c r="E637" i="23"/>
  <c r="E638" i="23"/>
  <c r="E639" i="23"/>
  <c r="E640" i="23"/>
  <c r="E641" i="23"/>
  <c r="E642" i="23"/>
  <c r="E643" i="23"/>
  <c r="E644" i="23"/>
  <c r="E645" i="23"/>
  <c r="E646" i="23"/>
  <c r="E647" i="23"/>
  <c r="E648" i="23"/>
  <c r="E649" i="23"/>
  <c r="E650" i="23"/>
  <c r="E651" i="23"/>
  <c r="E652" i="23"/>
  <c r="E653" i="23"/>
  <c r="E654" i="23"/>
  <c r="E655" i="23"/>
  <c r="E656" i="23"/>
  <c r="E657" i="23"/>
  <c r="E658" i="23"/>
  <c r="E659" i="23"/>
  <c r="E660" i="23"/>
  <c r="E661" i="23"/>
  <c r="E662" i="23"/>
  <c r="E663" i="23"/>
  <c r="E664" i="23"/>
  <c r="E665" i="23"/>
  <c r="E666" i="23"/>
  <c r="E667" i="23"/>
  <c r="E668" i="23"/>
  <c r="E669" i="23"/>
  <c r="E670" i="23"/>
  <c r="E671" i="23"/>
  <c r="E672" i="23"/>
  <c r="E673" i="23"/>
  <c r="E674" i="23"/>
  <c r="E675" i="23"/>
  <c r="E676" i="23"/>
  <c r="E677" i="23"/>
  <c r="E678" i="23"/>
  <c r="E679" i="23"/>
  <c r="E680" i="23"/>
  <c r="E681" i="23"/>
  <c r="E682" i="23"/>
  <c r="E683" i="23"/>
  <c r="E684" i="23"/>
  <c r="E685" i="23"/>
  <c r="E686" i="23"/>
  <c r="E687" i="23"/>
  <c r="E688" i="23"/>
  <c r="E689" i="23"/>
  <c r="E690" i="23"/>
  <c r="E691" i="23"/>
  <c r="E692" i="23"/>
  <c r="E693" i="23"/>
  <c r="E694" i="23"/>
  <c r="E695" i="23"/>
  <c r="E696" i="23"/>
  <c r="E697" i="23"/>
  <c r="E698" i="23"/>
  <c r="E699" i="23"/>
  <c r="E700" i="23"/>
  <c r="E701" i="23"/>
  <c r="C97" i="23"/>
  <c r="D97" i="23"/>
  <c r="C98" i="23"/>
  <c r="E98" i="23"/>
  <c r="D98" i="23"/>
  <c r="C99" i="23"/>
  <c r="D99" i="23"/>
  <c r="C100" i="23"/>
  <c r="E100" i="23" s="1"/>
  <c r="D100" i="23"/>
  <c r="C101" i="23"/>
  <c r="D101" i="23"/>
  <c r="C102" i="23"/>
  <c r="D102" i="23"/>
  <c r="E102" i="23" s="1"/>
  <c r="C103" i="23"/>
  <c r="E103" i="23" s="1"/>
  <c r="D103" i="23"/>
  <c r="C104" i="23"/>
  <c r="E104" i="23" s="1"/>
  <c r="D104" i="23"/>
  <c r="C105" i="23"/>
  <c r="D105" i="23"/>
  <c r="C106" i="23"/>
  <c r="D106" i="23"/>
  <c r="C107" i="23"/>
  <c r="D107" i="23"/>
  <c r="C108" i="23"/>
  <c r="E108" i="23"/>
  <c r="D108" i="23"/>
  <c r="C109" i="23"/>
  <c r="D109" i="23"/>
  <c r="C110" i="23"/>
  <c r="D110" i="23"/>
  <c r="C111" i="23"/>
  <c r="D111" i="23"/>
  <c r="C112" i="23"/>
  <c r="D112" i="23"/>
  <c r="E112" i="23" s="1"/>
  <c r="C113" i="23"/>
  <c r="D113" i="23"/>
  <c r="C114" i="23"/>
  <c r="D114" i="23"/>
  <c r="C115" i="23"/>
  <c r="D115" i="23"/>
  <c r="C116" i="23"/>
  <c r="E116" i="23"/>
  <c r="D116" i="23"/>
  <c r="C117" i="23"/>
  <c r="D117" i="23"/>
  <c r="C118" i="23"/>
  <c r="E118" i="23" s="1"/>
  <c r="D118" i="23"/>
  <c r="C119" i="23"/>
  <c r="D119" i="23"/>
  <c r="C120" i="23"/>
  <c r="D120" i="23"/>
  <c r="E120" i="23" s="1"/>
  <c r="C121" i="23"/>
  <c r="D121" i="23"/>
  <c r="C122" i="23"/>
  <c r="E122" i="23" s="1"/>
  <c r="D122" i="23"/>
  <c r="C123" i="23"/>
  <c r="D123" i="23"/>
  <c r="C124" i="23"/>
  <c r="E124" i="23" s="1"/>
  <c r="D124" i="23"/>
  <c r="C125" i="23"/>
  <c r="D125" i="23"/>
  <c r="C126" i="23"/>
  <c r="E126" i="23"/>
  <c r="D126" i="23"/>
  <c r="C127" i="23"/>
  <c r="D127" i="23"/>
  <c r="C128" i="23"/>
  <c r="D128" i="23"/>
  <c r="C129" i="23"/>
  <c r="D129" i="23"/>
  <c r="E129" i="23" s="1"/>
  <c r="C130" i="23"/>
  <c r="D130" i="23"/>
  <c r="E130" i="23" s="1"/>
  <c r="C131" i="23"/>
  <c r="D131" i="23"/>
  <c r="C132" i="23"/>
  <c r="D132" i="23"/>
  <c r="C133" i="23"/>
  <c r="D133" i="23"/>
  <c r="E133" i="23" s="1"/>
  <c r="C134" i="23"/>
  <c r="E134" i="23"/>
  <c r="D134" i="23"/>
  <c r="C135" i="23"/>
  <c r="E135" i="23" s="1"/>
  <c r="D135" i="23"/>
  <c r="C136" i="23"/>
  <c r="E136" i="23" s="1"/>
  <c r="D136" i="23"/>
  <c r="C137" i="23"/>
  <c r="D137" i="23"/>
  <c r="C138" i="23"/>
  <c r="D138" i="23"/>
  <c r="C139" i="23"/>
  <c r="D139" i="23"/>
  <c r="C140" i="23"/>
  <c r="D140" i="23"/>
  <c r="E140" i="23" s="1"/>
  <c r="C141" i="23"/>
  <c r="E141" i="23" s="1"/>
  <c r="D141" i="23"/>
  <c r="C142" i="23"/>
  <c r="E142" i="23" s="1"/>
  <c r="D142" i="23"/>
  <c r="C143" i="23"/>
  <c r="D143" i="23"/>
  <c r="C144" i="23"/>
  <c r="D144" i="23"/>
  <c r="C145" i="23"/>
  <c r="D145" i="23"/>
  <c r="C146" i="23"/>
  <c r="E146" i="23"/>
  <c r="D146" i="23"/>
  <c r="C147" i="23"/>
  <c r="D147" i="23"/>
  <c r="C148" i="23"/>
  <c r="D148" i="23"/>
  <c r="C149" i="23"/>
  <c r="D149" i="23"/>
  <c r="C150" i="23"/>
  <c r="D150" i="23"/>
  <c r="C151" i="23"/>
  <c r="D151" i="23"/>
  <c r="C152" i="23"/>
  <c r="D152" i="23"/>
  <c r="E152" i="23" s="1"/>
  <c r="C153" i="23"/>
  <c r="D153" i="23"/>
  <c r="C154" i="23"/>
  <c r="D154" i="23"/>
  <c r="C155" i="23"/>
  <c r="D155" i="23"/>
  <c r="C156" i="23"/>
  <c r="D156" i="23"/>
  <c r="C157" i="23"/>
  <c r="D157" i="23"/>
  <c r="C158" i="23"/>
  <c r="D158" i="23"/>
  <c r="E158" i="23" s="1"/>
  <c r="C159" i="23"/>
  <c r="D159" i="23"/>
  <c r="C160" i="23"/>
  <c r="E160" i="23"/>
  <c r="D160" i="23"/>
  <c r="C161" i="23"/>
  <c r="D161" i="23"/>
  <c r="C162" i="23"/>
  <c r="E162" i="23" s="1"/>
  <c r="D162" i="23"/>
  <c r="C163" i="23"/>
  <c r="D163" i="23"/>
  <c r="C164" i="23"/>
  <c r="E164" i="23" s="1"/>
  <c r="D164" i="23"/>
  <c r="C165" i="23"/>
  <c r="D165" i="23"/>
  <c r="C166" i="23"/>
  <c r="E166" i="23" s="1"/>
  <c r="D166" i="23"/>
  <c r="C167" i="23"/>
  <c r="E167" i="23" s="1"/>
  <c r="D167" i="23"/>
  <c r="C168" i="23"/>
  <c r="D168" i="23"/>
  <c r="E168" i="23" s="1"/>
  <c r="C169" i="23"/>
  <c r="D169" i="23"/>
  <c r="C170" i="23"/>
  <c r="E170" i="23" s="1"/>
  <c r="D170" i="23"/>
  <c r="C171" i="23"/>
  <c r="D171" i="23"/>
  <c r="C172" i="23"/>
  <c r="E172" i="23"/>
  <c r="D172" i="23"/>
  <c r="C173" i="23"/>
  <c r="D173" i="23"/>
  <c r="C174" i="23"/>
  <c r="D174" i="23"/>
  <c r="C175" i="23"/>
  <c r="D175" i="23"/>
  <c r="E175" i="23" s="1"/>
  <c r="C176" i="23"/>
  <c r="D176" i="23"/>
  <c r="C177" i="23"/>
  <c r="D177" i="23"/>
  <c r="E177" i="23" s="1"/>
  <c r="C178" i="23"/>
  <c r="D178" i="23"/>
  <c r="E178" i="23" s="1"/>
  <c r="C179" i="23"/>
  <c r="D179" i="23"/>
  <c r="C180" i="23"/>
  <c r="D180" i="23"/>
  <c r="C181" i="23"/>
  <c r="D181" i="23"/>
  <c r="C182" i="23"/>
  <c r="D182" i="23"/>
  <c r="C183" i="23"/>
  <c r="D183" i="23"/>
  <c r="E183" i="23" s="1"/>
  <c r="C184" i="23"/>
  <c r="D184" i="23"/>
  <c r="C185" i="23"/>
  <c r="D185" i="23"/>
  <c r="E185" i="23" s="1"/>
  <c r="C186" i="23"/>
  <c r="E186" i="23"/>
  <c r="D186" i="23"/>
  <c r="C187" i="23"/>
  <c r="E187" i="23" s="1"/>
  <c r="D187" i="23"/>
  <c r="C188" i="23"/>
  <c r="D188" i="23"/>
  <c r="C189" i="23"/>
  <c r="E189" i="23" s="1"/>
  <c r="D189" i="23"/>
  <c r="C190" i="23"/>
  <c r="D190" i="23"/>
  <c r="C191" i="23"/>
  <c r="E191" i="23" s="1"/>
  <c r="D191" i="23"/>
  <c r="C192" i="23"/>
  <c r="D192" i="23"/>
  <c r="C193" i="23"/>
  <c r="E193" i="23" s="1"/>
  <c r="D193" i="23"/>
  <c r="C194" i="23"/>
  <c r="E194" i="23" s="1"/>
  <c r="D194" i="23"/>
  <c r="C195" i="23"/>
  <c r="D195" i="23"/>
  <c r="C196" i="23"/>
  <c r="D196" i="23"/>
  <c r="C197" i="23"/>
  <c r="D197" i="23"/>
  <c r="C198" i="23"/>
  <c r="D198" i="23"/>
  <c r="C199" i="23"/>
  <c r="D199" i="23"/>
  <c r="C200" i="23"/>
  <c r="D200" i="23"/>
  <c r="E200" i="23" s="1"/>
  <c r="C201" i="23"/>
  <c r="D201" i="23"/>
  <c r="C202" i="23"/>
  <c r="E202" i="23"/>
  <c r="D202" i="23"/>
  <c r="C203" i="23"/>
  <c r="D203" i="23"/>
  <c r="C204" i="23"/>
  <c r="E204" i="23" s="1"/>
  <c r="D204" i="23"/>
  <c r="C205" i="23"/>
  <c r="D205" i="23"/>
  <c r="C206" i="23"/>
  <c r="E206" i="23" s="1"/>
  <c r="D206" i="23"/>
  <c r="C207" i="23"/>
  <c r="D207" i="23"/>
  <c r="C208" i="23"/>
  <c r="D208" i="23"/>
  <c r="C209" i="23"/>
  <c r="D209" i="23"/>
  <c r="C210" i="23"/>
  <c r="D210" i="23"/>
  <c r="E210" i="23" s="1"/>
  <c r="C211" i="23"/>
  <c r="D211" i="23"/>
  <c r="C212" i="23"/>
  <c r="E212" i="23" s="1"/>
  <c r="D212" i="23"/>
  <c r="C213" i="23"/>
  <c r="D213" i="23"/>
  <c r="C214" i="23"/>
  <c r="E214" i="23" s="1"/>
  <c r="D214" i="23"/>
  <c r="C215" i="23"/>
  <c r="D215" i="23"/>
  <c r="C216" i="23"/>
  <c r="D216" i="23"/>
  <c r="C217" i="23"/>
  <c r="D217" i="23"/>
  <c r="C218" i="23"/>
  <c r="E218" i="23"/>
  <c r="D218" i="23"/>
  <c r="C219" i="23"/>
  <c r="D219" i="23"/>
  <c r="C220" i="23"/>
  <c r="E8" i="26" s="1"/>
  <c r="D220" i="23"/>
  <c r="C221" i="23"/>
  <c r="D221" i="23"/>
  <c r="E221" i="23" s="1"/>
  <c r="C222" i="23"/>
  <c r="D222" i="23"/>
  <c r="E222" i="23" s="1"/>
  <c r="C223" i="23"/>
  <c r="D223" i="23"/>
  <c r="C224" i="23"/>
  <c r="D224" i="23"/>
  <c r="C225" i="23"/>
  <c r="D225" i="23"/>
  <c r="C226" i="23"/>
  <c r="D226" i="23"/>
  <c r="C227" i="23"/>
  <c r="D227" i="23"/>
  <c r="E227" i="23" s="1"/>
  <c r="C228" i="23"/>
  <c r="D228" i="23"/>
  <c r="C229" i="23"/>
  <c r="D229" i="23"/>
  <c r="C230" i="23"/>
  <c r="E230" i="23"/>
  <c r="D230" i="23"/>
  <c r="C231" i="23"/>
  <c r="E231" i="23" s="1"/>
  <c r="D231" i="23"/>
  <c r="C232" i="23"/>
  <c r="D232" i="23"/>
  <c r="C233" i="23"/>
  <c r="E233" i="23" s="1"/>
  <c r="D233" i="23"/>
  <c r="C234" i="23"/>
  <c r="E234" i="23" s="1"/>
  <c r="D234" i="23"/>
  <c r="C235" i="23"/>
  <c r="D235" i="23"/>
  <c r="C236" i="23"/>
  <c r="D236" i="23"/>
  <c r="C237" i="23"/>
  <c r="D237" i="23"/>
  <c r="C238" i="23"/>
  <c r="D238" i="23"/>
  <c r="E238" i="23" s="1"/>
  <c r="C239" i="23"/>
  <c r="E239" i="23" s="1"/>
  <c r="D239" i="23"/>
  <c r="C240" i="23"/>
  <c r="D240" i="23"/>
  <c r="C241" i="23"/>
  <c r="E241" i="23" s="1"/>
  <c r="D241" i="23"/>
  <c r="C242" i="23"/>
  <c r="E242" i="23" s="1"/>
  <c r="D242" i="23"/>
  <c r="C243" i="23"/>
  <c r="D243" i="23"/>
  <c r="C244" i="23"/>
  <c r="D244" i="23"/>
  <c r="C245" i="23"/>
  <c r="D245" i="23"/>
  <c r="C246" i="23"/>
  <c r="E246" i="23"/>
  <c r="D246" i="23"/>
  <c r="C247" i="23"/>
  <c r="D247" i="23"/>
  <c r="C248" i="23"/>
  <c r="D248" i="23"/>
  <c r="C249" i="23"/>
  <c r="D249" i="23"/>
  <c r="C250" i="23"/>
  <c r="D250" i="23"/>
  <c r="C251" i="23"/>
  <c r="D251" i="23"/>
  <c r="C252" i="23"/>
  <c r="D252" i="23"/>
  <c r="C253" i="23"/>
  <c r="D253" i="23"/>
  <c r="C254" i="23"/>
  <c r="D254" i="23"/>
  <c r="C255" i="23"/>
  <c r="D255" i="23"/>
  <c r="C256" i="23"/>
  <c r="D256" i="23"/>
  <c r="C257" i="23"/>
  <c r="D257" i="23"/>
  <c r="C258" i="23"/>
  <c r="D258" i="23"/>
  <c r="E258" i="23" s="1"/>
  <c r="C259" i="23"/>
  <c r="D259" i="23"/>
  <c r="C260" i="23"/>
  <c r="D260" i="23"/>
  <c r="C261" i="23"/>
  <c r="D261" i="23"/>
  <c r="C262" i="23"/>
  <c r="D262" i="23"/>
  <c r="C263" i="23"/>
  <c r="D263" i="23"/>
  <c r="C264" i="23"/>
  <c r="D264" i="23"/>
  <c r="E264" i="23" s="1"/>
  <c r="C265" i="23"/>
  <c r="D265" i="23"/>
  <c r="E265" i="23" s="1"/>
  <c r="C266" i="23"/>
  <c r="D266" i="23"/>
  <c r="C267" i="23"/>
  <c r="D267" i="23"/>
  <c r="C268" i="23"/>
  <c r="D268" i="23"/>
  <c r="C269" i="23"/>
  <c r="D269" i="23"/>
  <c r="C270" i="23"/>
  <c r="D270" i="23"/>
  <c r="E270" i="23" s="1"/>
  <c r="C271" i="23"/>
  <c r="D271" i="23"/>
  <c r="C272" i="23"/>
  <c r="D272" i="23"/>
  <c r="C273" i="23"/>
  <c r="D273" i="23"/>
  <c r="C274" i="23"/>
  <c r="D274" i="23"/>
  <c r="C275" i="23"/>
  <c r="D275" i="23"/>
  <c r="C276" i="23"/>
  <c r="D276" i="23"/>
  <c r="E276" i="23" s="1"/>
  <c r="C277" i="23"/>
  <c r="D277" i="23"/>
  <c r="C278" i="23"/>
  <c r="E278" i="23"/>
  <c r="D278" i="23"/>
  <c r="C279" i="23"/>
  <c r="D279" i="23"/>
  <c r="C280" i="23"/>
  <c r="E280" i="23" s="1"/>
  <c r="D280" i="23"/>
  <c r="C281" i="23"/>
  <c r="E281" i="23" s="1"/>
  <c r="D281" i="23"/>
  <c r="C282" i="23"/>
  <c r="D282" i="23"/>
  <c r="C283" i="23"/>
  <c r="D283" i="23"/>
  <c r="C284" i="23"/>
  <c r="D284" i="23"/>
  <c r="C285" i="23"/>
  <c r="D285" i="23"/>
  <c r="C286" i="23"/>
  <c r="D286" i="23"/>
  <c r="E286" i="23" s="1"/>
  <c r="C287" i="23"/>
  <c r="D287" i="23"/>
  <c r="C288" i="23"/>
  <c r="E288" i="23" s="1"/>
  <c r="D288" i="23"/>
  <c r="C289" i="23"/>
  <c r="D289" i="23"/>
  <c r="C290" i="23"/>
  <c r="E290" i="23" s="1"/>
  <c r="D290" i="23"/>
  <c r="C291" i="23"/>
  <c r="D291" i="23"/>
  <c r="C292" i="23"/>
  <c r="D292" i="23"/>
  <c r="C293" i="23"/>
  <c r="D293" i="23"/>
  <c r="C294" i="23"/>
  <c r="E294" i="23"/>
  <c r="D294" i="23"/>
  <c r="C295" i="23"/>
  <c r="D295" i="23"/>
  <c r="C296" i="23"/>
  <c r="D296" i="23"/>
  <c r="C297" i="23"/>
  <c r="D297" i="23"/>
  <c r="C298" i="23"/>
  <c r="D298" i="23"/>
  <c r="E298" i="23" s="1"/>
  <c r="C299" i="23"/>
  <c r="D299" i="23"/>
  <c r="C300" i="23"/>
  <c r="D300" i="23"/>
  <c r="C301" i="23"/>
  <c r="D301" i="23"/>
  <c r="E301" i="23" s="1"/>
  <c r="C302" i="23"/>
  <c r="E302" i="23"/>
  <c r="D302" i="23"/>
  <c r="C303" i="23"/>
  <c r="E303" i="23" s="1"/>
  <c r="D303" i="23"/>
  <c r="C304" i="23"/>
  <c r="E304" i="23" s="1"/>
  <c r="D304" i="23"/>
  <c r="C305" i="23"/>
  <c r="E305" i="23"/>
  <c r="D305" i="23"/>
  <c r="C306" i="23"/>
  <c r="D306" i="23"/>
  <c r="C307" i="23"/>
  <c r="D307" i="23"/>
  <c r="C308" i="23"/>
  <c r="D308" i="23"/>
  <c r="C309" i="23"/>
  <c r="D309" i="23"/>
  <c r="C310" i="23"/>
  <c r="E310" i="23"/>
  <c r="D310" i="23"/>
  <c r="C311" i="23"/>
  <c r="D311" i="23"/>
  <c r="C312" i="23"/>
  <c r="E312" i="23" s="1"/>
  <c r="D312" i="23"/>
  <c r="C313" i="23"/>
  <c r="E313" i="23"/>
  <c r="D313" i="23"/>
  <c r="C314" i="23"/>
  <c r="D314" i="23"/>
  <c r="C315" i="23"/>
  <c r="D315" i="23"/>
  <c r="E315" i="23" s="1"/>
  <c r="C316" i="23"/>
  <c r="E316" i="23"/>
  <c r="D316" i="23"/>
  <c r="C317" i="23"/>
  <c r="D317" i="23"/>
  <c r="C318" i="23"/>
  <c r="E318" i="23" s="1"/>
  <c r="D318" i="23"/>
  <c r="C319" i="23"/>
  <c r="D319" i="23"/>
  <c r="C320" i="23"/>
  <c r="D320" i="23"/>
  <c r="E320" i="23" s="1"/>
  <c r="C321" i="23"/>
  <c r="E321" i="23" s="1"/>
  <c r="D321" i="23"/>
  <c r="C322" i="23"/>
  <c r="D322" i="23"/>
  <c r="C323" i="23"/>
  <c r="D323" i="23"/>
  <c r="C324" i="23"/>
  <c r="E324" i="23"/>
  <c r="D324" i="23"/>
  <c r="C325" i="23"/>
  <c r="D325" i="23"/>
  <c r="C326" i="23"/>
  <c r="D326" i="23"/>
  <c r="C327" i="23"/>
  <c r="D327" i="23"/>
  <c r="C328" i="23"/>
  <c r="D328" i="23"/>
  <c r="E328" i="23" s="1"/>
  <c r="C329" i="23"/>
  <c r="D329" i="23"/>
  <c r="C330" i="23"/>
  <c r="E330" i="23"/>
  <c r="D330" i="23"/>
  <c r="C331" i="23"/>
  <c r="D331" i="23"/>
  <c r="C332" i="23"/>
  <c r="E332" i="23" s="1"/>
  <c r="D332" i="23"/>
  <c r="C333" i="23"/>
  <c r="D333" i="23"/>
  <c r="C334" i="23"/>
  <c r="D334" i="23"/>
  <c r="E334" i="23" s="1"/>
  <c r="C335" i="23"/>
  <c r="D335" i="23"/>
  <c r="C336" i="23"/>
  <c r="E336" i="23" s="1"/>
  <c r="D336" i="23"/>
  <c r="C337" i="23"/>
  <c r="D337" i="23"/>
  <c r="E337" i="23" s="1"/>
  <c r="C338" i="23"/>
  <c r="D338" i="23"/>
  <c r="C339" i="23"/>
  <c r="D339" i="23"/>
  <c r="C340" i="23"/>
  <c r="E340" i="23" s="1"/>
  <c r="D340" i="23"/>
  <c r="C341" i="23"/>
  <c r="D341" i="23"/>
  <c r="C342" i="23"/>
  <c r="D342" i="23"/>
  <c r="E342" i="23" s="1"/>
  <c r="C343" i="23"/>
  <c r="D343" i="23"/>
  <c r="C344" i="23"/>
  <c r="E344" i="23" s="1"/>
  <c r="D344" i="23"/>
  <c r="C345" i="23"/>
  <c r="D345" i="23"/>
  <c r="E345" i="23" s="1"/>
  <c r="C346" i="23"/>
  <c r="E346" i="23" s="1"/>
  <c r="D346" i="23"/>
  <c r="C347" i="23"/>
  <c r="D347" i="23"/>
  <c r="C348" i="23"/>
  <c r="D348" i="23"/>
  <c r="E348" i="23" s="1"/>
  <c r="C349" i="23"/>
  <c r="D349" i="23"/>
  <c r="C350" i="23"/>
  <c r="E350" i="23" s="1"/>
  <c r="D350" i="23"/>
  <c r="C351" i="23"/>
  <c r="D351" i="23"/>
  <c r="C352" i="23"/>
  <c r="E352" i="23"/>
  <c r="D352" i="23"/>
  <c r="C353" i="23"/>
  <c r="D353" i="23"/>
  <c r="C354" i="23"/>
  <c r="D354" i="23"/>
  <c r="C355" i="23"/>
  <c r="D355" i="23"/>
  <c r="E355" i="23" s="1"/>
  <c r="C356" i="23"/>
  <c r="D356" i="23"/>
  <c r="E356" i="23" s="1"/>
  <c r="C357" i="23"/>
  <c r="D357" i="23"/>
  <c r="C358" i="23"/>
  <c r="D358" i="23"/>
  <c r="C359" i="23"/>
  <c r="D359" i="23"/>
  <c r="C360" i="23"/>
  <c r="E360" i="23"/>
  <c r="D360" i="23"/>
  <c r="C361" i="23"/>
  <c r="E361" i="23" s="1"/>
  <c r="D361" i="23"/>
  <c r="C362" i="23"/>
  <c r="D362" i="23"/>
  <c r="E362" i="23" s="1"/>
  <c r="C363" i="23"/>
  <c r="D363" i="23"/>
  <c r="C364" i="23"/>
  <c r="E364" i="23" s="1"/>
  <c r="D364" i="23"/>
  <c r="C365" i="23"/>
  <c r="D365" i="23"/>
  <c r="E365" i="23" s="1"/>
  <c r="C366" i="23"/>
  <c r="E366" i="23"/>
  <c r="D366" i="23"/>
  <c r="C367" i="23"/>
  <c r="E367" i="23" s="1"/>
  <c r="D367" i="23"/>
  <c r="C368" i="23"/>
  <c r="E368" i="23" s="1"/>
  <c r="D368" i="23"/>
  <c r="C369" i="23"/>
  <c r="E369" i="23" s="1"/>
  <c r="D369" i="23"/>
  <c r="C370" i="23"/>
  <c r="D370" i="23"/>
  <c r="C371" i="23"/>
  <c r="D371" i="23"/>
  <c r="C372" i="23"/>
  <c r="E372" i="23"/>
  <c r="D372" i="23"/>
  <c r="C373" i="23"/>
  <c r="D373" i="23"/>
  <c r="C374" i="23"/>
  <c r="E374" i="23" s="1"/>
  <c r="D374" i="23"/>
  <c r="C375" i="23"/>
  <c r="D375" i="23"/>
  <c r="E375" i="23" s="1"/>
  <c r="C376" i="23"/>
  <c r="D376" i="23"/>
  <c r="C377" i="23"/>
  <c r="E377" i="23"/>
  <c r="D377" i="23"/>
  <c r="C378" i="23"/>
  <c r="E378" i="23" s="1"/>
  <c r="D378" i="23"/>
  <c r="C379" i="23"/>
  <c r="D379" i="23"/>
  <c r="C380" i="23"/>
  <c r="E380" i="23"/>
  <c r="D380" i="23"/>
  <c r="C381" i="23"/>
  <c r="D381" i="23"/>
  <c r="C382" i="23"/>
  <c r="E382" i="23" s="1"/>
  <c r="D382" i="23"/>
  <c r="C383" i="23"/>
  <c r="D383" i="23"/>
  <c r="C384" i="23"/>
  <c r="D384" i="23"/>
  <c r="E384" i="23"/>
  <c r="C385" i="23"/>
  <c r="D385" i="23"/>
  <c r="C386" i="23"/>
  <c r="E386" i="23"/>
  <c r="D386" i="23"/>
  <c r="C387" i="23"/>
  <c r="E387" i="23" s="1"/>
  <c r="D387" i="23"/>
  <c r="C388" i="23"/>
  <c r="D388" i="23"/>
  <c r="E388" i="23"/>
  <c r="C389" i="23"/>
  <c r="D389" i="23"/>
  <c r="C390" i="23"/>
  <c r="D390" i="23"/>
  <c r="E390" i="23" s="1"/>
  <c r="C391" i="23"/>
  <c r="D391" i="23"/>
  <c r="C392" i="23"/>
  <c r="E392" i="23" s="1"/>
  <c r="D392" i="23"/>
  <c r="C393" i="23"/>
  <c r="D393" i="23"/>
  <c r="E393" i="23" s="1"/>
  <c r="C394" i="23"/>
  <c r="E394" i="23" s="1"/>
  <c r="D394" i="23"/>
  <c r="C395" i="23"/>
  <c r="E395" i="23" s="1"/>
  <c r="D395" i="23"/>
  <c r="D96" i="23"/>
  <c r="C96" i="23"/>
  <c r="E96" i="23"/>
  <c r="Q152" i="23"/>
  <c r="Q167" i="23"/>
  <c r="C43" i="23"/>
  <c r="E43" i="23"/>
  <c r="D43" i="23"/>
  <c r="P93" i="23"/>
  <c r="O93" i="23"/>
  <c r="E153" i="23"/>
  <c r="E580" i="23"/>
  <c r="O396" i="23"/>
  <c r="O398" i="23"/>
  <c r="P396" i="23"/>
  <c r="P397" i="23" s="1"/>
  <c r="G45" i="12"/>
  <c r="H45" i="12" s="1"/>
  <c r="J45" i="12" s="1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A2" i="24"/>
  <c r="C214" i="28"/>
  <c r="F262" i="24"/>
  <c r="G489" i="24"/>
  <c r="J15" i="12"/>
  <c r="Q395" i="23"/>
  <c r="Q394" i="23"/>
  <c r="Q393" i="23"/>
  <c r="Q392" i="23"/>
  <c r="Q391" i="23"/>
  <c r="Q390" i="23"/>
  <c r="Q389" i="23"/>
  <c r="Q388" i="23"/>
  <c r="Q387" i="23"/>
  <c r="Q386" i="23"/>
  <c r="Q385" i="23"/>
  <c r="Q384" i="23"/>
  <c r="Q383" i="23"/>
  <c r="Q382" i="23"/>
  <c r="Q381" i="23"/>
  <c r="Q380" i="23"/>
  <c r="Q379" i="23"/>
  <c r="Q378" i="23"/>
  <c r="Q377" i="23"/>
  <c r="Q376" i="23"/>
  <c r="Q375" i="23"/>
  <c r="Q374" i="23"/>
  <c r="Q373" i="23"/>
  <c r="Q372" i="23"/>
  <c r="Q371" i="23"/>
  <c r="Q370" i="23"/>
  <c r="Q369" i="23"/>
  <c r="Q368" i="23"/>
  <c r="Q367" i="23"/>
  <c r="Q366" i="23"/>
  <c r="Q365" i="23"/>
  <c r="Q364" i="23"/>
  <c r="Q363" i="23"/>
  <c r="Q362" i="23"/>
  <c r="Q361" i="23"/>
  <c r="Q360" i="23"/>
  <c r="Q359" i="23"/>
  <c r="Q358" i="23"/>
  <c r="Q357" i="23"/>
  <c r="Q356" i="23"/>
  <c r="Q355" i="23"/>
  <c r="Q354" i="23"/>
  <c r="Q353" i="23"/>
  <c r="Q352" i="23"/>
  <c r="Q351" i="23"/>
  <c r="Q350" i="23"/>
  <c r="Q349" i="23"/>
  <c r="Q348" i="23"/>
  <c r="Q347" i="23"/>
  <c r="Q346" i="23"/>
  <c r="Q345" i="23"/>
  <c r="Q344" i="23"/>
  <c r="Q343" i="23"/>
  <c r="Q342" i="23"/>
  <c r="Q341" i="23"/>
  <c r="Q340" i="23"/>
  <c r="Q339" i="23"/>
  <c r="Q338" i="23"/>
  <c r="Q337" i="23"/>
  <c r="Q336" i="23"/>
  <c r="Q335" i="23"/>
  <c r="Q334" i="23"/>
  <c r="Q333" i="23"/>
  <c r="Q332" i="23"/>
  <c r="Q331" i="23"/>
  <c r="Q330" i="23"/>
  <c r="Q329" i="23"/>
  <c r="Q328" i="23"/>
  <c r="Q327" i="23"/>
  <c r="Q326" i="23"/>
  <c r="Q325" i="23"/>
  <c r="Q324" i="23"/>
  <c r="Q323" i="23"/>
  <c r="Q322" i="23"/>
  <c r="Q321" i="23"/>
  <c r="Q320" i="23"/>
  <c r="Q319" i="23"/>
  <c r="Q318" i="23"/>
  <c r="Q317" i="23"/>
  <c r="Q316" i="23"/>
  <c r="Q315" i="23"/>
  <c r="Q314" i="23"/>
  <c r="Q313" i="23"/>
  <c r="Q312" i="23"/>
  <c r="Q311" i="23"/>
  <c r="Q310" i="23"/>
  <c r="Q309" i="23"/>
  <c r="Q308" i="23"/>
  <c r="Q307" i="23"/>
  <c r="Q306" i="23"/>
  <c r="Q305" i="23"/>
  <c r="Q304" i="23"/>
  <c r="Q303" i="23"/>
  <c r="Q302" i="23"/>
  <c r="Q301" i="23"/>
  <c r="Q300" i="23"/>
  <c r="Q299" i="23"/>
  <c r="Q298" i="23"/>
  <c r="Q297" i="23"/>
  <c r="Q296" i="23"/>
  <c r="Q295" i="23"/>
  <c r="Q294" i="23"/>
  <c r="Q293" i="23"/>
  <c r="Q292" i="23"/>
  <c r="Q291" i="23"/>
  <c r="Q290" i="23"/>
  <c r="Q289" i="23"/>
  <c r="Q288" i="23"/>
  <c r="Q287" i="23"/>
  <c r="Q286" i="23"/>
  <c r="Q285" i="23"/>
  <c r="Q284" i="23"/>
  <c r="Q283" i="23"/>
  <c r="Q282" i="23"/>
  <c r="Q281" i="23"/>
  <c r="Q280" i="23"/>
  <c r="Q279" i="23"/>
  <c r="Q278" i="23"/>
  <c r="Q277" i="23"/>
  <c r="Q276" i="23"/>
  <c r="Q275" i="23"/>
  <c r="Q274" i="23"/>
  <c r="Q273" i="23"/>
  <c r="Q272" i="23"/>
  <c r="Q271" i="23"/>
  <c r="Q270" i="23"/>
  <c r="Q269" i="23"/>
  <c r="Q268" i="23"/>
  <c r="Q267" i="23"/>
  <c r="Q266" i="23"/>
  <c r="Q265" i="23"/>
  <c r="Q264" i="23"/>
  <c r="Q263" i="23"/>
  <c r="Q262" i="23"/>
  <c r="Q261" i="23"/>
  <c r="Q260" i="23"/>
  <c r="Q259" i="23"/>
  <c r="Q258" i="23"/>
  <c r="Q257" i="23"/>
  <c r="Q256" i="23"/>
  <c r="Q255" i="23"/>
  <c r="Q254" i="23"/>
  <c r="Q253" i="23"/>
  <c r="Q252" i="23"/>
  <c r="Q251" i="23"/>
  <c r="Q250" i="23"/>
  <c r="Q249" i="23"/>
  <c r="Q248" i="23"/>
  <c r="Q247" i="23"/>
  <c r="Q246" i="23"/>
  <c r="Q245" i="23"/>
  <c r="Q244" i="23"/>
  <c r="Q243" i="23"/>
  <c r="Q242" i="23"/>
  <c r="Q241" i="23"/>
  <c r="Q240" i="23"/>
  <c r="Q239" i="23"/>
  <c r="Q238" i="23"/>
  <c r="Q237" i="23"/>
  <c r="Q236" i="23"/>
  <c r="Q235" i="23"/>
  <c r="Q234" i="23"/>
  <c r="Q233" i="23"/>
  <c r="Q232" i="23"/>
  <c r="Q231" i="23"/>
  <c r="Q230" i="23"/>
  <c r="Q229" i="23"/>
  <c r="Q228" i="23"/>
  <c r="Q227" i="23"/>
  <c r="Q226" i="23"/>
  <c r="Q225" i="23"/>
  <c r="Q224" i="23"/>
  <c r="Q223" i="23"/>
  <c r="Q222" i="23"/>
  <c r="Q221" i="23"/>
  <c r="Q220" i="23"/>
  <c r="Q219" i="23"/>
  <c r="Q218" i="23"/>
  <c r="Q217" i="23"/>
  <c r="Q216" i="23"/>
  <c r="Q215" i="23"/>
  <c r="Q214" i="23"/>
  <c r="Q213" i="23"/>
  <c r="Q212" i="23"/>
  <c r="Q211" i="23"/>
  <c r="Q210" i="23"/>
  <c r="Q209" i="23"/>
  <c r="Q208" i="23"/>
  <c r="Q207" i="23"/>
  <c r="Q206" i="23"/>
  <c r="Q205" i="23"/>
  <c r="Q204" i="23"/>
  <c r="Q203" i="23"/>
  <c r="Q202" i="23"/>
  <c r="Q201" i="23"/>
  <c r="Q200" i="23"/>
  <c r="Q199" i="23"/>
  <c r="Q198" i="23"/>
  <c r="Q197" i="23"/>
  <c r="Q196" i="23"/>
  <c r="Q195" i="23"/>
  <c r="Q194" i="23"/>
  <c r="Q193" i="23"/>
  <c r="Q192" i="23"/>
  <c r="Q191" i="23"/>
  <c r="Q190" i="23"/>
  <c r="Q189" i="23"/>
  <c r="Q188" i="23"/>
  <c r="Q187" i="23"/>
  <c r="Q186" i="23"/>
  <c r="Q185" i="23"/>
  <c r="Q184" i="23"/>
  <c r="Q183" i="23"/>
  <c r="Q182" i="23"/>
  <c r="Q181" i="23"/>
  <c r="Q180" i="23"/>
  <c r="Q179" i="23"/>
  <c r="Q178" i="23"/>
  <c r="Q177" i="23"/>
  <c r="Q176" i="23"/>
  <c r="Q175" i="23"/>
  <c r="Q174" i="23"/>
  <c r="Q173" i="23"/>
  <c r="Q172" i="23"/>
  <c r="Q171" i="23"/>
  <c r="Q170" i="23"/>
  <c r="Q169" i="23"/>
  <c r="Q168" i="23"/>
  <c r="Q166" i="23"/>
  <c r="Q165" i="23"/>
  <c r="Q164" i="23"/>
  <c r="Q163" i="23"/>
  <c r="Q162" i="23"/>
  <c r="Q161" i="23"/>
  <c r="Q160" i="23"/>
  <c r="Q159" i="23"/>
  <c r="Q158" i="23"/>
  <c r="Q157" i="23"/>
  <c r="Q156" i="23"/>
  <c r="Q155" i="23"/>
  <c r="Q154" i="23"/>
  <c r="Q153" i="23"/>
  <c r="Q151" i="23"/>
  <c r="Q150" i="23"/>
  <c r="Q149" i="23"/>
  <c r="Q148" i="23"/>
  <c r="Q147" i="23"/>
  <c r="Q146" i="23"/>
  <c r="Q145" i="23"/>
  <c r="Q144" i="23"/>
  <c r="Q143" i="23"/>
  <c r="Q142" i="23"/>
  <c r="Q141" i="23"/>
  <c r="Q140" i="23"/>
  <c r="Q139" i="23"/>
  <c r="Q138" i="23"/>
  <c r="Q137" i="23"/>
  <c r="Q136" i="23"/>
  <c r="Q134" i="23"/>
  <c r="Q133" i="23"/>
  <c r="Q132" i="23"/>
  <c r="Q131" i="23"/>
  <c r="Q130" i="23"/>
  <c r="Q129" i="23"/>
  <c r="Q128" i="23"/>
  <c r="Q127" i="23"/>
  <c r="Q126" i="23"/>
  <c r="Q125" i="23"/>
  <c r="Q124" i="23"/>
  <c r="Q123" i="23"/>
  <c r="Q122" i="23"/>
  <c r="Q121" i="23"/>
  <c r="Q120" i="23"/>
  <c r="Q119" i="23"/>
  <c r="Q118" i="23"/>
  <c r="Q117" i="23"/>
  <c r="Q116" i="23"/>
  <c r="Q115" i="23"/>
  <c r="Q114" i="23"/>
  <c r="Q113" i="23"/>
  <c r="Q112" i="23"/>
  <c r="Q111" i="23"/>
  <c r="Q110" i="23"/>
  <c r="Q109" i="23"/>
  <c r="Q108" i="23"/>
  <c r="Q107" i="23"/>
  <c r="Q106" i="23"/>
  <c r="Q105" i="23"/>
  <c r="Q104" i="23"/>
  <c r="Q103" i="23"/>
  <c r="Q102" i="23"/>
  <c r="Q101" i="23"/>
  <c r="Q100" i="23"/>
  <c r="Q99" i="23"/>
  <c r="Q98" i="23"/>
  <c r="Q97" i="23"/>
  <c r="Q96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4" i="23"/>
  <c r="Q45" i="23"/>
  <c r="Q46" i="23"/>
  <c r="Q47" i="23"/>
  <c r="Q48" i="23"/>
  <c r="Q49" i="23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74" i="23"/>
  <c r="Q75" i="23"/>
  <c r="Q76" i="23"/>
  <c r="Q77" i="23"/>
  <c r="Q78" i="23"/>
  <c r="Q79" i="23"/>
  <c r="Q80" i="23"/>
  <c r="Q81" i="23"/>
  <c r="Q82" i="23"/>
  <c r="Q83" i="23"/>
  <c r="Q84" i="23"/>
  <c r="Q85" i="23"/>
  <c r="Q86" i="23"/>
  <c r="Q87" i="23"/>
  <c r="Q88" i="23"/>
  <c r="Q89" i="23"/>
  <c r="Q90" i="23"/>
  <c r="Q91" i="23"/>
  <c r="Q92" i="23"/>
  <c r="E489" i="24"/>
  <c r="E480" i="24"/>
  <c r="E473" i="24"/>
  <c r="E474" i="24"/>
  <c r="E475" i="24"/>
  <c r="E476" i="24"/>
  <c r="H476" i="24" s="1"/>
  <c r="E472" i="24"/>
  <c r="E468" i="24"/>
  <c r="E469" i="24"/>
  <c r="E470" i="24"/>
  <c r="C146" i="25" s="1"/>
  <c r="E471" i="24"/>
  <c r="E467" i="24"/>
  <c r="E463" i="24"/>
  <c r="E464" i="24"/>
  <c r="E465" i="24"/>
  <c r="E462" i="24"/>
  <c r="E453" i="24"/>
  <c r="E452" i="24"/>
  <c r="E449" i="24"/>
  <c r="E448" i="24"/>
  <c r="E443" i="24"/>
  <c r="E444" i="24"/>
  <c r="F444" i="24" s="1"/>
  <c r="E442" i="24"/>
  <c r="E439" i="24"/>
  <c r="E438" i="24"/>
  <c r="E434" i="24"/>
  <c r="C66" i="25" s="1"/>
  <c r="E432" i="24"/>
  <c r="E428" i="24"/>
  <c r="E429" i="24"/>
  <c r="E430" i="24"/>
  <c r="C59" i="25" s="1"/>
  <c r="E427" i="24"/>
  <c r="E423" i="24"/>
  <c r="E424" i="24"/>
  <c r="H424" i="24" s="1"/>
  <c r="D655" i="29" s="1"/>
  <c r="E425" i="24"/>
  <c r="E416" i="24"/>
  <c r="E417" i="24"/>
  <c r="E418" i="24"/>
  <c r="E419" i="24"/>
  <c r="E420" i="24"/>
  <c r="E421" i="24"/>
  <c r="E422" i="24"/>
  <c r="H422" i="24" s="1"/>
  <c r="D653" i="29" s="1"/>
  <c r="E415" i="24"/>
  <c r="E412" i="24"/>
  <c r="E413" i="24"/>
  <c r="E414" i="24"/>
  <c r="E411" i="24"/>
  <c r="E408" i="24"/>
  <c r="E407" i="24"/>
  <c r="E396" i="24"/>
  <c r="E397" i="24"/>
  <c r="E398" i="24"/>
  <c r="E399" i="24"/>
  <c r="E400" i="24"/>
  <c r="H400" i="24" s="1"/>
  <c r="D622" i="29" s="1"/>
  <c r="E401" i="24"/>
  <c r="E402" i="24"/>
  <c r="E403" i="24"/>
  <c r="E404" i="24"/>
  <c r="H404" i="24" s="1"/>
  <c r="D626" i="29" s="1"/>
  <c r="E405" i="24"/>
  <c r="E395" i="24"/>
  <c r="E391" i="24"/>
  <c r="E392" i="24"/>
  <c r="E393" i="24"/>
  <c r="E390" i="24"/>
  <c r="E380" i="24"/>
  <c r="E381" i="24"/>
  <c r="E382" i="24"/>
  <c r="E383" i="24"/>
  <c r="E384" i="24"/>
  <c r="E385" i="24"/>
  <c r="H385" i="24" s="1"/>
  <c r="D589" i="29" s="1"/>
  <c r="E386" i="24"/>
  <c r="E387" i="24"/>
  <c r="E388" i="24"/>
  <c r="E379" i="24"/>
  <c r="E375" i="24"/>
  <c r="E376" i="24"/>
  <c r="E377" i="24"/>
  <c r="E374" i="24"/>
  <c r="E371" i="24"/>
  <c r="E368" i="24"/>
  <c r="E369" i="24"/>
  <c r="E370" i="24"/>
  <c r="E367" i="24"/>
  <c r="E362" i="24"/>
  <c r="E363" i="24"/>
  <c r="E364" i="24"/>
  <c r="E361" i="24"/>
  <c r="E359" i="24"/>
  <c r="E358" i="24"/>
  <c r="E356" i="24"/>
  <c r="H356" i="24" s="1"/>
  <c r="D550" i="29" s="1"/>
  <c r="E350" i="24"/>
  <c r="E351" i="24"/>
  <c r="E352" i="24"/>
  <c r="E353" i="24"/>
  <c r="E354" i="24"/>
  <c r="E355" i="24"/>
  <c r="E349" i="24"/>
  <c r="E345" i="24"/>
  <c r="E346" i="24"/>
  <c r="E347" i="24"/>
  <c r="E344" i="24"/>
  <c r="E340" i="24"/>
  <c r="E334" i="24"/>
  <c r="E335" i="24"/>
  <c r="E336" i="24"/>
  <c r="E333" i="24"/>
  <c r="E331" i="24"/>
  <c r="E329" i="24"/>
  <c r="E330" i="24"/>
  <c r="E328" i="24"/>
  <c r="H328" i="24" s="1"/>
  <c r="D504" i="29" s="1"/>
  <c r="E326" i="24"/>
  <c r="E325" i="24"/>
  <c r="E322" i="24"/>
  <c r="E323" i="24"/>
  <c r="E324" i="24"/>
  <c r="E321" i="24"/>
  <c r="E317" i="24"/>
  <c r="E318" i="24"/>
  <c r="E319" i="24"/>
  <c r="E316" i="24"/>
  <c r="E307" i="24"/>
  <c r="E305" i="24"/>
  <c r="E296" i="24"/>
  <c r="E295" i="24"/>
  <c r="E285" i="24"/>
  <c r="E286" i="24"/>
  <c r="E288" i="24"/>
  <c r="E289" i="24"/>
  <c r="E290" i="24"/>
  <c r="E291" i="24"/>
  <c r="H291" i="24" s="1"/>
  <c r="D452" i="29" s="1"/>
  <c r="E292" i="24"/>
  <c r="E293" i="24"/>
  <c r="E283" i="24"/>
  <c r="E284" i="24"/>
  <c r="E280" i="24"/>
  <c r="E281" i="24"/>
  <c r="E282" i="24"/>
  <c r="E279" i="24"/>
  <c r="E275" i="24"/>
  <c r="E276" i="24"/>
  <c r="E277" i="24"/>
  <c r="E274" i="24"/>
  <c r="E272" i="24"/>
  <c r="E268" i="24"/>
  <c r="E269" i="24"/>
  <c r="E270" i="24"/>
  <c r="E267" i="24"/>
  <c r="E245" i="24"/>
  <c r="E244" i="24"/>
  <c r="E233" i="24"/>
  <c r="E234" i="24"/>
  <c r="E235" i="24"/>
  <c r="E236" i="24"/>
  <c r="E237" i="24"/>
  <c r="H237" i="24" s="1"/>
  <c r="D374" i="29" s="1"/>
  <c r="E238" i="24"/>
  <c r="E239" i="24"/>
  <c r="E240" i="24"/>
  <c r="E241" i="24"/>
  <c r="H241" i="24" s="1"/>
  <c r="D378" i="29" s="1"/>
  <c r="E242" i="24"/>
  <c r="E232" i="24"/>
  <c r="E228" i="24"/>
  <c r="E229" i="24"/>
  <c r="E230" i="24"/>
  <c r="E216" i="24"/>
  <c r="E217" i="24"/>
  <c r="E218" i="24"/>
  <c r="E219" i="24"/>
  <c r="E220" i="24"/>
  <c r="E221" i="24"/>
  <c r="E222" i="24"/>
  <c r="H222" i="24" s="1"/>
  <c r="D347" i="29" s="1"/>
  <c r="E223" i="24"/>
  <c r="E224" i="24"/>
  <c r="E225" i="24"/>
  <c r="E215" i="24"/>
  <c r="E211" i="24"/>
  <c r="E212" i="24"/>
  <c r="E213" i="24"/>
  <c r="E210" i="24"/>
  <c r="E201" i="24"/>
  <c r="E200" i="24"/>
  <c r="E185" i="24"/>
  <c r="E186" i="24"/>
  <c r="H186" i="24" s="1"/>
  <c r="D305" i="29" s="1"/>
  <c r="E187" i="24"/>
  <c r="E188" i="24"/>
  <c r="E184" i="24"/>
  <c r="E182" i="24"/>
  <c r="H182" i="24" s="1"/>
  <c r="D301" i="29" s="1"/>
  <c r="E178" i="24"/>
  <c r="E179" i="24"/>
  <c r="E180" i="24"/>
  <c r="E181" i="24"/>
  <c r="E177" i="24"/>
  <c r="E175" i="24"/>
  <c r="G175" i="24"/>
  <c r="E176" i="24"/>
  <c r="E173" i="24"/>
  <c r="E174" i="24"/>
  <c r="E172" i="24"/>
  <c r="E163" i="24"/>
  <c r="E164" i="24"/>
  <c r="E165" i="24"/>
  <c r="E166" i="24"/>
  <c r="E167" i="24"/>
  <c r="H167" i="24" s="1"/>
  <c r="D279" i="29" s="1"/>
  <c r="E168" i="24"/>
  <c r="E169" i="24"/>
  <c r="E170" i="24"/>
  <c r="E162" i="24"/>
  <c r="E158" i="24"/>
  <c r="E159" i="24"/>
  <c r="E160" i="24"/>
  <c r="E157" i="24"/>
  <c r="E138" i="24"/>
  <c r="E137" i="24"/>
  <c r="E190" i="24"/>
  <c r="E155" i="24"/>
  <c r="E153" i="24"/>
  <c r="C51" i="25"/>
  <c r="E145" i="24"/>
  <c r="E146" i="24"/>
  <c r="H146" i="24" s="1"/>
  <c r="D252" i="29" s="1"/>
  <c r="E144" i="24"/>
  <c r="E128" i="24"/>
  <c r="H128" i="24" s="1"/>
  <c r="D226" i="29" s="1"/>
  <c r="E127" i="24"/>
  <c r="E6" i="26"/>
  <c r="E7" i="26"/>
  <c r="E5" i="26"/>
  <c r="D380" i="29"/>
  <c r="D702" i="23"/>
  <c r="C702" i="23"/>
  <c r="I563" i="23"/>
  <c r="I564" i="23"/>
  <c r="I565" i="23"/>
  <c r="I566" i="23"/>
  <c r="I567" i="23"/>
  <c r="I568" i="23"/>
  <c r="I569" i="23"/>
  <c r="I570" i="23"/>
  <c r="I571" i="23"/>
  <c r="I572" i="23"/>
  <c r="I573" i="23"/>
  <c r="I574" i="23"/>
  <c r="I575" i="23"/>
  <c r="I576" i="23"/>
  <c r="I577" i="23"/>
  <c r="I578" i="23"/>
  <c r="I579" i="23"/>
  <c r="I580" i="23"/>
  <c r="I583" i="23"/>
  <c r="I584" i="23"/>
  <c r="I585" i="23"/>
  <c r="I586" i="23"/>
  <c r="I587" i="23"/>
  <c r="I588" i="23"/>
  <c r="I589" i="23"/>
  <c r="I590" i="23"/>
  <c r="I591" i="23"/>
  <c r="I592" i="23"/>
  <c r="I593" i="23"/>
  <c r="I594" i="23"/>
  <c r="I595" i="23"/>
  <c r="I596" i="23"/>
  <c r="I597" i="23"/>
  <c r="I598" i="23"/>
  <c r="I599" i="23"/>
  <c r="I600" i="23"/>
  <c r="I601" i="23"/>
  <c r="I602" i="23"/>
  <c r="I603" i="23"/>
  <c r="I604" i="23"/>
  <c r="I605" i="23"/>
  <c r="I606" i="23"/>
  <c r="I607" i="23"/>
  <c r="I608" i="23"/>
  <c r="I609" i="23"/>
  <c r="I610" i="23"/>
  <c r="I611" i="23"/>
  <c r="I612" i="23"/>
  <c r="I613" i="23"/>
  <c r="I614" i="23"/>
  <c r="I615" i="23"/>
  <c r="I616" i="23"/>
  <c r="I617" i="23"/>
  <c r="I618" i="23"/>
  <c r="I619" i="23"/>
  <c r="I620" i="23"/>
  <c r="I621" i="23"/>
  <c r="I622" i="23"/>
  <c r="I623" i="23"/>
  <c r="I624" i="23"/>
  <c r="I625" i="23"/>
  <c r="I626" i="23"/>
  <c r="I627" i="23"/>
  <c r="I628" i="23"/>
  <c r="I629" i="23"/>
  <c r="I630" i="23"/>
  <c r="I631" i="23"/>
  <c r="I632" i="23"/>
  <c r="I633" i="23"/>
  <c r="I634" i="23"/>
  <c r="I635" i="23"/>
  <c r="I636" i="23"/>
  <c r="I637" i="23"/>
  <c r="I638" i="23"/>
  <c r="I639" i="23"/>
  <c r="I640" i="23"/>
  <c r="I641" i="23"/>
  <c r="I642" i="23"/>
  <c r="I643" i="23"/>
  <c r="I644" i="23"/>
  <c r="I645" i="23"/>
  <c r="I646" i="23"/>
  <c r="I647" i="23"/>
  <c r="I648" i="23"/>
  <c r="I649" i="23"/>
  <c r="I650" i="23"/>
  <c r="I651" i="23"/>
  <c r="I652" i="23"/>
  <c r="I653" i="23"/>
  <c r="I654" i="23"/>
  <c r="I655" i="23"/>
  <c r="I656" i="23"/>
  <c r="I657" i="23"/>
  <c r="I658" i="23"/>
  <c r="I659" i="23"/>
  <c r="I660" i="23"/>
  <c r="I661" i="23"/>
  <c r="I662" i="23"/>
  <c r="I663" i="23"/>
  <c r="I664" i="23"/>
  <c r="I665" i="23"/>
  <c r="I666" i="23"/>
  <c r="I667" i="23"/>
  <c r="I668" i="23"/>
  <c r="I669" i="23"/>
  <c r="I670" i="23"/>
  <c r="I671" i="23"/>
  <c r="I672" i="23"/>
  <c r="I673" i="23"/>
  <c r="I674" i="23"/>
  <c r="I675" i="23"/>
  <c r="I676" i="23"/>
  <c r="I677" i="23"/>
  <c r="I678" i="23"/>
  <c r="I679" i="23"/>
  <c r="I680" i="23"/>
  <c r="I681" i="23"/>
  <c r="I682" i="23"/>
  <c r="I683" i="23"/>
  <c r="I684" i="23"/>
  <c r="I685" i="23"/>
  <c r="I686" i="23"/>
  <c r="I687" i="23"/>
  <c r="I688" i="23"/>
  <c r="I689" i="23"/>
  <c r="I690" i="23"/>
  <c r="I691" i="23"/>
  <c r="I692" i="23"/>
  <c r="I693" i="23"/>
  <c r="I694" i="23"/>
  <c r="I695" i="23"/>
  <c r="I696" i="23"/>
  <c r="I697" i="23"/>
  <c r="I698" i="23"/>
  <c r="I699" i="23"/>
  <c r="I700" i="23"/>
  <c r="I701" i="23"/>
  <c r="I548" i="23"/>
  <c r="I549" i="23"/>
  <c r="I550" i="23"/>
  <c r="J552" i="23" s="1"/>
  <c r="I552" i="23"/>
  <c r="I553" i="23"/>
  <c r="J553" i="23" s="1"/>
  <c r="I554" i="23"/>
  <c r="I555" i="23"/>
  <c r="I556" i="23"/>
  <c r="I557" i="23"/>
  <c r="I558" i="23"/>
  <c r="I559" i="23"/>
  <c r="I560" i="23"/>
  <c r="I561" i="23"/>
  <c r="I562" i="23"/>
  <c r="I533" i="23"/>
  <c r="I534" i="23"/>
  <c r="I535" i="23"/>
  <c r="I536" i="23"/>
  <c r="I537" i="23"/>
  <c r="I538" i="23"/>
  <c r="I539" i="23"/>
  <c r="I540" i="23"/>
  <c r="I541" i="23"/>
  <c r="I542" i="23"/>
  <c r="I543" i="23"/>
  <c r="I544" i="23"/>
  <c r="I545" i="23"/>
  <c r="I546" i="23"/>
  <c r="I547" i="23"/>
  <c r="I518" i="23"/>
  <c r="I519" i="23"/>
  <c r="I520" i="23"/>
  <c r="I521" i="23"/>
  <c r="I522" i="23"/>
  <c r="I523" i="23"/>
  <c r="I524" i="23"/>
  <c r="I525" i="23"/>
  <c r="I526" i="23"/>
  <c r="I527" i="23"/>
  <c r="I528" i="23"/>
  <c r="I529" i="23"/>
  <c r="I530" i="23"/>
  <c r="I531" i="23"/>
  <c r="I532" i="23"/>
  <c r="I515" i="23"/>
  <c r="I516" i="23"/>
  <c r="I517" i="23"/>
  <c r="I499" i="23"/>
  <c r="I500" i="23"/>
  <c r="I501" i="23"/>
  <c r="I502" i="23"/>
  <c r="I503" i="23"/>
  <c r="I504" i="23"/>
  <c r="I505" i="23"/>
  <c r="I506" i="23"/>
  <c r="I507" i="23"/>
  <c r="I508" i="23"/>
  <c r="I509" i="23"/>
  <c r="I510" i="23"/>
  <c r="I511" i="23"/>
  <c r="I512" i="23"/>
  <c r="I513" i="23"/>
  <c r="I514" i="23"/>
  <c r="I485" i="23"/>
  <c r="I486" i="23"/>
  <c r="I487" i="23"/>
  <c r="I488" i="23"/>
  <c r="I489" i="23"/>
  <c r="I490" i="23"/>
  <c r="I491" i="23"/>
  <c r="I492" i="23"/>
  <c r="I493" i="23"/>
  <c r="I494" i="23"/>
  <c r="I495" i="23"/>
  <c r="I496" i="23"/>
  <c r="I497" i="23"/>
  <c r="I498" i="23"/>
  <c r="I483" i="23"/>
  <c r="I484" i="23"/>
  <c r="I481" i="23"/>
  <c r="I482" i="23"/>
  <c r="I479" i="23"/>
  <c r="I478" i="23"/>
  <c r="I476" i="23"/>
  <c r="I477" i="23"/>
  <c r="I461" i="23"/>
  <c r="I462" i="23"/>
  <c r="I463" i="23"/>
  <c r="I464" i="23"/>
  <c r="I465" i="23"/>
  <c r="I466" i="23"/>
  <c r="I467" i="23"/>
  <c r="I468" i="23"/>
  <c r="I469" i="23"/>
  <c r="I470" i="23"/>
  <c r="I471" i="23"/>
  <c r="I472" i="23"/>
  <c r="I473" i="23"/>
  <c r="I474" i="23"/>
  <c r="I475" i="23"/>
  <c r="I402" i="23"/>
  <c r="I403" i="23"/>
  <c r="I404" i="23"/>
  <c r="I405" i="23"/>
  <c r="I406" i="23"/>
  <c r="I407" i="23"/>
  <c r="I408" i="23"/>
  <c r="I409" i="23"/>
  <c r="I410" i="23"/>
  <c r="I411" i="23"/>
  <c r="I412" i="23"/>
  <c r="I413" i="23"/>
  <c r="I414" i="23"/>
  <c r="I415" i="23"/>
  <c r="I416" i="23"/>
  <c r="I417" i="23"/>
  <c r="I418" i="23"/>
  <c r="I419" i="23"/>
  <c r="I421" i="23"/>
  <c r="I422" i="23"/>
  <c r="I423" i="23"/>
  <c r="I424" i="23"/>
  <c r="I425" i="23"/>
  <c r="I426" i="23"/>
  <c r="I427" i="23"/>
  <c r="I428" i="23"/>
  <c r="I429" i="23"/>
  <c r="I430" i="23"/>
  <c r="I431" i="23"/>
  <c r="I432" i="23"/>
  <c r="I433" i="23"/>
  <c r="I434" i="23"/>
  <c r="I435" i="23"/>
  <c r="I436" i="23"/>
  <c r="I437" i="23"/>
  <c r="I438" i="23"/>
  <c r="I439" i="23"/>
  <c r="I440" i="23"/>
  <c r="I441" i="23"/>
  <c r="I442" i="23"/>
  <c r="I443" i="23"/>
  <c r="I444" i="23"/>
  <c r="I445" i="23"/>
  <c r="I446" i="23"/>
  <c r="I447" i="23"/>
  <c r="I448" i="23"/>
  <c r="I449" i="23"/>
  <c r="I450" i="23"/>
  <c r="I451" i="23"/>
  <c r="I452" i="23"/>
  <c r="I453" i="23"/>
  <c r="I454" i="23"/>
  <c r="I455" i="23"/>
  <c r="I456" i="23"/>
  <c r="I457" i="23"/>
  <c r="I458" i="23"/>
  <c r="I459" i="23"/>
  <c r="I460" i="23"/>
  <c r="I401" i="23"/>
  <c r="E401" i="23"/>
  <c r="E173" i="23"/>
  <c r="E143" i="23"/>
  <c r="E391" i="23"/>
  <c r="E389" i="23"/>
  <c r="E383" i="23"/>
  <c r="E381" i="23"/>
  <c r="E379" i="23"/>
  <c r="E373" i="23"/>
  <c r="E371" i="23"/>
  <c r="E363" i="23"/>
  <c r="E359" i="23"/>
  <c r="E357" i="23"/>
  <c r="E351" i="23"/>
  <c r="E349" i="23"/>
  <c r="E347" i="23"/>
  <c r="E343" i="23"/>
  <c r="E341" i="23"/>
  <c r="E339" i="23"/>
  <c r="E335" i="23"/>
  <c r="E333" i="23"/>
  <c r="E331" i="23"/>
  <c r="E327" i="23"/>
  <c r="E325" i="23"/>
  <c r="E323" i="23"/>
  <c r="E319" i="23"/>
  <c r="E317" i="23"/>
  <c r="E311" i="23"/>
  <c r="E309" i="23"/>
  <c r="E307" i="23"/>
  <c r="E299" i="23"/>
  <c r="E296" i="23"/>
  <c r="E295" i="23"/>
  <c r="E293" i="23"/>
  <c r="E292" i="23"/>
  <c r="E291" i="23"/>
  <c r="E289" i="23"/>
  <c r="E287" i="23"/>
  <c r="E285" i="23"/>
  <c r="E284" i="23"/>
  <c r="E283" i="23"/>
  <c r="E279" i="23"/>
  <c r="E277" i="23"/>
  <c r="E275" i="23"/>
  <c r="E273" i="23"/>
  <c r="E272" i="23"/>
  <c r="E271" i="23"/>
  <c r="E269" i="23"/>
  <c r="E268" i="23"/>
  <c r="E267" i="23"/>
  <c r="E263" i="23"/>
  <c r="E261" i="23"/>
  <c r="E260" i="23"/>
  <c r="E259" i="23"/>
  <c r="E257" i="23"/>
  <c r="E256" i="23"/>
  <c r="E255" i="23"/>
  <c r="E253" i="23"/>
  <c r="E252" i="23"/>
  <c r="E251" i="23"/>
  <c r="E249" i="23"/>
  <c r="E248" i="23"/>
  <c r="E247" i="23"/>
  <c r="E245" i="23"/>
  <c r="E244" i="23"/>
  <c r="E243" i="23"/>
  <c r="E240" i="23"/>
  <c r="E237" i="23"/>
  <c r="E236" i="23"/>
  <c r="E235" i="23"/>
  <c r="E232" i="23"/>
  <c r="E229" i="23"/>
  <c r="E228" i="23"/>
  <c r="E225" i="23"/>
  <c r="E224" i="23"/>
  <c r="E223" i="23"/>
  <c r="E220" i="23"/>
  <c r="E219" i="23"/>
  <c r="E217" i="23"/>
  <c r="E216" i="23"/>
  <c r="E215" i="23"/>
  <c r="E213" i="23"/>
  <c r="E211" i="23"/>
  <c r="E209" i="23"/>
  <c r="E208" i="23"/>
  <c r="E207" i="23"/>
  <c r="E205" i="23"/>
  <c r="E203" i="23"/>
  <c r="E201" i="23"/>
  <c r="E199" i="23"/>
  <c r="E197" i="23"/>
  <c r="E196" i="23"/>
  <c r="E195" i="23"/>
  <c r="E192" i="23"/>
  <c r="E188" i="23"/>
  <c r="E184" i="23"/>
  <c r="E181" i="23"/>
  <c r="E180" i="23"/>
  <c r="E179" i="23"/>
  <c r="E176" i="23"/>
  <c r="E171" i="23"/>
  <c r="E169" i="23"/>
  <c r="E165" i="23"/>
  <c r="E163" i="23"/>
  <c r="E161" i="23"/>
  <c r="E159" i="23"/>
  <c r="E157" i="23"/>
  <c r="E155" i="23"/>
  <c r="E154" i="23"/>
  <c r="E151" i="23"/>
  <c r="E149" i="23"/>
  <c r="E148" i="23"/>
  <c r="E147" i="23"/>
  <c r="E145" i="23"/>
  <c r="E144" i="23"/>
  <c r="E139" i="23"/>
  <c r="E137" i="23"/>
  <c r="E131" i="23"/>
  <c r="E127" i="23"/>
  <c r="E125" i="23"/>
  <c r="E123" i="23"/>
  <c r="E121" i="23"/>
  <c r="E119" i="23"/>
  <c r="E117" i="23"/>
  <c r="E115" i="23"/>
  <c r="E113" i="23"/>
  <c r="E111" i="23"/>
  <c r="E109" i="23"/>
  <c r="E107" i="23"/>
  <c r="E105" i="23"/>
  <c r="E101" i="23"/>
  <c r="Q5" i="23"/>
  <c r="Q93" i="23"/>
  <c r="C6" i="23"/>
  <c r="D6" i="23"/>
  <c r="C7" i="23"/>
  <c r="D7" i="23"/>
  <c r="E7" i="23" s="1"/>
  <c r="C8" i="23"/>
  <c r="E8" i="23" s="1"/>
  <c r="D8" i="23"/>
  <c r="C9" i="23"/>
  <c r="E9" i="23" s="1"/>
  <c r="D9" i="23"/>
  <c r="C10" i="23"/>
  <c r="D10" i="23"/>
  <c r="E10" i="23" s="1"/>
  <c r="C11" i="23"/>
  <c r="D11" i="23"/>
  <c r="C12" i="23"/>
  <c r="D12" i="23"/>
  <c r="C13" i="23"/>
  <c r="D13" i="23"/>
  <c r="E13" i="23" s="1"/>
  <c r="C14" i="23"/>
  <c r="E14" i="23" s="1"/>
  <c r="D14" i="23"/>
  <c r="C15" i="23"/>
  <c r="E15" i="23" s="1"/>
  <c r="D15" i="23"/>
  <c r="C16" i="23"/>
  <c r="D16" i="23"/>
  <c r="C17" i="23"/>
  <c r="E17" i="23" s="1"/>
  <c r="D17" i="23"/>
  <c r="C18" i="23"/>
  <c r="E18" i="23"/>
  <c r="D18" i="23"/>
  <c r="C19" i="23"/>
  <c r="D19" i="23"/>
  <c r="C20" i="23"/>
  <c r="E20" i="23" s="1"/>
  <c r="D20" i="23"/>
  <c r="C21" i="23"/>
  <c r="E21" i="23" s="1"/>
  <c r="D21" i="23"/>
  <c r="C22" i="23"/>
  <c r="E22" i="23"/>
  <c r="D22" i="23"/>
  <c r="C23" i="23"/>
  <c r="E23" i="23" s="1"/>
  <c r="D23" i="23"/>
  <c r="C24" i="23"/>
  <c r="E24" i="23" s="1"/>
  <c r="D24" i="23"/>
  <c r="C25" i="23"/>
  <c r="E25" i="23" s="1"/>
  <c r="D25" i="23"/>
  <c r="C26" i="23"/>
  <c r="D26" i="23"/>
  <c r="C27" i="23"/>
  <c r="D27" i="23"/>
  <c r="C28" i="23"/>
  <c r="E28" i="23"/>
  <c r="D28" i="23"/>
  <c r="C29" i="23"/>
  <c r="E29" i="23" s="1"/>
  <c r="D29" i="23"/>
  <c r="C30" i="23"/>
  <c r="E30" i="23" s="1"/>
  <c r="D30" i="23"/>
  <c r="C31" i="23"/>
  <c r="E31" i="23" s="1"/>
  <c r="D31" i="23"/>
  <c r="C32" i="23"/>
  <c r="D32" i="23"/>
  <c r="C33" i="23"/>
  <c r="E33" i="23" s="1"/>
  <c r="D33" i="23"/>
  <c r="C34" i="23"/>
  <c r="E34" i="23" s="1"/>
  <c r="D34" i="23"/>
  <c r="C35" i="23"/>
  <c r="E35" i="23"/>
  <c r="D35" i="23"/>
  <c r="C36" i="23"/>
  <c r="D36" i="23"/>
  <c r="E36" i="23"/>
  <c r="C37" i="23"/>
  <c r="E37" i="23" s="1"/>
  <c r="D37" i="23"/>
  <c r="C38" i="23"/>
  <c r="E38" i="23" s="1"/>
  <c r="D38" i="23"/>
  <c r="C39" i="23"/>
  <c r="E39" i="23"/>
  <c r="D39" i="23"/>
  <c r="C40" i="23"/>
  <c r="D40" i="23"/>
  <c r="C41" i="23"/>
  <c r="E41" i="23" s="1"/>
  <c r="D41" i="23"/>
  <c r="C42" i="23"/>
  <c r="E42" i="23" s="1"/>
  <c r="D42" i="23"/>
  <c r="C44" i="23"/>
  <c r="D44" i="23"/>
  <c r="E44" i="23" s="1"/>
  <c r="C45" i="23"/>
  <c r="E45" i="23" s="1"/>
  <c r="D45" i="23"/>
  <c r="C46" i="23"/>
  <c r="E46" i="23" s="1"/>
  <c r="D46" i="23"/>
  <c r="C47" i="23"/>
  <c r="D47" i="23"/>
  <c r="C48" i="23"/>
  <c r="E48" i="23" s="1"/>
  <c r="D48" i="23"/>
  <c r="C49" i="23"/>
  <c r="E49" i="23" s="1"/>
  <c r="D49" i="23"/>
  <c r="C50" i="23"/>
  <c r="E50" i="23"/>
  <c r="D50" i="23"/>
  <c r="C51" i="23"/>
  <c r="D51" i="23"/>
  <c r="E51" i="23"/>
  <c r="C52" i="23"/>
  <c r="E52" i="23" s="1"/>
  <c r="D52" i="23"/>
  <c r="C53" i="23"/>
  <c r="E53" i="23" s="1"/>
  <c r="D53" i="23"/>
  <c r="C54" i="23"/>
  <c r="E54" i="23"/>
  <c r="D54" i="23"/>
  <c r="C55" i="23"/>
  <c r="D55" i="23"/>
  <c r="E55" i="23"/>
  <c r="C56" i="23"/>
  <c r="E56" i="23" s="1"/>
  <c r="D56" i="23"/>
  <c r="C57" i="23"/>
  <c r="E57" i="23" s="1"/>
  <c r="D57" i="23"/>
  <c r="C58" i="23"/>
  <c r="D58" i="23"/>
  <c r="E58" i="23" s="1"/>
  <c r="C59" i="23"/>
  <c r="E59" i="23" s="1"/>
  <c r="D59" i="23"/>
  <c r="C60" i="23"/>
  <c r="E60" i="23" s="1"/>
  <c r="D60" i="23"/>
  <c r="C61" i="23"/>
  <c r="E61" i="23"/>
  <c r="D61" i="23"/>
  <c r="C62" i="23"/>
  <c r="E62" i="23" s="1"/>
  <c r="D62" i="23"/>
  <c r="C63" i="23"/>
  <c r="E63" i="23" s="1"/>
  <c r="D63" i="23"/>
  <c r="C64" i="23"/>
  <c r="E64" i="23" s="1"/>
  <c r="D64" i="23"/>
  <c r="C65" i="23"/>
  <c r="E65" i="23"/>
  <c r="D65" i="23"/>
  <c r="C66" i="23"/>
  <c r="D66" i="23"/>
  <c r="E66" i="23"/>
  <c r="C67" i="23"/>
  <c r="E67" i="23" s="1"/>
  <c r="D67" i="23"/>
  <c r="C68" i="23"/>
  <c r="E68" i="23" s="1"/>
  <c r="D68" i="23"/>
  <c r="C69" i="23"/>
  <c r="E69" i="23"/>
  <c r="D69" i="23"/>
  <c r="C70" i="23"/>
  <c r="D70" i="23"/>
  <c r="E70" i="23"/>
  <c r="C71" i="23"/>
  <c r="D71" i="23"/>
  <c r="C72" i="23"/>
  <c r="D72" i="23"/>
  <c r="E72" i="23" s="1"/>
  <c r="C73" i="23"/>
  <c r="D73" i="23"/>
  <c r="C74" i="23"/>
  <c r="E74" i="23" s="1"/>
  <c r="D74" i="23"/>
  <c r="C75" i="23"/>
  <c r="E75" i="23" s="1"/>
  <c r="D75" i="23"/>
  <c r="C76" i="23"/>
  <c r="E76" i="23"/>
  <c r="D76" i="23"/>
  <c r="C77" i="23"/>
  <c r="E77" i="23" s="1"/>
  <c r="D77" i="23"/>
  <c r="C78" i="23"/>
  <c r="E78" i="23" s="1"/>
  <c r="D78" i="23"/>
  <c r="C79" i="23"/>
  <c r="E79" i="23" s="1"/>
  <c r="D79" i="23"/>
  <c r="C80" i="23"/>
  <c r="E80" i="23"/>
  <c r="D80" i="23"/>
  <c r="C81" i="23"/>
  <c r="E81" i="23" s="1"/>
  <c r="D81" i="23"/>
  <c r="C82" i="23"/>
  <c r="E82" i="23" s="1"/>
  <c r="D82" i="23"/>
  <c r="C83" i="23"/>
  <c r="E83" i="23" s="1"/>
  <c r="D83" i="23"/>
  <c r="C84" i="23"/>
  <c r="E84" i="23"/>
  <c r="D84" i="23"/>
  <c r="C85" i="23"/>
  <c r="D85" i="23"/>
  <c r="C86" i="23"/>
  <c r="E86" i="23" s="1"/>
  <c r="D86" i="23"/>
  <c r="C87" i="23"/>
  <c r="E87" i="23" s="1"/>
  <c r="D87" i="23"/>
  <c r="C88" i="23"/>
  <c r="E88" i="23"/>
  <c r="D88" i="23"/>
  <c r="C89" i="23"/>
  <c r="D89" i="23"/>
  <c r="E89" i="23"/>
  <c r="C90" i="23"/>
  <c r="D90" i="23"/>
  <c r="C91" i="23"/>
  <c r="D91" i="23"/>
  <c r="E91" i="23" s="1"/>
  <c r="C92" i="23"/>
  <c r="D92" i="23"/>
  <c r="D5" i="23"/>
  <c r="C5" i="23"/>
  <c r="Q135" i="23"/>
  <c r="E71" i="23"/>
  <c r="E6" i="23"/>
  <c r="E27" i="23"/>
  <c r="E11" i="23"/>
  <c r="A1" i="23"/>
  <c r="A1" i="26" s="1"/>
  <c r="F34" i="24"/>
  <c r="G34" i="24"/>
  <c r="E37" i="22"/>
  <c r="F176" i="31"/>
  <c r="D176" i="31" s="1"/>
  <c r="F168" i="31"/>
  <c r="D168" i="31" s="1"/>
  <c r="F164" i="31"/>
  <c r="D164" i="31" s="1"/>
  <c r="F160" i="31"/>
  <c r="D160" i="31" s="1"/>
  <c r="F156" i="31"/>
  <c r="D156" i="31" s="1"/>
  <c r="F148" i="31"/>
  <c r="D148" i="31" s="1"/>
  <c r="F136" i="31"/>
  <c r="D136" i="31" s="1"/>
  <c r="F128" i="31"/>
  <c r="D128" i="31" s="1"/>
  <c r="F120" i="31"/>
  <c r="F116" i="31"/>
  <c r="D116" i="31" s="1"/>
  <c r="F108" i="31"/>
  <c r="D108" i="31"/>
  <c r="F104" i="31"/>
  <c r="D104" i="31" s="1"/>
  <c r="F100" i="31"/>
  <c r="D100" i="31"/>
  <c r="F96" i="31"/>
  <c r="D96" i="31" s="1"/>
  <c r="F92" i="31"/>
  <c r="D92" i="31" s="1"/>
  <c r="F84" i="31"/>
  <c r="D84" i="31" s="1"/>
  <c r="F80" i="31"/>
  <c r="D80" i="31"/>
  <c r="F68" i="31"/>
  <c r="D68" i="31" s="1"/>
  <c r="F64" i="31"/>
  <c r="D64" i="31"/>
  <c r="F56" i="31"/>
  <c r="D56" i="31" s="1"/>
  <c r="F44" i="31"/>
  <c r="D44" i="31"/>
  <c r="F40" i="31"/>
  <c r="D40" i="31" s="1"/>
  <c r="F36" i="31"/>
  <c r="D36" i="31"/>
  <c r="F32" i="31"/>
  <c r="F28" i="31"/>
  <c r="F20" i="31"/>
  <c r="F12" i="31"/>
  <c r="D12" i="31" s="1"/>
  <c r="B303" i="24"/>
  <c r="A303" i="24"/>
  <c r="B302" i="24"/>
  <c r="A302" i="24"/>
  <c r="B301" i="24"/>
  <c r="A301" i="24"/>
  <c r="B300" i="24"/>
  <c r="A300" i="24"/>
  <c r="B299" i="24"/>
  <c r="A299" i="24"/>
  <c r="F140" i="24"/>
  <c r="F142" i="24" s="1"/>
  <c r="F61" i="31"/>
  <c r="C143" i="28"/>
  <c r="C180" i="28"/>
  <c r="C177" i="28"/>
  <c r="C235" i="28"/>
  <c r="C246" i="28"/>
  <c r="C245" i="28"/>
  <c r="C18" i="28" s="1"/>
  <c r="C27" i="26" s="1"/>
  <c r="C261" i="28"/>
  <c r="C274" i="28"/>
  <c r="C298" i="28"/>
  <c r="C299" i="28" s="1"/>
  <c r="C295" i="28"/>
  <c r="C336" i="28"/>
  <c r="C337" i="28" s="1"/>
  <c r="C22" i="28" s="1"/>
  <c r="C31" i="26" s="1"/>
  <c r="C359" i="28"/>
  <c r="C358" i="28"/>
  <c r="C360" i="28" s="1"/>
  <c r="C197" i="28"/>
  <c r="C196" i="28"/>
  <c r="C108" i="28"/>
  <c r="A3" i="11"/>
  <c r="E63" i="24"/>
  <c r="C95" i="25"/>
  <c r="E53" i="24"/>
  <c r="H53" i="24" s="1"/>
  <c r="D69" i="29" s="1"/>
  <c r="H481" i="24"/>
  <c r="D758" i="29" s="1"/>
  <c r="C144" i="25"/>
  <c r="D144" i="25" s="1"/>
  <c r="C145" i="25"/>
  <c r="C147" i="25"/>
  <c r="H472" i="24"/>
  <c r="D739" i="29"/>
  <c r="H473" i="24"/>
  <c r="D740" i="29" s="1"/>
  <c r="H474" i="24"/>
  <c r="D741" i="29"/>
  <c r="H475" i="24"/>
  <c r="D742" i="29" s="1"/>
  <c r="D743" i="29"/>
  <c r="C143" i="25"/>
  <c r="H463" i="24"/>
  <c r="D730" i="29" s="1"/>
  <c r="F465" i="24"/>
  <c r="H462" i="24"/>
  <c r="D729" i="29" s="1"/>
  <c r="H453" i="24"/>
  <c r="D713" i="29"/>
  <c r="H449" i="24"/>
  <c r="D708" i="29" s="1"/>
  <c r="C79" i="25"/>
  <c r="C77" i="25"/>
  <c r="H439" i="24"/>
  <c r="D690" i="29" s="1"/>
  <c r="C64" i="25"/>
  <c r="C60" i="25"/>
  <c r="H428" i="24"/>
  <c r="D670" i="29" s="1"/>
  <c r="H429" i="24"/>
  <c r="D671" i="29" s="1"/>
  <c r="H427" i="24"/>
  <c r="H412" i="24"/>
  <c r="D643" i="29"/>
  <c r="H413" i="24"/>
  <c r="D644" i="29" s="1"/>
  <c r="F415" i="24"/>
  <c r="C92" i="25"/>
  <c r="C94" i="25"/>
  <c r="C98" i="25"/>
  <c r="F420" i="24"/>
  <c r="H421" i="24"/>
  <c r="D652" i="29" s="1"/>
  <c r="H423" i="24"/>
  <c r="D654" i="29" s="1"/>
  <c r="H425" i="24"/>
  <c r="D656" i="29" s="1"/>
  <c r="H411" i="24"/>
  <c r="D642" i="29" s="1"/>
  <c r="D660" i="29" s="1"/>
  <c r="H408" i="24"/>
  <c r="D638" i="29" s="1"/>
  <c r="H405" i="24"/>
  <c r="D627" i="29" s="1"/>
  <c r="H401" i="24"/>
  <c r="D623" i="29" s="1"/>
  <c r="H402" i="24"/>
  <c r="D624" i="29" s="1"/>
  <c r="H403" i="24"/>
  <c r="D625" i="29" s="1"/>
  <c r="H391" i="24"/>
  <c r="D613" i="29"/>
  <c r="F393" i="24"/>
  <c r="H390" i="24"/>
  <c r="F380" i="24"/>
  <c r="F382" i="24"/>
  <c r="C50" i="25"/>
  <c r="H384" i="24"/>
  <c r="D588" i="29" s="1"/>
  <c r="H386" i="24"/>
  <c r="D590" i="29" s="1"/>
  <c r="H387" i="24"/>
  <c r="D591" i="29" s="1"/>
  <c r="H388" i="24"/>
  <c r="D592" i="29" s="1"/>
  <c r="H375" i="24"/>
  <c r="D579" i="29" s="1"/>
  <c r="H376" i="24"/>
  <c r="D580" i="29"/>
  <c r="C41" i="25"/>
  <c r="C45" i="25"/>
  <c r="C47" i="25"/>
  <c r="H371" i="24"/>
  <c r="D574" i="29" s="1"/>
  <c r="C43" i="25"/>
  <c r="H362" i="24"/>
  <c r="D565" i="29"/>
  <c r="H363" i="24"/>
  <c r="D566" i="29" s="1"/>
  <c r="H361" i="24"/>
  <c r="D564" i="29" s="1"/>
  <c r="H359" i="24"/>
  <c r="D553" i="29"/>
  <c r="H358" i="24"/>
  <c r="D552" i="29" s="1"/>
  <c r="C27" i="25"/>
  <c r="C28" i="25"/>
  <c r="C29" i="25"/>
  <c r="H354" i="24"/>
  <c r="D548" i="29"/>
  <c r="H355" i="24"/>
  <c r="D549" i="29" s="1"/>
  <c r="C26" i="25"/>
  <c r="H346" i="24"/>
  <c r="D540" i="29"/>
  <c r="C25" i="25"/>
  <c r="H344" i="24"/>
  <c r="D538" i="29"/>
  <c r="H334" i="24"/>
  <c r="D521" i="29" s="1"/>
  <c r="H335" i="24"/>
  <c r="D522" i="29" s="1"/>
  <c r="F336" i="24"/>
  <c r="H329" i="24"/>
  <c r="D505" i="29" s="1"/>
  <c r="H330" i="24"/>
  <c r="D506" i="29"/>
  <c r="H331" i="24"/>
  <c r="D507" i="29" s="1"/>
  <c r="C62" i="25"/>
  <c r="C67" i="25"/>
  <c r="C68" i="25"/>
  <c r="H326" i="24"/>
  <c r="D502" i="29" s="1"/>
  <c r="C61" i="25"/>
  <c r="H317" i="24"/>
  <c r="D493" i="29" s="1"/>
  <c r="C57" i="25"/>
  <c r="H307" i="24"/>
  <c r="D482" i="29" s="1"/>
  <c r="H296" i="24"/>
  <c r="D465" i="29"/>
  <c r="H280" i="24"/>
  <c r="D441" i="29" s="1"/>
  <c r="H281" i="24"/>
  <c r="D442" i="29"/>
  <c r="F282" i="24"/>
  <c r="F283" i="24"/>
  <c r="C109" i="25"/>
  <c r="F288" i="24"/>
  <c r="H289" i="24"/>
  <c r="D450" i="29"/>
  <c r="H290" i="24"/>
  <c r="D451" i="29" s="1"/>
  <c r="H292" i="24"/>
  <c r="D453" i="29" s="1"/>
  <c r="H293" i="24"/>
  <c r="D454" i="29"/>
  <c r="C99" i="25"/>
  <c r="C101" i="25"/>
  <c r="H277" i="24"/>
  <c r="D428" i="29" s="1"/>
  <c r="C93" i="25"/>
  <c r="H268" i="24"/>
  <c r="D419" i="29" s="1"/>
  <c r="H269" i="24"/>
  <c r="D420" i="29"/>
  <c r="H267" i="24"/>
  <c r="D418" i="29" s="1"/>
  <c r="H257" i="24"/>
  <c r="H248" i="24"/>
  <c r="D397" i="29" s="1"/>
  <c r="H245" i="24"/>
  <c r="H244" i="24"/>
  <c r="C121" i="25"/>
  <c r="F235" i="24"/>
  <c r="F236" i="24"/>
  <c r="H238" i="24"/>
  <c r="D375" i="29"/>
  <c r="H239" i="24"/>
  <c r="D376" i="29" s="1"/>
  <c r="H240" i="24"/>
  <c r="D377" i="29"/>
  <c r="H242" i="24"/>
  <c r="D379" i="29"/>
  <c r="C119" i="25"/>
  <c r="H228" i="24"/>
  <c r="D365" i="29" s="1"/>
  <c r="C118" i="25"/>
  <c r="H220" i="24"/>
  <c r="D345" i="29"/>
  <c r="H221" i="24"/>
  <c r="D346" i="29" s="1"/>
  <c r="H223" i="24"/>
  <c r="D348" i="29" s="1"/>
  <c r="H224" i="24"/>
  <c r="D349" i="29"/>
  <c r="H225" i="24"/>
  <c r="D350" i="29" s="1"/>
  <c r="H211" i="24"/>
  <c r="D336" i="29"/>
  <c r="H212" i="24"/>
  <c r="D337" i="29" s="1"/>
  <c r="F213" i="24"/>
  <c r="H201" i="24"/>
  <c r="D325" i="29" s="1"/>
  <c r="H190" i="24"/>
  <c r="D319" i="29" s="1"/>
  <c r="H185" i="24"/>
  <c r="D304" i="29" s="1"/>
  <c r="H187" i="24"/>
  <c r="D306" i="29" s="1"/>
  <c r="H188" i="24"/>
  <c r="D307" i="29" s="1"/>
  <c r="H184" i="24"/>
  <c r="D303" i="29" s="1"/>
  <c r="H173" i="24"/>
  <c r="D292" i="29" s="1"/>
  <c r="H174" i="24"/>
  <c r="D293" i="29" s="1"/>
  <c r="G177" i="24"/>
  <c r="G178" i="24"/>
  <c r="G179" i="24"/>
  <c r="G180" i="24"/>
  <c r="H168" i="24"/>
  <c r="D280" i="29" s="1"/>
  <c r="H169" i="24"/>
  <c r="D281" i="29"/>
  <c r="H170" i="24"/>
  <c r="D282" i="29" s="1"/>
  <c r="H158" i="24"/>
  <c r="D270" i="29"/>
  <c r="H159" i="24"/>
  <c r="D271" i="29" s="1"/>
  <c r="F160" i="24"/>
  <c r="H155" i="24"/>
  <c r="D261" i="29" s="1"/>
  <c r="H145" i="24"/>
  <c r="D251" i="29" s="1"/>
  <c r="H144" i="24"/>
  <c r="D250" i="29" s="1"/>
  <c r="D264" i="29" s="1"/>
  <c r="H138" i="24"/>
  <c r="D244" i="29" s="1"/>
  <c r="H137" i="24"/>
  <c r="D243" i="29" s="1"/>
  <c r="H127" i="24"/>
  <c r="D225" i="29" s="1"/>
  <c r="D236" i="29" s="1"/>
  <c r="E117" i="24"/>
  <c r="E118" i="24"/>
  <c r="E119" i="24"/>
  <c r="C82" i="25" s="1"/>
  <c r="E120" i="24"/>
  <c r="F120" i="24"/>
  <c r="E121" i="24"/>
  <c r="H121" i="24" s="1"/>
  <c r="D209" i="29" s="1"/>
  <c r="E122" i="24"/>
  <c r="H122" i="24" s="1"/>
  <c r="D210" i="29" s="1"/>
  <c r="E123" i="24"/>
  <c r="H123" i="24"/>
  <c r="D211" i="29" s="1"/>
  <c r="E124" i="24"/>
  <c r="H124" i="24" s="1"/>
  <c r="D212" i="29"/>
  <c r="E125" i="24"/>
  <c r="H125" i="24" s="1"/>
  <c r="D213" i="29" s="1"/>
  <c r="E116" i="24"/>
  <c r="F116" i="24" s="1"/>
  <c r="E112" i="24"/>
  <c r="H112" i="24" s="1"/>
  <c r="D200" i="29"/>
  <c r="E113" i="24"/>
  <c r="H113" i="24" s="1"/>
  <c r="D201" i="29" s="1"/>
  <c r="E114" i="24"/>
  <c r="C74" i="25" s="1"/>
  <c r="E111" i="24"/>
  <c r="H111" i="24" s="1"/>
  <c r="E106" i="24"/>
  <c r="H106" i="24" s="1"/>
  <c r="D171" i="29" s="1"/>
  <c r="E107" i="24"/>
  <c r="H107" i="24"/>
  <c r="D172" i="29" s="1"/>
  <c r="E108" i="24"/>
  <c r="H108" i="24" s="1"/>
  <c r="D173" i="29"/>
  <c r="E109" i="24"/>
  <c r="H109" i="24" s="1"/>
  <c r="D174" i="29" s="1"/>
  <c r="E105" i="24"/>
  <c r="H105" i="24" s="1"/>
  <c r="D170" i="29" s="1"/>
  <c r="E99" i="24"/>
  <c r="E100" i="24"/>
  <c r="C15" i="25" s="1"/>
  <c r="E101" i="24"/>
  <c r="C17" i="25" s="1"/>
  <c r="E102" i="24"/>
  <c r="E103" i="24"/>
  <c r="H103" i="24" s="1"/>
  <c r="D168" i="29" s="1"/>
  <c r="E98" i="24"/>
  <c r="C11" i="25" s="1"/>
  <c r="E94" i="24"/>
  <c r="H94" i="24" s="1"/>
  <c r="D159" i="29"/>
  <c r="E95" i="24"/>
  <c r="H95" i="24" s="1"/>
  <c r="D160" i="29" s="1"/>
  <c r="E96" i="24"/>
  <c r="C10" i="25" s="1"/>
  <c r="E93" i="24"/>
  <c r="H93" i="24" s="1"/>
  <c r="D158" i="29"/>
  <c r="D178" i="29" s="1"/>
  <c r="E84" i="24"/>
  <c r="E92" i="24" s="1"/>
  <c r="E75" i="24"/>
  <c r="H75" i="24"/>
  <c r="D133" i="29" s="1"/>
  <c r="E74" i="24"/>
  <c r="H74" i="24" s="1"/>
  <c r="E71" i="24"/>
  <c r="E65" i="24"/>
  <c r="H65" i="24" s="1"/>
  <c r="D117" i="29"/>
  <c r="E66" i="24"/>
  <c r="E64" i="24"/>
  <c r="H64" i="24" s="1"/>
  <c r="D116" i="29"/>
  <c r="E60" i="24"/>
  <c r="E61" i="24"/>
  <c r="E59" i="24"/>
  <c r="E56" i="24"/>
  <c r="H56" i="24" s="1"/>
  <c r="D102" i="29" s="1"/>
  <c r="E57" i="24"/>
  <c r="G57" i="24"/>
  <c r="H57" i="24" s="1"/>
  <c r="D103" i="29" s="1"/>
  <c r="E55" i="24"/>
  <c r="H55" i="24" s="1"/>
  <c r="D101" i="29" s="1"/>
  <c r="E48" i="24"/>
  <c r="F48" i="24" s="1"/>
  <c r="E49" i="24"/>
  <c r="E50" i="24"/>
  <c r="C18" i="25"/>
  <c r="E51" i="24"/>
  <c r="H51" i="24" s="1"/>
  <c r="D67" i="29" s="1"/>
  <c r="E52" i="24"/>
  <c r="H52" i="24" s="1"/>
  <c r="D68" i="29" s="1"/>
  <c r="E47" i="24"/>
  <c r="E42" i="24"/>
  <c r="H42" i="24" s="1"/>
  <c r="D58" i="29" s="1"/>
  <c r="E43" i="24"/>
  <c r="H43" i="24"/>
  <c r="D59" i="29" s="1"/>
  <c r="E44" i="24"/>
  <c r="F44" i="24" s="1"/>
  <c r="E41" i="24"/>
  <c r="H41" i="24" s="1"/>
  <c r="E35" i="24"/>
  <c r="H35" i="24" s="1"/>
  <c r="D51" i="29" s="1"/>
  <c r="E34" i="24"/>
  <c r="E19" i="24"/>
  <c r="H19" i="24" s="1"/>
  <c r="D22" i="29"/>
  <c r="E20" i="24"/>
  <c r="H20" i="24" s="1"/>
  <c r="D23" i="29" s="1"/>
  <c r="E21" i="24"/>
  <c r="E22" i="24"/>
  <c r="F22" i="24" s="1"/>
  <c r="E23" i="24"/>
  <c r="C131" i="25"/>
  <c r="E24" i="24"/>
  <c r="C132" i="25" s="1"/>
  <c r="E25" i="24"/>
  <c r="C133" i="25"/>
  <c r="E26" i="24"/>
  <c r="E27" i="24"/>
  <c r="C135" i="25" s="1"/>
  <c r="E28" i="24"/>
  <c r="H28" i="24" s="1"/>
  <c r="D31" i="29" s="1"/>
  <c r="E29" i="24"/>
  <c r="H29" i="24"/>
  <c r="D32" i="29" s="1"/>
  <c r="E30" i="24"/>
  <c r="H30" i="24" s="1"/>
  <c r="D33" i="29" s="1"/>
  <c r="E31" i="24"/>
  <c r="H31" i="24" s="1"/>
  <c r="D34" i="29" s="1"/>
  <c r="E32" i="24"/>
  <c r="H32" i="24" s="1"/>
  <c r="D35" i="29" s="1"/>
  <c r="E18" i="24"/>
  <c r="E9" i="24"/>
  <c r="H9" i="24" s="1"/>
  <c r="D6" i="29" s="1"/>
  <c r="E8" i="24"/>
  <c r="H8" i="24"/>
  <c r="D5" i="29" s="1"/>
  <c r="C379" i="28"/>
  <c r="C378" i="28"/>
  <c r="C380" i="28"/>
  <c r="C375" i="28"/>
  <c r="C374" i="28"/>
  <c r="C373" i="28"/>
  <c r="C372" i="28"/>
  <c r="C376" i="28" s="1"/>
  <c r="C371" i="28"/>
  <c r="C366" i="28"/>
  <c r="C365" i="28"/>
  <c r="C355" i="28"/>
  <c r="C352" i="28"/>
  <c r="C349" i="28"/>
  <c r="C348" i="28"/>
  <c r="C345" i="28"/>
  <c r="C344" i="28"/>
  <c r="C343" i="28"/>
  <c r="C346" i="28"/>
  <c r="C342" i="28"/>
  <c r="C333" i="28"/>
  <c r="C334" i="28" s="1"/>
  <c r="C46" i="28"/>
  <c r="C56" i="26" s="1"/>
  <c r="C330" i="28"/>
  <c r="C327" i="28"/>
  <c r="C325" i="28"/>
  <c r="C324" i="28"/>
  <c r="C323" i="28"/>
  <c r="C322" i="28"/>
  <c r="C321" i="28"/>
  <c r="C320" i="28"/>
  <c r="C328" i="28" s="1"/>
  <c r="C314" i="28"/>
  <c r="C311" i="28"/>
  <c r="C310" i="28"/>
  <c r="C309" i="28"/>
  <c r="C308" i="28"/>
  <c r="C305" i="28"/>
  <c r="C304" i="28"/>
  <c r="C292" i="28"/>
  <c r="C291" i="28"/>
  <c r="C290" i="28"/>
  <c r="C289" i="28"/>
  <c r="C288" i="28"/>
  <c r="C287" i="28"/>
  <c r="C284" i="28"/>
  <c r="C283" i="28"/>
  <c r="C282" i="28"/>
  <c r="C281" i="28"/>
  <c r="C280" i="28"/>
  <c r="C273" i="28"/>
  <c r="C270" i="28"/>
  <c r="C269" i="28"/>
  <c r="C271" i="28" s="1"/>
  <c r="C20" i="28" s="1"/>
  <c r="C263" i="28"/>
  <c r="C262" i="28"/>
  <c r="C260" i="28"/>
  <c r="C264" i="28"/>
  <c r="C17" i="28" s="1"/>
  <c r="C257" i="28"/>
  <c r="C256" i="28"/>
  <c r="C255" i="28"/>
  <c r="C254" i="28"/>
  <c r="C253" i="28"/>
  <c r="C252" i="28"/>
  <c r="C251" i="28"/>
  <c r="M238" i="28"/>
  <c r="C243" i="28"/>
  <c r="C242" i="28"/>
  <c r="C241" i="28"/>
  <c r="C232" i="28"/>
  <c r="C233" i="28" s="1"/>
  <c r="C229" i="28"/>
  <c r="C226" i="28"/>
  <c r="C223" i="28"/>
  <c r="C222" i="28"/>
  <c r="C224" i="28" s="1"/>
  <c r="F222" i="28"/>
  <c r="C219" i="28"/>
  <c r="C218" i="28"/>
  <c r="C217" i="28"/>
  <c r="C213" i="28"/>
  <c r="C212" i="28"/>
  <c r="C211" i="28"/>
  <c r="C210" i="28"/>
  <c r="C207" i="28"/>
  <c r="C206" i="28"/>
  <c r="C200" i="28"/>
  <c r="C193" i="28"/>
  <c r="C192" i="28"/>
  <c r="C191" i="28"/>
  <c r="C190" i="28"/>
  <c r="C189" i="28"/>
  <c r="C188" i="28"/>
  <c r="C187" i="28"/>
  <c r="C186" i="28"/>
  <c r="C174" i="28"/>
  <c r="C173" i="28"/>
  <c r="C172" i="28"/>
  <c r="C167" i="28"/>
  <c r="C166" i="28"/>
  <c r="C165" i="28"/>
  <c r="C164" i="28"/>
  <c r="C163" i="28"/>
  <c r="C162" i="28"/>
  <c r="C159" i="28"/>
  <c r="C158" i="28"/>
  <c r="C157" i="28"/>
  <c r="C156" i="28"/>
  <c r="C155" i="28"/>
  <c r="C154" i="28"/>
  <c r="C153" i="28"/>
  <c r="C160" i="28" s="1"/>
  <c r="C147" i="28"/>
  <c r="C146" i="28"/>
  <c r="C148" i="28" s="1"/>
  <c r="C19" i="28" s="1"/>
  <c r="C144" i="28"/>
  <c r="C140" i="28"/>
  <c r="C139" i="28"/>
  <c r="C138" i="28"/>
  <c r="C137" i="28"/>
  <c r="C136" i="28"/>
  <c r="C135" i="28"/>
  <c r="C134" i="28"/>
  <c r="C133" i="28"/>
  <c r="C132" i="28"/>
  <c r="C131" i="28"/>
  <c r="C130" i="28"/>
  <c r="C129" i="28"/>
  <c r="C128" i="28"/>
  <c r="C127" i="28"/>
  <c r="C141" i="28"/>
  <c r="F132" i="28" s="1"/>
  <c r="C119" i="28"/>
  <c r="C118" i="28"/>
  <c r="C117" i="28"/>
  <c r="C116" i="28"/>
  <c r="C115" i="28"/>
  <c r="C120" i="28" s="1"/>
  <c r="C122" i="28" s="1"/>
  <c r="C110" i="28"/>
  <c r="C109" i="28"/>
  <c r="C102" i="28"/>
  <c r="C101" i="28"/>
  <c r="C100" i="28"/>
  <c r="C99" i="28"/>
  <c r="C98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103" i="28" s="1"/>
  <c r="C82" i="28"/>
  <c r="C81" i="28"/>
  <c r="C80" i="28"/>
  <c r="C79" i="28"/>
  <c r="C78" i="28"/>
  <c r="C75" i="28"/>
  <c r="C74" i="28"/>
  <c r="C73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83" i="28" s="1"/>
  <c r="D308" i="29"/>
  <c r="F488" i="24"/>
  <c r="F487" i="24"/>
  <c r="F486" i="24"/>
  <c r="F484" i="24"/>
  <c r="F483" i="24"/>
  <c r="F482" i="24"/>
  <c r="F490" i="24" s="1"/>
  <c r="H480" i="24"/>
  <c r="D757" i="29" s="1"/>
  <c r="G479" i="24"/>
  <c r="F479" i="24"/>
  <c r="E478" i="24"/>
  <c r="H478" i="24" s="1"/>
  <c r="H479" i="24"/>
  <c r="B478" i="24"/>
  <c r="A478" i="24"/>
  <c r="B476" i="24"/>
  <c r="A476" i="24"/>
  <c r="B475" i="24"/>
  <c r="A475" i="24"/>
  <c r="B474" i="24"/>
  <c r="A474" i="24"/>
  <c r="B473" i="24"/>
  <c r="A473" i="24"/>
  <c r="B472" i="24"/>
  <c r="A472" i="24"/>
  <c r="B471" i="24"/>
  <c r="A471" i="24"/>
  <c r="B470" i="24"/>
  <c r="A470" i="24"/>
  <c r="B469" i="24"/>
  <c r="A469" i="24"/>
  <c r="B468" i="24"/>
  <c r="A468" i="24"/>
  <c r="B467" i="24"/>
  <c r="A467" i="24"/>
  <c r="F466" i="24"/>
  <c r="B465" i="24"/>
  <c r="A465" i="24"/>
  <c r="B464" i="24"/>
  <c r="A464" i="24"/>
  <c r="B463" i="24"/>
  <c r="A463" i="24"/>
  <c r="B462" i="24"/>
  <c r="A462" i="24"/>
  <c r="F460" i="24"/>
  <c r="F459" i="24"/>
  <c r="F458" i="24"/>
  <c r="F457" i="24"/>
  <c r="F456" i="24"/>
  <c r="F461" i="24" s="1"/>
  <c r="F455" i="24"/>
  <c r="F454" i="24"/>
  <c r="B453" i="24"/>
  <c r="A453" i="24"/>
  <c r="B452" i="24"/>
  <c r="A452" i="24"/>
  <c r="F450" i="24"/>
  <c r="F451" i="24" s="1"/>
  <c r="B449" i="24"/>
  <c r="A449" i="24"/>
  <c r="B448" i="24"/>
  <c r="A448" i="24"/>
  <c r="F446" i="24"/>
  <c r="F445" i="24"/>
  <c r="A444" i="24"/>
  <c r="A443" i="24"/>
  <c r="A442" i="24"/>
  <c r="F441" i="24"/>
  <c r="F440" i="24"/>
  <c r="B439" i="24"/>
  <c r="A439" i="24"/>
  <c r="B438" i="24"/>
  <c r="A438" i="24"/>
  <c r="F436" i="24"/>
  <c r="F435" i="24"/>
  <c r="F434" i="24"/>
  <c r="A434" i="24"/>
  <c r="A432" i="24"/>
  <c r="F431" i="24"/>
  <c r="B429" i="24"/>
  <c r="A429" i="24"/>
  <c r="B428" i="24"/>
  <c r="A428" i="24"/>
  <c r="B427" i="24"/>
  <c r="A427" i="24"/>
  <c r="B425" i="24"/>
  <c r="A425" i="24"/>
  <c r="B424" i="24"/>
  <c r="A424" i="24"/>
  <c r="B423" i="24"/>
  <c r="A423" i="24"/>
  <c r="B422" i="24"/>
  <c r="A422" i="24"/>
  <c r="B421" i="24"/>
  <c r="A421" i="24"/>
  <c r="B420" i="24"/>
  <c r="A420" i="24"/>
  <c r="B419" i="24"/>
  <c r="A419" i="24"/>
  <c r="B418" i="24"/>
  <c r="A418" i="24"/>
  <c r="B417" i="24"/>
  <c r="A417" i="24"/>
  <c r="B416" i="24"/>
  <c r="A416" i="24"/>
  <c r="B415" i="24"/>
  <c r="A415" i="24"/>
  <c r="B414" i="24"/>
  <c r="A414" i="24"/>
  <c r="B413" i="24"/>
  <c r="A413" i="24"/>
  <c r="B412" i="24"/>
  <c r="A412" i="24"/>
  <c r="B411" i="24"/>
  <c r="A411" i="24"/>
  <c r="F409" i="24"/>
  <c r="F410" i="24"/>
  <c r="B408" i="24"/>
  <c r="A408" i="24"/>
  <c r="B407" i="24"/>
  <c r="A407" i="24"/>
  <c r="B405" i="24"/>
  <c r="A405" i="24"/>
  <c r="B404" i="24"/>
  <c r="A404" i="24"/>
  <c r="B403" i="24"/>
  <c r="A403" i="24"/>
  <c r="B402" i="24"/>
  <c r="A402" i="24"/>
  <c r="B401" i="24"/>
  <c r="A401" i="24"/>
  <c r="B400" i="24"/>
  <c r="A400" i="24"/>
  <c r="B399" i="24"/>
  <c r="A399" i="24"/>
  <c r="B398" i="24"/>
  <c r="A398" i="24"/>
  <c r="B397" i="24"/>
  <c r="A397" i="24"/>
  <c r="B396" i="24"/>
  <c r="A396" i="24"/>
  <c r="B395" i="24"/>
  <c r="A395" i="24"/>
  <c r="F394" i="24"/>
  <c r="B393" i="24"/>
  <c r="A393" i="24"/>
  <c r="B392" i="24"/>
  <c r="A392" i="24"/>
  <c r="B391" i="24"/>
  <c r="A391" i="24"/>
  <c r="B390" i="24"/>
  <c r="A390" i="24"/>
  <c r="B388" i="24"/>
  <c r="A388" i="24"/>
  <c r="B387" i="24"/>
  <c r="A387" i="24"/>
  <c r="B386" i="24"/>
  <c r="A386" i="24"/>
  <c r="B385" i="24"/>
  <c r="A385" i="24"/>
  <c r="B384" i="24"/>
  <c r="A384" i="24"/>
  <c r="B383" i="24"/>
  <c r="A383" i="24"/>
  <c r="B382" i="24"/>
  <c r="A382" i="24"/>
  <c r="B381" i="24"/>
  <c r="A381" i="24"/>
  <c r="B380" i="24"/>
  <c r="A380" i="24"/>
  <c r="B379" i="24"/>
  <c r="A379" i="24"/>
  <c r="F378" i="24"/>
  <c r="B377" i="24"/>
  <c r="A377" i="24"/>
  <c r="B376" i="24"/>
  <c r="A376" i="24"/>
  <c r="B375" i="24"/>
  <c r="A375" i="24"/>
  <c r="B374" i="24"/>
  <c r="A374" i="24"/>
  <c r="H372" i="24"/>
  <c r="D575" i="29" s="1"/>
  <c r="B372" i="24"/>
  <c r="A372" i="24"/>
  <c r="B371" i="24"/>
  <c r="A371" i="24"/>
  <c r="B370" i="24"/>
  <c r="A370" i="24"/>
  <c r="B369" i="24"/>
  <c r="A369" i="24"/>
  <c r="B368" i="24"/>
  <c r="A368" i="24"/>
  <c r="B367" i="24"/>
  <c r="A367" i="24"/>
  <c r="F366" i="24"/>
  <c r="F365" i="24"/>
  <c r="B364" i="24"/>
  <c r="A364" i="24"/>
  <c r="B363" i="24"/>
  <c r="A363" i="24"/>
  <c r="B362" i="24"/>
  <c r="A362" i="24"/>
  <c r="B361" i="24"/>
  <c r="A361" i="24"/>
  <c r="B359" i="24"/>
  <c r="A359" i="24"/>
  <c r="B358" i="24"/>
  <c r="A358" i="24"/>
  <c r="H357" i="24"/>
  <c r="D551" i="29" s="1"/>
  <c r="B357" i="24"/>
  <c r="A357" i="24"/>
  <c r="B356" i="24"/>
  <c r="A356" i="24"/>
  <c r="B355" i="24"/>
  <c r="A355" i="24"/>
  <c r="B354" i="24"/>
  <c r="A354" i="24"/>
  <c r="B353" i="24"/>
  <c r="A353" i="24"/>
  <c r="B352" i="24"/>
  <c r="A352" i="24"/>
  <c r="B351" i="24"/>
  <c r="A351" i="24"/>
  <c r="B350" i="24"/>
  <c r="A350" i="24"/>
  <c r="B349" i="24"/>
  <c r="A349" i="24"/>
  <c r="F348" i="24"/>
  <c r="B347" i="24"/>
  <c r="A347" i="24"/>
  <c r="B346" i="24"/>
  <c r="A346" i="24"/>
  <c r="B345" i="24"/>
  <c r="A345" i="24"/>
  <c r="B344" i="24"/>
  <c r="A344" i="24"/>
  <c r="F342" i="24"/>
  <c r="F341" i="24"/>
  <c r="A340" i="24"/>
  <c r="F339" i="24"/>
  <c r="F338" i="24"/>
  <c r="F337" i="24"/>
  <c r="B335" i="24"/>
  <c r="A335" i="24"/>
  <c r="B334" i="24"/>
  <c r="A334" i="24"/>
  <c r="B333" i="24"/>
  <c r="A333" i="24"/>
  <c r="B331" i="24"/>
  <c r="A331" i="24"/>
  <c r="B330" i="24"/>
  <c r="A330" i="24"/>
  <c r="B329" i="24"/>
  <c r="A329" i="24"/>
  <c r="B328" i="24"/>
  <c r="A328" i="24"/>
  <c r="H327" i="24"/>
  <c r="D503" i="29" s="1"/>
  <c r="B327" i="24"/>
  <c r="A327" i="24"/>
  <c r="B326" i="24"/>
  <c r="A326" i="24"/>
  <c r="B325" i="24"/>
  <c r="A325" i="24"/>
  <c r="B324" i="24"/>
  <c r="A324" i="24"/>
  <c r="B323" i="24"/>
  <c r="A323" i="24"/>
  <c r="B322" i="24"/>
  <c r="A322" i="24"/>
  <c r="B321" i="24"/>
  <c r="A321" i="24"/>
  <c r="F320" i="24"/>
  <c r="B319" i="24"/>
  <c r="A319" i="24"/>
  <c r="B318" i="24"/>
  <c r="A318" i="24"/>
  <c r="B317" i="24"/>
  <c r="A317" i="24"/>
  <c r="B316" i="24"/>
  <c r="A316" i="24"/>
  <c r="F314" i="24"/>
  <c r="F313" i="24"/>
  <c r="F312" i="24"/>
  <c r="F311" i="24"/>
  <c r="F310" i="24"/>
  <c r="F309" i="24"/>
  <c r="F308" i="24"/>
  <c r="F315" i="24" s="1"/>
  <c r="B307" i="24"/>
  <c r="A307" i="24"/>
  <c r="B305" i="24"/>
  <c r="A305" i="24"/>
  <c r="F298" i="24"/>
  <c r="F304" i="24"/>
  <c r="B296" i="24"/>
  <c r="A296" i="24"/>
  <c r="B295" i="24"/>
  <c r="A295" i="24"/>
  <c r="B293" i="24"/>
  <c r="A293" i="24"/>
  <c r="B292" i="24"/>
  <c r="A292" i="24"/>
  <c r="B291" i="24"/>
  <c r="A291" i="24"/>
  <c r="B290" i="24"/>
  <c r="A290" i="24"/>
  <c r="B289" i="24"/>
  <c r="A289" i="24"/>
  <c r="B288" i="24"/>
  <c r="A288" i="24"/>
  <c r="B286" i="24"/>
  <c r="A286" i="24"/>
  <c r="B285" i="24"/>
  <c r="A285" i="24"/>
  <c r="B284" i="24"/>
  <c r="A284" i="24"/>
  <c r="B283" i="24"/>
  <c r="A283" i="24"/>
  <c r="B282" i="24"/>
  <c r="A282" i="24"/>
  <c r="B281" i="24"/>
  <c r="A281" i="24"/>
  <c r="B280" i="24"/>
  <c r="A280" i="24"/>
  <c r="B279" i="24"/>
  <c r="A279" i="24"/>
  <c r="B277" i="24"/>
  <c r="A277" i="24"/>
  <c r="B276" i="24"/>
  <c r="A276" i="24"/>
  <c r="B275" i="24"/>
  <c r="A275" i="24"/>
  <c r="B274" i="24"/>
  <c r="A274" i="24"/>
  <c r="F273" i="24"/>
  <c r="B272" i="24"/>
  <c r="A272" i="24"/>
  <c r="F271" i="24"/>
  <c r="B270" i="24"/>
  <c r="A270" i="24"/>
  <c r="B269" i="24"/>
  <c r="A269" i="24"/>
  <c r="B268" i="24"/>
  <c r="A268" i="24"/>
  <c r="B267" i="24"/>
  <c r="A267" i="24"/>
  <c r="F265" i="24"/>
  <c r="F264" i="24"/>
  <c r="F263" i="24"/>
  <c r="F261" i="24"/>
  <c r="F260" i="24"/>
  <c r="F259" i="24"/>
  <c r="F255" i="24"/>
  <c r="F254" i="24"/>
  <c r="F253" i="24"/>
  <c r="F252" i="24"/>
  <c r="F251" i="24"/>
  <c r="F250" i="24"/>
  <c r="F249" i="24"/>
  <c r="B248" i="24"/>
  <c r="A248" i="24"/>
  <c r="B247" i="24"/>
  <c r="A247" i="24"/>
  <c r="G246" i="24"/>
  <c r="F246" i="24"/>
  <c r="B242" i="24"/>
  <c r="A242" i="24"/>
  <c r="B241" i="24"/>
  <c r="A241" i="24"/>
  <c r="B240" i="24"/>
  <c r="A240" i="24"/>
  <c r="B239" i="24"/>
  <c r="A239" i="24"/>
  <c r="B238" i="24"/>
  <c r="A238" i="24"/>
  <c r="B237" i="24"/>
  <c r="A237" i="24"/>
  <c r="B236" i="24"/>
  <c r="A236" i="24"/>
  <c r="B235" i="24"/>
  <c r="A235" i="24"/>
  <c r="B234" i="24"/>
  <c r="A234" i="24"/>
  <c r="B233" i="24"/>
  <c r="A233" i="24"/>
  <c r="B232" i="24"/>
  <c r="A232" i="24"/>
  <c r="F231" i="24"/>
  <c r="B230" i="24"/>
  <c r="A230" i="24"/>
  <c r="B229" i="24"/>
  <c r="A229" i="24"/>
  <c r="B228" i="24"/>
  <c r="A228" i="24"/>
  <c r="B227" i="24"/>
  <c r="A227" i="24"/>
  <c r="B225" i="24"/>
  <c r="A225" i="24"/>
  <c r="B224" i="24"/>
  <c r="A224" i="24"/>
  <c r="B223" i="24"/>
  <c r="A223" i="24"/>
  <c r="B222" i="24"/>
  <c r="A222" i="24"/>
  <c r="B221" i="24"/>
  <c r="A221" i="24"/>
  <c r="B220" i="24"/>
  <c r="A220" i="24"/>
  <c r="B219" i="24"/>
  <c r="A219" i="24"/>
  <c r="B218" i="24"/>
  <c r="A218" i="24"/>
  <c r="B217" i="24"/>
  <c r="A217" i="24"/>
  <c r="B216" i="24"/>
  <c r="A216" i="24"/>
  <c r="B215" i="24"/>
  <c r="A215" i="24"/>
  <c r="F214" i="24"/>
  <c r="B213" i="24"/>
  <c r="A213" i="24"/>
  <c r="B212" i="24"/>
  <c r="A212" i="24"/>
  <c r="B211" i="24"/>
  <c r="A211" i="24"/>
  <c r="B210" i="24"/>
  <c r="A210" i="24"/>
  <c r="F208" i="24"/>
  <c r="F207" i="24"/>
  <c r="F206" i="24"/>
  <c r="F205" i="24"/>
  <c r="F204" i="24"/>
  <c r="F203" i="24"/>
  <c r="F202" i="24"/>
  <c r="F209" i="24" s="1"/>
  <c r="B201" i="24"/>
  <c r="A201" i="24"/>
  <c r="B200" i="24"/>
  <c r="A200" i="24"/>
  <c r="F198" i="24"/>
  <c r="F197" i="24"/>
  <c r="H197" i="24" s="1"/>
  <c r="F196" i="24"/>
  <c r="F195" i="24"/>
  <c r="F194" i="24"/>
  <c r="F193" i="24"/>
  <c r="F192" i="24"/>
  <c r="H191" i="24"/>
  <c r="D320" i="29" s="1"/>
  <c r="B191" i="24"/>
  <c r="A191" i="24"/>
  <c r="B190" i="24"/>
  <c r="H183" i="24"/>
  <c r="D302" i="29"/>
  <c r="B170" i="24"/>
  <c r="A170" i="24"/>
  <c r="B169" i="24"/>
  <c r="A169" i="24"/>
  <c r="B168" i="24"/>
  <c r="A168" i="24"/>
  <c r="B167" i="24"/>
  <c r="A167" i="24"/>
  <c r="B166" i="24"/>
  <c r="A166" i="24"/>
  <c r="B165" i="24"/>
  <c r="A165" i="24"/>
  <c r="B164" i="24"/>
  <c r="A164" i="24"/>
  <c r="B163" i="24"/>
  <c r="A163" i="24"/>
  <c r="B162" i="24"/>
  <c r="A162" i="24"/>
  <c r="F161" i="24"/>
  <c r="B160" i="24"/>
  <c r="A160" i="24"/>
  <c r="B159" i="24"/>
  <c r="A159" i="24"/>
  <c r="B158" i="24"/>
  <c r="A158" i="24"/>
  <c r="B157" i="24"/>
  <c r="A157" i="24"/>
  <c r="B155" i="24"/>
  <c r="A155" i="24"/>
  <c r="H154" i="24"/>
  <c r="D260" i="29" s="1"/>
  <c r="B154" i="24"/>
  <c r="A154" i="24"/>
  <c r="F153" i="24"/>
  <c r="F152" i="24"/>
  <c r="F151" i="24"/>
  <c r="F150" i="24"/>
  <c r="F149" i="24"/>
  <c r="F148" i="24"/>
  <c r="F147" i="24"/>
  <c r="B145" i="24"/>
  <c r="A145" i="24"/>
  <c r="B144" i="24"/>
  <c r="A144" i="24"/>
  <c r="B138" i="24"/>
  <c r="A138" i="24"/>
  <c r="B137" i="24"/>
  <c r="A137" i="24"/>
  <c r="F136" i="24"/>
  <c r="B127" i="24"/>
  <c r="A127" i="24"/>
  <c r="B109" i="24"/>
  <c r="A109" i="24"/>
  <c r="B108" i="24"/>
  <c r="A108" i="24"/>
  <c r="B107" i="24"/>
  <c r="A107" i="24"/>
  <c r="B106" i="24"/>
  <c r="A106" i="24"/>
  <c r="B105" i="24"/>
  <c r="A105" i="24"/>
  <c r="H104" i="24"/>
  <c r="D169" i="29" s="1"/>
  <c r="B104" i="24"/>
  <c r="A104" i="24"/>
  <c r="B103" i="24"/>
  <c r="A103" i="24"/>
  <c r="B102" i="24"/>
  <c r="A102" i="24"/>
  <c r="B101" i="24"/>
  <c r="A101" i="24"/>
  <c r="B100" i="24"/>
  <c r="A100" i="24"/>
  <c r="B99" i="24"/>
  <c r="A99" i="24"/>
  <c r="B98" i="24"/>
  <c r="A98" i="24"/>
  <c r="F97" i="24"/>
  <c r="B96" i="24"/>
  <c r="A96" i="24"/>
  <c r="B95" i="24"/>
  <c r="A95" i="24"/>
  <c r="B94" i="24"/>
  <c r="A94" i="24"/>
  <c r="B93" i="24"/>
  <c r="A93" i="24"/>
  <c r="F91" i="24"/>
  <c r="F90" i="24"/>
  <c r="F89" i="24"/>
  <c r="F88" i="24"/>
  <c r="F87" i="24"/>
  <c r="F86" i="24"/>
  <c r="F85" i="24"/>
  <c r="F92" i="24" s="1"/>
  <c r="B84" i="24"/>
  <c r="A84" i="24"/>
  <c r="F82" i="24"/>
  <c r="F81" i="24"/>
  <c r="F80" i="24"/>
  <c r="F79" i="24"/>
  <c r="F78" i="24"/>
  <c r="F77" i="24"/>
  <c r="F76" i="24"/>
  <c r="B75" i="24"/>
  <c r="A75" i="24"/>
  <c r="B74" i="24"/>
  <c r="A74" i="24"/>
  <c r="F72" i="24"/>
  <c r="F70" i="24"/>
  <c r="F69" i="24"/>
  <c r="F68" i="24"/>
  <c r="F67" i="24"/>
  <c r="B60" i="24"/>
  <c r="A60" i="24"/>
  <c r="F58" i="24"/>
  <c r="B57" i="24"/>
  <c r="A57" i="24"/>
  <c r="B56" i="24"/>
  <c r="A56" i="24"/>
  <c r="B55" i="24"/>
  <c r="A55" i="24"/>
  <c r="B53" i="24"/>
  <c r="A53" i="24"/>
  <c r="B52" i="24"/>
  <c r="A52" i="24"/>
  <c r="B51" i="24"/>
  <c r="A51" i="24"/>
  <c r="B50" i="24"/>
  <c r="A50" i="24"/>
  <c r="B49" i="24"/>
  <c r="A49" i="24"/>
  <c r="B48" i="24"/>
  <c r="A48" i="24"/>
  <c r="B47" i="24"/>
  <c r="A47" i="24"/>
  <c r="F46" i="24"/>
  <c r="F45" i="24"/>
  <c r="B44" i="24"/>
  <c r="A44" i="24"/>
  <c r="B43" i="24"/>
  <c r="A43" i="24"/>
  <c r="B42" i="24"/>
  <c r="A42" i="24"/>
  <c r="B41" i="24"/>
  <c r="A41" i="24"/>
  <c r="F36" i="24"/>
  <c r="B36" i="24"/>
  <c r="A36" i="24"/>
  <c r="B35" i="24"/>
  <c r="A35" i="24"/>
  <c r="B34" i="24"/>
  <c r="A34" i="24"/>
  <c r="B32" i="24"/>
  <c r="A32" i="24"/>
  <c r="B31" i="24"/>
  <c r="A31" i="24"/>
  <c r="B30" i="24"/>
  <c r="A30" i="24"/>
  <c r="B29" i="24"/>
  <c r="A29" i="24"/>
  <c r="B28" i="24"/>
  <c r="A28" i="24"/>
  <c r="B27" i="24"/>
  <c r="A27" i="24"/>
  <c r="B26" i="24"/>
  <c r="A26" i="24"/>
  <c r="B25" i="24"/>
  <c r="A25" i="24"/>
  <c r="B24" i="24"/>
  <c r="A24" i="24"/>
  <c r="B23" i="24"/>
  <c r="A23" i="24"/>
  <c r="B22" i="24"/>
  <c r="A22" i="24"/>
  <c r="B21" i="24"/>
  <c r="A21" i="24"/>
  <c r="B20" i="24"/>
  <c r="A20" i="24"/>
  <c r="B19" i="24"/>
  <c r="A19" i="24"/>
  <c r="B18" i="24"/>
  <c r="A18" i="24"/>
  <c r="F16" i="24"/>
  <c r="F15" i="24"/>
  <c r="F14" i="24"/>
  <c r="F13" i="24"/>
  <c r="F12" i="24"/>
  <c r="F17" i="24" s="1"/>
  <c r="F11" i="24"/>
  <c r="J701" i="23"/>
  <c r="J699" i="23"/>
  <c r="J685" i="23"/>
  <c r="J683" i="23"/>
  <c r="J681" i="23"/>
  <c r="J676" i="23"/>
  <c r="J670" i="23"/>
  <c r="J655" i="23"/>
  <c r="J653" i="23"/>
  <c r="J638" i="23"/>
  <c r="J624" i="23"/>
  <c r="J615" i="23"/>
  <c r="J601" i="23"/>
  <c r="J596" i="23"/>
  <c r="J579" i="23"/>
  <c r="J577" i="23"/>
  <c r="J562" i="23"/>
  <c r="J549" i="23"/>
  <c r="J547" i="23"/>
  <c r="J532" i="23"/>
  <c r="J517" i="23"/>
  <c r="J515" i="23"/>
  <c r="J514" i="23"/>
  <c r="J498" i="23"/>
  <c r="J475" i="23"/>
  <c r="J461" i="23"/>
  <c r="J446" i="23"/>
  <c r="J445" i="23"/>
  <c r="J443" i="23"/>
  <c r="J438" i="23"/>
  <c r="J432" i="23"/>
  <c r="J419" i="23"/>
  <c r="J417" i="23"/>
  <c r="J402" i="23"/>
  <c r="F16" i="31"/>
  <c r="D36" i="29"/>
  <c r="G32" i="29" s="1"/>
  <c r="F132" i="31"/>
  <c r="D132" i="31" s="1"/>
  <c r="D554" i="29"/>
  <c r="F172" i="31"/>
  <c r="D172" i="31"/>
  <c r="D744" i="29"/>
  <c r="F48" i="31"/>
  <c r="D175" i="29"/>
  <c r="F88" i="31"/>
  <c r="D88" i="31" s="1"/>
  <c r="D351" i="29"/>
  <c r="F140" i="31"/>
  <c r="D140" i="31" s="1"/>
  <c r="D593" i="29"/>
  <c r="F52" i="31"/>
  <c r="D52" i="31" s="1"/>
  <c r="D214" i="29"/>
  <c r="F112" i="31"/>
  <c r="D112" i="31" s="1"/>
  <c r="D455" i="29"/>
  <c r="F144" i="31"/>
  <c r="D144" i="31" s="1"/>
  <c r="D628" i="29"/>
  <c r="F72" i="31"/>
  <c r="D72" i="31" s="1"/>
  <c r="D283" i="29"/>
  <c r="F124" i="31"/>
  <c r="D124" i="31" s="1"/>
  <c r="D508" i="29"/>
  <c r="F152" i="31"/>
  <c r="D152" i="31" s="1"/>
  <c r="D657" i="29"/>
  <c r="C9" i="25"/>
  <c r="C75" i="25"/>
  <c r="F76" i="31"/>
  <c r="D76" i="31" s="1"/>
  <c r="E256" i="24"/>
  <c r="E304" i="24"/>
  <c r="F66" i="24"/>
  <c r="F232" i="24"/>
  <c r="F369" i="24"/>
  <c r="F442" i="24"/>
  <c r="F383" i="24"/>
  <c r="C107" i="25"/>
  <c r="F119" i="24"/>
  <c r="F319" i="24"/>
  <c r="F285" i="24"/>
  <c r="F101" i="24"/>
  <c r="E140" i="24"/>
  <c r="G213" i="24"/>
  <c r="H213" i="24" s="1"/>
  <c r="D338" i="29" s="1"/>
  <c r="F276" i="24"/>
  <c r="H247" i="24"/>
  <c r="F417" i="24"/>
  <c r="H196" i="24"/>
  <c r="F50" i="24"/>
  <c r="G160" i="24"/>
  <c r="H160" i="24" s="1"/>
  <c r="D272" i="29"/>
  <c r="F416" i="24"/>
  <c r="C142" i="25"/>
  <c r="D142" i="25"/>
  <c r="C76" i="25"/>
  <c r="C112" i="25"/>
  <c r="F368" i="24"/>
  <c r="E83" i="24"/>
  <c r="H84" i="24"/>
  <c r="D148" i="29" s="1"/>
  <c r="F367" i="24"/>
  <c r="C14" i="25"/>
  <c r="C81" i="25"/>
  <c r="C215" i="28"/>
  <c r="D145" i="25"/>
  <c r="F24" i="24"/>
  <c r="F100" i="24"/>
  <c r="E451" i="24"/>
  <c r="H448" i="24"/>
  <c r="D707" i="29" s="1"/>
  <c r="C58" i="25"/>
  <c r="C100" i="25"/>
  <c r="F57" i="24"/>
  <c r="F275" i="24"/>
  <c r="C19" i="25"/>
  <c r="C123" i="25"/>
  <c r="F117" i="24"/>
  <c r="C78" i="25"/>
  <c r="C44" i="25"/>
  <c r="H295" i="24"/>
  <c r="D464" i="29" s="1"/>
  <c r="C48" i="25"/>
  <c r="C84" i="25"/>
  <c r="E266" i="24"/>
  <c r="E490" i="24"/>
  <c r="C122" i="25"/>
  <c r="D392" i="29"/>
  <c r="E10" i="26"/>
  <c r="H195" i="24"/>
  <c r="C353" i="28"/>
  <c r="C178" i="28"/>
  <c r="C296" i="28"/>
  <c r="F295" i="28"/>
  <c r="F296" i="28" s="1"/>
  <c r="C181" i="28"/>
  <c r="C227" i="28"/>
  <c r="C208" i="28"/>
  <c r="C367" i="28"/>
  <c r="D147" i="25"/>
  <c r="G468" i="24"/>
  <c r="F115" i="24"/>
  <c r="E246" i="24"/>
  <c r="E479" i="24"/>
  <c r="H192" i="24"/>
  <c r="F256" i="24"/>
  <c r="H258" i="24"/>
  <c r="D408" i="29"/>
  <c r="E477" i="24"/>
  <c r="H464" i="24"/>
  <c r="D731" i="29" s="1"/>
  <c r="D747" i="29" s="1"/>
  <c r="F419" i="24"/>
  <c r="G393" i="24"/>
  <c r="H393" i="24" s="1"/>
  <c r="D615" i="29" s="1"/>
  <c r="F347" i="24"/>
  <c r="F234" i="24"/>
  <c r="E156" i="24"/>
  <c r="E136" i="24"/>
  <c r="F114" i="24"/>
  <c r="F98" i="24"/>
  <c r="E73" i="24"/>
  <c r="C275" i="28"/>
  <c r="C306" i="28"/>
  <c r="C331" i="28"/>
  <c r="F330" i="28"/>
  <c r="C350" i="28"/>
  <c r="C44" i="28"/>
  <c r="C168" i="28"/>
  <c r="C194" i="28"/>
  <c r="C201" i="28"/>
  <c r="C230" i="28"/>
  <c r="C285" i="28"/>
  <c r="C220" i="28"/>
  <c r="F218" i="28"/>
  <c r="C315" i="28"/>
  <c r="C43" i="28"/>
  <c r="C52" i="26" s="1"/>
  <c r="C312" i="28"/>
  <c r="F164" i="24"/>
  <c r="H164" i="24" s="1"/>
  <c r="D276" i="29" s="1"/>
  <c r="F165" i="24"/>
  <c r="F166" i="24"/>
  <c r="H172" i="24"/>
  <c r="D291" i="29" s="1"/>
  <c r="F377" i="24"/>
  <c r="F395" i="24"/>
  <c r="G395" i="24"/>
  <c r="F399" i="24"/>
  <c r="G399" i="24"/>
  <c r="H399" i="24" s="1"/>
  <c r="D621" i="29" s="1"/>
  <c r="E447" i="24"/>
  <c r="H438" i="24"/>
  <c r="D689" i="29" s="1"/>
  <c r="D700" i="29"/>
  <c r="H18" i="24"/>
  <c r="D21" i="29"/>
  <c r="F23" i="24"/>
  <c r="F25" i="24"/>
  <c r="F27" i="24"/>
  <c r="F60" i="24"/>
  <c r="H60" i="24"/>
  <c r="D106" i="29" s="1"/>
  <c r="F61" i="24"/>
  <c r="H63" i="24"/>
  <c r="D115" i="29"/>
  <c r="D127" i="29" s="1"/>
  <c r="F156" i="24"/>
  <c r="G164" i="24"/>
  <c r="G165" i="24"/>
  <c r="H165" i="24" s="1"/>
  <c r="D277" i="29"/>
  <c r="G166" i="24"/>
  <c r="H166" i="24"/>
  <c r="D278" i="29" s="1"/>
  <c r="F178" i="24"/>
  <c r="H178" i="24"/>
  <c r="D297" i="29" s="1"/>
  <c r="F180" i="24"/>
  <c r="H180" i="24" s="1"/>
  <c r="D299" i="29" s="1"/>
  <c r="E199" i="24"/>
  <c r="H200" i="24"/>
  <c r="D324" i="29" s="1"/>
  <c r="E209" i="24"/>
  <c r="F272" i="24"/>
  <c r="F398" i="24"/>
  <c r="G398" i="24"/>
  <c r="F432" i="24"/>
  <c r="E437" i="24"/>
  <c r="E62" i="24"/>
  <c r="E17" i="24"/>
  <c r="G60" i="24"/>
  <c r="G61" i="24"/>
  <c r="F96" i="24"/>
  <c r="F216" i="24"/>
  <c r="F217" i="24"/>
  <c r="H217" i="24" s="1"/>
  <c r="D342" i="29" s="1"/>
  <c r="F219" i="24"/>
  <c r="H227" i="24"/>
  <c r="D364" i="29" s="1"/>
  <c r="F397" i="24"/>
  <c r="G397" i="24"/>
  <c r="E410" i="24"/>
  <c r="H407" i="24"/>
  <c r="D637" i="29"/>
  <c r="F175" i="24"/>
  <c r="F177" i="24"/>
  <c r="H177" i="24" s="1"/>
  <c r="D296" i="29" s="1"/>
  <c r="F179" i="24"/>
  <c r="H179" i="24"/>
  <c r="D298" i="29" s="1"/>
  <c r="H198" i="24"/>
  <c r="G216" i="24"/>
  <c r="G217" i="24"/>
  <c r="G219" i="24"/>
  <c r="H219" i="24" s="1"/>
  <c r="D344" i="29" s="1"/>
  <c r="F230" i="24"/>
  <c r="F430" i="24"/>
  <c r="F433" i="24"/>
  <c r="F437" i="24" s="1"/>
  <c r="F349" i="24"/>
  <c r="F350" i="24"/>
  <c r="F351" i="24"/>
  <c r="F352" i="24"/>
  <c r="F443" i="24"/>
  <c r="E461" i="24"/>
  <c r="H452" i="24"/>
  <c r="D712" i="29"/>
  <c r="D723" i="29" s="1"/>
  <c r="H489" i="24"/>
  <c r="F321" i="24"/>
  <c r="F322" i="24"/>
  <c r="F324" i="24"/>
  <c r="F325" i="24"/>
  <c r="F467" i="24"/>
  <c r="F468" i="24"/>
  <c r="H468" i="24" s="1"/>
  <c r="D735" i="29" s="1"/>
  <c r="F469" i="24"/>
  <c r="F470" i="24"/>
  <c r="F471" i="24"/>
  <c r="F212" i="28"/>
  <c r="F211" i="28"/>
  <c r="F213" i="28"/>
  <c r="C148" i="25"/>
  <c r="F130" i="28"/>
  <c r="F135" i="28"/>
  <c r="F274" i="28"/>
  <c r="F69" i="28"/>
  <c r="F63" i="28"/>
  <c r="F281" i="28"/>
  <c r="C16" i="28"/>
  <c r="F371" i="28"/>
  <c r="F372" i="28"/>
  <c r="C27" i="28"/>
  <c r="C36" i="26"/>
  <c r="F352" i="28"/>
  <c r="F353" i="28"/>
  <c r="C26" i="26"/>
  <c r="F263" i="28"/>
  <c r="F344" i="28"/>
  <c r="F309" i="28"/>
  <c r="F86" i="28"/>
  <c r="F87" i="28"/>
  <c r="F93" i="28"/>
  <c r="F96" i="28"/>
  <c r="F158" i="28"/>
  <c r="F226" i="28"/>
  <c r="F227" i="28"/>
  <c r="C14" i="28"/>
  <c r="C23" i="26"/>
  <c r="F101" i="28"/>
  <c r="F333" i="28"/>
  <c r="F334" i="28"/>
  <c r="F88" i="28"/>
  <c r="C7" i="28"/>
  <c r="F77" i="28"/>
  <c r="F62" i="28"/>
  <c r="F121" i="28"/>
  <c r="F139" i="28"/>
  <c r="F131" i="28"/>
  <c r="F70" i="28"/>
  <c r="F136" i="28"/>
  <c r="F74" i="28"/>
  <c r="F134" i="28"/>
  <c r="F137" i="28"/>
  <c r="F73" i="28"/>
  <c r="F140" i="28"/>
  <c r="C198" i="28"/>
  <c r="F189" i="28"/>
  <c r="F146" i="28"/>
  <c r="C369" i="28"/>
  <c r="C382" i="28" s="1"/>
  <c r="F217" i="28"/>
  <c r="F220" i="28" s="1"/>
  <c r="F147" i="28"/>
  <c r="H398" i="24"/>
  <c r="D620" i="29" s="1"/>
  <c r="H216" i="24"/>
  <c r="D341" i="29" s="1"/>
  <c r="H397" i="24"/>
  <c r="D619" i="29" s="1"/>
  <c r="H395" i="24"/>
  <c r="D617" i="29" s="1"/>
  <c r="C15" i="28"/>
  <c r="C28" i="28"/>
  <c r="C13" i="28"/>
  <c r="C22" i="26"/>
  <c r="F270" i="28"/>
  <c r="C29" i="26"/>
  <c r="F269" i="28"/>
  <c r="F271" i="28"/>
  <c r="C42" i="28"/>
  <c r="C51" i="26"/>
  <c r="F219" i="28"/>
  <c r="C150" i="28"/>
  <c r="D130" i="28" s="1"/>
  <c r="F331" i="28"/>
  <c r="F447" i="24"/>
  <c r="H61" i="24"/>
  <c r="D107" i="29" s="1"/>
  <c r="H175" i="24"/>
  <c r="D294" i="29" s="1"/>
  <c r="F25" i="31"/>
  <c r="I44" i="28"/>
  <c r="T54" i="25"/>
  <c r="I56" i="28"/>
  <c r="T66" i="25"/>
  <c r="C203" i="28"/>
  <c r="D186" i="28"/>
  <c r="D140" i="28"/>
  <c r="D146" i="28"/>
  <c r="D135" i="28"/>
  <c r="F192" i="28"/>
  <c r="F187" i="28"/>
  <c r="F186" i="28"/>
  <c r="C170" i="28"/>
  <c r="F169" i="28"/>
  <c r="F366" i="28"/>
  <c r="D190" i="28"/>
  <c r="D193" i="28"/>
  <c r="C388" i="28"/>
  <c r="F81" i="31"/>
  <c r="F97" i="31"/>
  <c r="J86" i="25"/>
  <c r="F29" i="31"/>
  <c r="F57" i="31"/>
  <c r="F58" i="31" s="1"/>
  <c r="F41" i="31"/>
  <c r="F42" i="31"/>
  <c r="F149" i="31"/>
  <c r="F150" i="31" s="1"/>
  <c r="F65" i="31"/>
  <c r="F66" i="31" s="1"/>
  <c r="F21" i="31"/>
  <c r="F33" i="31"/>
  <c r="F34" i="31" s="1"/>
  <c r="F165" i="31"/>
  <c r="F109" i="31"/>
  <c r="F110" i="31" s="1"/>
  <c r="F121" i="31"/>
  <c r="F122" i="31" s="1"/>
  <c r="F117" i="31"/>
  <c r="F118" i="31" s="1"/>
  <c r="F37" i="31"/>
  <c r="F105" i="31"/>
  <c r="F106" i="31" s="1"/>
  <c r="F177" i="31"/>
  <c r="F178" i="31" s="1"/>
  <c r="F137" i="31"/>
  <c r="F138" i="31" s="1"/>
  <c r="F45" i="31"/>
  <c r="F101" i="31"/>
  <c r="F161" i="31"/>
  <c r="F162" i="31" s="1"/>
  <c r="F85" i="31"/>
  <c r="F86" i="31" s="1"/>
  <c r="F169" i="31"/>
  <c r="F170" i="31" s="1"/>
  <c r="F13" i="31"/>
  <c r="F14" i="31" s="1"/>
  <c r="F69" i="31"/>
  <c r="F70" i="31"/>
  <c r="F157" i="31"/>
  <c r="F158" i="31" s="1"/>
  <c r="F129" i="31"/>
  <c r="F130" i="31" s="1"/>
  <c r="F38" i="22"/>
  <c r="G16" i="10"/>
  <c r="A2" i="12"/>
  <c r="E46" i="12"/>
  <c r="D9" i="11"/>
  <c r="D16" i="11"/>
  <c r="D12" i="11"/>
  <c r="D19" i="11" s="1"/>
  <c r="D28" i="11" s="1"/>
  <c r="M29" i="16"/>
  <c r="A1" i="7"/>
  <c r="A1" i="11"/>
  <c r="A2" i="27" s="1"/>
  <c r="B1" i="9"/>
  <c r="A1" i="6"/>
  <c r="B1" i="12" s="1"/>
  <c r="D18" i="11"/>
  <c r="J11" i="12"/>
  <c r="J36" i="12" s="1"/>
  <c r="J8" i="31" s="1"/>
  <c r="K8" i="31" s="1"/>
  <c r="J7" i="12"/>
  <c r="F11" i="11"/>
  <c r="D12" i="10"/>
  <c r="P83" i="25"/>
  <c r="F165" i="28"/>
  <c r="C37" i="26"/>
  <c r="I50" i="28"/>
  <c r="F47" i="24"/>
  <c r="C12" i="25"/>
  <c r="E54" i="24"/>
  <c r="C111" i="28"/>
  <c r="C113" i="28"/>
  <c r="F164" i="28"/>
  <c r="C11" i="28"/>
  <c r="C20" i="26" s="1"/>
  <c r="F365" i="28"/>
  <c r="F367" i="28" s="1"/>
  <c r="F349" i="28"/>
  <c r="C12" i="28"/>
  <c r="T32" i="25" s="1"/>
  <c r="C16" i="26"/>
  <c r="T31" i="25"/>
  <c r="I51" i="28"/>
  <c r="T61" i="25" s="1"/>
  <c r="H34" i="24"/>
  <c r="D50" i="29" s="1"/>
  <c r="E37" i="24"/>
  <c r="C80" i="25"/>
  <c r="F118" i="24"/>
  <c r="F163" i="28"/>
  <c r="D191" i="28"/>
  <c r="D192" i="28"/>
  <c r="D188" i="28"/>
  <c r="D189" i="28"/>
  <c r="F148" i="28"/>
  <c r="F348" i="28"/>
  <c r="F350" i="28" s="1"/>
  <c r="F284" i="28"/>
  <c r="F280" i="28"/>
  <c r="F283" i="28"/>
  <c r="C40" i="28"/>
  <c r="F273" i="28"/>
  <c r="F275" i="28" s="1"/>
  <c r="C277" i="28"/>
  <c r="E126" i="24"/>
  <c r="G469" i="24"/>
  <c r="H469" i="24"/>
  <c r="D736" i="29" s="1"/>
  <c r="E145" i="25"/>
  <c r="G133" i="24" s="1"/>
  <c r="H133" i="24" s="1"/>
  <c r="D231" i="29" s="1"/>
  <c r="F167" i="28"/>
  <c r="I28" i="28"/>
  <c r="C24" i="28"/>
  <c r="C33" i="26" s="1"/>
  <c r="F195" i="28"/>
  <c r="F191" i="28"/>
  <c r="F188" i="28"/>
  <c r="F197" i="28"/>
  <c r="F214" i="28"/>
  <c r="F215" i="28"/>
  <c r="F210" i="28"/>
  <c r="C16" i="25"/>
  <c r="F49" i="24"/>
  <c r="D143" i="25"/>
  <c r="G467" i="24"/>
  <c r="H467" i="24" s="1"/>
  <c r="D734" i="29" s="1"/>
  <c r="F261" i="28"/>
  <c r="C236" i="28"/>
  <c r="C9" i="28" s="1"/>
  <c r="C18" i="26" s="1"/>
  <c r="F59" i="28"/>
  <c r="F100" i="28"/>
  <c r="F95" i="28"/>
  <c r="F89" i="28"/>
  <c r="C36" i="28"/>
  <c r="F133" i="28"/>
  <c r="F129" i="28"/>
  <c r="C37" i="28"/>
  <c r="C46" i="26" s="1"/>
  <c r="F127" i="28"/>
  <c r="F128" i="28"/>
  <c r="F138" i="28"/>
  <c r="C175" i="28"/>
  <c r="F232" i="28"/>
  <c r="F233" i="28" s="1"/>
  <c r="C39" i="28"/>
  <c r="C48" i="26" s="1"/>
  <c r="F282" i="28"/>
  <c r="F285" i="28" s="1"/>
  <c r="F343" i="28"/>
  <c r="C356" i="28"/>
  <c r="C362" i="28" s="1"/>
  <c r="F374" i="28"/>
  <c r="F373" i="28"/>
  <c r="F59" i="24"/>
  <c r="H59" i="24" s="1"/>
  <c r="D105" i="29"/>
  <c r="G59" i="24"/>
  <c r="F99" i="24"/>
  <c r="C13" i="25"/>
  <c r="D431" i="29"/>
  <c r="H194" i="24"/>
  <c r="F199" i="24"/>
  <c r="F26" i="24"/>
  <c r="C134" i="25"/>
  <c r="D146" i="25"/>
  <c r="G470" i="24" s="1"/>
  <c r="H470" i="24" s="1"/>
  <c r="D737" i="29" s="1"/>
  <c r="E146" i="25"/>
  <c r="G134" i="24" s="1"/>
  <c r="H134" i="24" s="1"/>
  <c r="D232" i="29"/>
  <c r="F316" i="24"/>
  <c r="F37" i="24"/>
  <c r="F39" i="24"/>
  <c r="H39" i="24" s="1"/>
  <c r="D55" i="29" s="1"/>
  <c r="E16" i="23"/>
  <c r="D39" i="29"/>
  <c r="F298" i="28"/>
  <c r="F299" i="28" s="1"/>
  <c r="J582" i="23"/>
  <c r="E5" i="23"/>
  <c r="B142" i="24"/>
  <c r="A142" i="24"/>
  <c r="Q396" i="23"/>
  <c r="Q397" i="23" s="1"/>
  <c r="O397" i="23"/>
  <c r="C28" i="26"/>
  <c r="I12" i="28"/>
  <c r="T15" i="25"/>
  <c r="G465" i="24"/>
  <c r="H465" i="24" s="1"/>
  <c r="E142" i="25"/>
  <c r="D199" i="29"/>
  <c r="D132" i="29"/>
  <c r="D143" i="29" s="1"/>
  <c r="D57" i="29"/>
  <c r="D72" i="29" s="1"/>
  <c r="H142" i="24"/>
  <c r="D248" i="29"/>
  <c r="A1" i="24"/>
  <c r="A1" i="25"/>
  <c r="E144" i="25"/>
  <c r="G132" i="24"/>
  <c r="H132" i="24" s="1"/>
  <c r="D230" i="29" s="1"/>
  <c r="D612" i="29"/>
  <c r="D669" i="29"/>
  <c r="D681" i="29" s="1"/>
  <c r="F18" i="11"/>
  <c r="H316" i="24"/>
  <c r="D492" i="29" s="1"/>
  <c r="F320" i="28"/>
  <c r="E143" i="25"/>
  <c r="C49" i="26"/>
  <c r="I32" i="28"/>
  <c r="D274" i="28"/>
  <c r="D269" i="28"/>
  <c r="D271" i="28" s="1"/>
  <c r="D270" i="28"/>
  <c r="D273" i="28"/>
  <c r="D275" i="28"/>
  <c r="F174" i="28"/>
  <c r="F141" i="28"/>
  <c r="C21" i="26"/>
  <c r="T60" i="25"/>
  <c r="F321" i="28"/>
  <c r="C8" i="28"/>
  <c r="C17" i="26" s="1"/>
  <c r="I14" i="28"/>
  <c r="T17" i="25" s="1"/>
  <c r="F62" i="24"/>
  <c r="D217" i="29"/>
  <c r="G129" i="24"/>
  <c r="T36" i="25"/>
  <c r="D732" i="29"/>
  <c r="H129" i="24"/>
  <c r="D227" i="29" s="1"/>
  <c r="F98" i="31"/>
  <c r="F166" i="31"/>
  <c r="D28" i="31"/>
  <c r="F30" i="31"/>
  <c r="D120" i="31"/>
  <c r="F62" i="31"/>
  <c r="D48" i="31"/>
  <c r="D20" i="31"/>
  <c r="D32" i="31"/>
  <c r="P27" i="16"/>
  <c r="Q27" i="16" s="1"/>
  <c r="C45" i="36"/>
  <c r="F89" i="31"/>
  <c r="F90" i="31" s="1"/>
  <c r="F141" i="31"/>
  <c r="F142" i="31"/>
  <c r="F173" i="31"/>
  <c r="F174" i="31" s="1"/>
  <c r="F153" i="31"/>
  <c r="F154" i="31" s="1"/>
  <c r="F133" i="31"/>
  <c r="F53" i="31"/>
  <c r="F54" i="31" s="1"/>
  <c r="F145" i="31"/>
  <c r="F146" i="31" s="1"/>
  <c r="F49" i="31"/>
  <c r="F50" i="31" s="1"/>
  <c r="F93" i="31"/>
  <c r="G40" i="27"/>
  <c r="G27" i="27"/>
  <c r="G36" i="27"/>
  <c r="F125" i="31"/>
  <c r="F126" i="31" s="1"/>
  <c r="F113" i="31"/>
  <c r="F114" i="31" s="1"/>
  <c r="G41" i="27"/>
  <c r="F73" i="31"/>
  <c r="F74" i="31" s="1"/>
  <c r="F17" i="31"/>
  <c r="G33" i="27"/>
  <c r="G43" i="27"/>
  <c r="G23" i="27"/>
  <c r="G17" i="27"/>
  <c r="G38" i="27"/>
  <c r="G24" i="27"/>
  <c r="F77" i="31"/>
  <c r="G48" i="27"/>
  <c r="G18" i="27"/>
  <c r="G28" i="27"/>
  <c r="G9" i="27"/>
  <c r="E50" i="27"/>
  <c r="C39" i="36"/>
  <c r="C21" i="36"/>
  <c r="C24" i="36"/>
  <c r="C43" i="36"/>
  <c r="C41" i="36"/>
  <c r="C23" i="36"/>
  <c r="C31" i="36"/>
  <c r="D342" i="28"/>
  <c r="F166" i="28"/>
  <c r="C33" i="28"/>
  <c r="F162" i="28"/>
  <c r="F168" i="28" s="1"/>
  <c r="F170" i="28" s="1"/>
  <c r="D187" i="28"/>
  <c r="D194" i="28"/>
  <c r="F196" i="28"/>
  <c r="F190" i="28"/>
  <c r="I27" i="28"/>
  <c r="I40" i="28"/>
  <c r="I26" i="28"/>
  <c r="F262" i="28"/>
  <c r="F260" i="28"/>
  <c r="F264" i="28" s="1"/>
  <c r="F193" i="28"/>
  <c r="C105" i="28"/>
  <c r="F85" i="28"/>
  <c r="F99" i="28"/>
  <c r="F91" i="28"/>
  <c r="F92" i="28"/>
  <c r="F97" i="28"/>
  <c r="F98" i="28"/>
  <c r="F90" i="28"/>
  <c r="C23" i="28"/>
  <c r="C32" i="26" s="1"/>
  <c r="C30" i="28"/>
  <c r="F342" i="28"/>
  <c r="F346" i="28" s="1"/>
  <c r="F345" i="28"/>
  <c r="C25" i="28"/>
  <c r="F375" i="28"/>
  <c r="F223" i="28"/>
  <c r="F224" i="28" s="1"/>
  <c r="E90" i="23"/>
  <c r="E370" i="23"/>
  <c r="E338" i="23"/>
  <c r="E306" i="23"/>
  <c r="E250" i="23"/>
  <c r="E190" i="23"/>
  <c r="E138" i="23"/>
  <c r="E106" i="23"/>
  <c r="B42" i="6"/>
  <c r="E354" i="23"/>
  <c r="E322" i="23"/>
  <c r="E282" i="23"/>
  <c r="I39" i="28"/>
  <c r="C39" i="26"/>
  <c r="I37" i="28"/>
  <c r="T29" i="25"/>
  <c r="T50" i="25"/>
  <c r="D94" i="28"/>
  <c r="D72" i="28"/>
  <c r="D81" i="28"/>
  <c r="D65" i="28"/>
  <c r="D73" i="28"/>
  <c r="D90" i="28"/>
  <c r="D91" i="28"/>
  <c r="D82" i="28"/>
  <c r="D57" i="28"/>
  <c r="D95" i="28"/>
  <c r="D76" i="28"/>
  <c r="D80" i="28"/>
  <c r="D60" i="28"/>
  <c r="D63" i="28"/>
  <c r="D89" i="28"/>
  <c r="D61" i="28"/>
  <c r="D86" i="28"/>
  <c r="D85" i="28"/>
  <c r="D71" i="28"/>
  <c r="D97" i="28"/>
  <c r="D102" i="28"/>
  <c r="T30" i="25"/>
  <c r="C42" i="26"/>
  <c r="I18" i="28"/>
  <c r="T21" i="25"/>
  <c r="C124" i="28"/>
  <c r="F110" i="28"/>
  <c r="D314" i="29"/>
  <c r="F112" i="28"/>
  <c r="F109" i="28"/>
  <c r="D315" i="29"/>
  <c r="C21" i="28"/>
  <c r="C30" i="26" s="1"/>
  <c r="F108" i="28"/>
  <c r="D375" i="28"/>
  <c r="D379" i="28"/>
  <c r="D380" i="28" s="1"/>
  <c r="D366" i="28"/>
  <c r="D378" i="28"/>
  <c r="D373" i="28"/>
  <c r="D371" i="28"/>
  <c r="D374" i="28"/>
  <c r="D372" i="28"/>
  <c r="D365" i="28"/>
  <c r="D367" i="28" s="1"/>
  <c r="I49" i="28"/>
  <c r="F324" i="28"/>
  <c r="F235" i="28"/>
  <c r="F236" i="28" s="1"/>
  <c r="D200" i="28"/>
  <c r="D201" i="28"/>
  <c r="D203" i="28" s="1"/>
  <c r="F368" i="28"/>
  <c r="F369" i="28"/>
  <c r="C24" i="26"/>
  <c r="I8" i="28"/>
  <c r="T11" i="25" s="1"/>
  <c r="G131" i="24"/>
  <c r="H131" i="24"/>
  <c r="D229" i="29"/>
  <c r="C34" i="28"/>
  <c r="F102" i="28"/>
  <c r="F94" i="28"/>
  <c r="F103" i="28"/>
  <c r="F117" i="28"/>
  <c r="F119" i="28"/>
  <c r="F378" i="28"/>
  <c r="F379" i="28"/>
  <c r="F380" i="28" s="1"/>
  <c r="C25" i="26"/>
  <c r="I24" i="28"/>
  <c r="F154" i="28"/>
  <c r="C34" i="36"/>
  <c r="C49" i="36"/>
  <c r="C32" i="36"/>
  <c r="D16" i="29"/>
  <c r="D110" i="29"/>
  <c r="F336" i="28"/>
  <c r="F337" i="28"/>
  <c r="F12" i="11"/>
  <c r="F102" i="31"/>
  <c r="C46" i="36"/>
  <c r="C19" i="36"/>
  <c r="C13" i="36"/>
  <c r="C12" i="36"/>
  <c r="C18" i="36"/>
  <c r="C9" i="36"/>
  <c r="C8" i="36"/>
  <c r="C40" i="36"/>
  <c r="C10" i="36"/>
  <c r="C48" i="36"/>
  <c r="C28" i="36"/>
  <c r="C15" i="36"/>
  <c r="C14" i="36"/>
  <c r="C29" i="36"/>
  <c r="C38" i="36"/>
  <c r="C26" i="36"/>
  <c r="C42" i="36"/>
  <c r="C33" i="36"/>
  <c r="C16" i="36"/>
  <c r="C27" i="36"/>
  <c r="C35" i="36"/>
  <c r="C44" i="36"/>
  <c r="C30" i="36"/>
  <c r="C22" i="36"/>
  <c r="C11" i="36"/>
  <c r="C17" i="36"/>
  <c r="C36" i="36"/>
  <c r="C25" i="36"/>
  <c r="C20" i="36"/>
  <c r="C47" i="36"/>
  <c r="C37" i="36"/>
  <c r="F46" i="31"/>
  <c r="F82" i="31"/>
  <c r="F22" i="31"/>
  <c r="F38" i="31"/>
  <c r="F26" i="31"/>
  <c r="B16" i="11"/>
  <c r="F16" i="11" s="1"/>
  <c r="F9" i="11"/>
  <c r="D10" i="9"/>
  <c r="L164" i="22"/>
  <c r="C14" i="22"/>
  <c r="C10" i="22"/>
  <c r="C12" i="16" s="1"/>
  <c r="F12" i="16" s="1"/>
  <c r="F26" i="22"/>
  <c r="D115" i="28"/>
  <c r="D117" i="28"/>
  <c r="D116" i="28"/>
  <c r="D109" i="28"/>
  <c r="D119" i="28"/>
  <c r="D110" i="28"/>
  <c r="D108" i="28"/>
  <c r="D118" i="28"/>
  <c r="B43" i="6"/>
  <c r="T27" i="25"/>
  <c r="C43" i="26"/>
  <c r="I19" i="28"/>
  <c r="I52" i="28"/>
  <c r="J50" i="28" s="1"/>
  <c r="T59" i="25"/>
  <c r="D313" i="29"/>
  <c r="D312" i="29"/>
  <c r="F113" i="28"/>
  <c r="V15" i="6"/>
  <c r="J51" i="28"/>
  <c r="T22" i="25"/>
  <c r="J49" i="28"/>
  <c r="J52" i="28" s="1"/>
  <c r="D120" i="28"/>
  <c r="B44" i="6"/>
  <c r="D9" i="16" l="1"/>
  <c r="N9" i="16" s="1"/>
  <c r="C11" i="16"/>
  <c r="F11" i="16" s="1"/>
  <c r="N8" i="16"/>
  <c r="D8" i="16"/>
  <c r="C10" i="16"/>
  <c r="L10" i="16" s="1"/>
  <c r="D7" i="16"/>
  <c r="L8" i="16"/>
  <c r="P8" i="16" s="1"/>
  <c r="C8" i="16"/>
  <c r="D10" i="16"/>
  <c r="N10" i="16" s="1"/>
  <c r="F30" i="22"/>
  <c r="L7" i="16"/>
  <c r="C12" i="22"/>
  <c r="F20" i="22"/>
  <c r="C49" i="27"/>
  <c r="F134" i="31"/>
  <c r="F78" i="31"/>
  <c r="F18" i="31"/>
  <c r="D16" i="9"/>
  <c r="F19" i="11"/>
  <c r="F28" i="11" s="1"/>
  <c r="B20" i="11"/>
  <c r="L9" i="16"/>
  <c r="F94" i="31"/>
  <c r="C10" i="27"/>
  <c r="C47" i="27"/>
  <c r="C15" i="27"/>
  <c r="C36" i="27"/>
  <c r="C39" i="27"/>
  <c r="C42" i="27"/>
  <c r="C44" i="27"/>
  <c r="C22" i="27"/>
  <c r="C16" i="27"/>
  <c r="C28" i="27"/>
  <c r="C37" i="27"/>
  <c r="C8" i="27"/>
  <c r="C17" i="27"/>
  <c r="C46" i="27"/>
  <c r="C23" i="27"/>
  <c r="C26" i="27"/>
  <c r="C12" i="27"/>
  <c r="C45" i="27"/>
  <c r="C29" i="27"/>
  <c r="C19" i="27"/>
  <c r="C24" i="27"/>
  <c r="E48" i="12"/>
  <c r="E52" i="12" s="1"/>
  <c r="C48" i="12" s="1"/>
  <c r="C38" i="27"/>
  <c r="C34" i="27"/>
  <c r="C20" i="27"/>
  <c r="C11" i="27"/>
  <c r="C13" i="27"/>
  <c r="K9" i="31"/>
  <c r="C9" i="27"/>
  <c r="C21" i="27"/>
  <c r="C27" i="27"/>
  <c r="C43" i="27"/>
  <c r="C30" i="27"/>
  <c r="C18" i="27"/>
  <c r="C25" i="27"/>
  <c r="C41" i="27"/>
  <c r="C14" i="27"/>
  <c r="C33" i="27"/>
  <c r="C35" i="27"/>
  <c r="C32" i="27"/>
  <c r="C40" i="27"/>
  <c r="E53" i="12"/>
  <c r="G53" i="12" s="1"/>
  <c r="H53" i="12" s="1"/>
  <c r="J53" i="12" s="1"/>
  <c r="G49" i="12"/>
  <c r="H49" i="12" s="1"/>
  <c r="J49" i="12" s="1"/>
  <c r="C31" i="27"/>
  <c r="C48" i="27"/>
  <c r="B12" i="6"/>
  <c r="P18" i="16"/>
  <c r="P14" i="16"/>
  <c r="P28" i="16"/>
  <c r="F33" i="22"/>
  <c r="B22" i="11"/>
  <c r="F24" i="11"/>
  <c r="L23" i="16"/>
  <c r="J12" i="12"/>
  <c r="F25" i="22"/>
  <c r="F31" i="22"/>
  <c r="F32" i="22"/>
  <c r="F34" i="22"/>
  <c r="F12" i="6"/>
  <c r="F36" i="22"/>
  <c r="F10" i="22"/>
  <c r="F28" i="22"/>
  <c r="L11" i="16"/>
  <c r="C19" i="22"/>
  <c r="F18" i="22"/>
  <c r="D19" i="22"/>
  <c r="C37" i="22"/>
  <c r="F24" i="22"/>
  <c r="F35" i="22"/>
  <c r="F6" i="22"/>
  <c r="N23" i="16"/>
  <c r="F8" i="22"/>
  <c r="E39" i="22"/>
  <c r="F22" i="22"/>
  <c r="F17" i="22"/>
  <c r="F23" i="22"/>
  <c r="D37" i="22"/>
  <c r="F21" i="22"/>
  <c r="F5" i="22"/>
  <c r="L12" i="16"/>
  <c r="F9" i="22"/>
  <c r="L22" i="16"/>
  <c r="C29" i="22"/>
  <c r="C49" i="30" s="1"/>
  <c r="F14" i="22"/>
  <c r="D27" i="22"/>
  <c r="N12" i="16"/>
  <c r="D21" i="11"/>
  <c r="F7" i="22"/>
  <c r="D12" i="22"/>
  <c r="F4" i="22"/>
  <c r="D8" i="9"/>
  <c r="J479" i="23"/>
  <c r="I702" i="23"/>
  <c r="H499" i="24" s="1"/>
  <c r="F162" i="24"/>
  <c r="G162" i="24"/>
  <c r="E189" i="24"/>
  <c r="F176" i="24"/>
  <c r="H210" i="24"/>
  <c r="E226" i="24"/>
  <c r="F218" i="24"/>
  <c r="G218" i="24"/>
  <c r="H218" i="24"/>
  <c r="D343" i="29" s="1"/>
  <c r="C120" i="25"/>
  <c r="F233" i="24"/>
  <c r="F243" i="24" s="1"/>
  <c r="C91" i="25"/>
  <c r="F270" i="24"/>
  <c r="E278" i="24"/>
  <c r="F284" i="24"/>
  <c r="F294" i="24" s="1"/>
  <c r="C108" i="25"/>
  <c r="C63" i="25"/>
  <c r="F340" i="24"/>
  <c r="F343" i="24" s="1"/>
  <c r="H345" i="24"/>
  <c r="E360" i="24"/>
  <c r="C30" i="25"/>
  <c r="C31" i="25" s="1"/>
  <c r="F353" i="24"/>
  <c r="C40" i="25"/>
  <c r="F364" i="24"/>
  <c r="F373" i="24" s="1"/>
  <c r="E373" i="24"/>
  <c r="H374" i="24"/>
  <c r="E389" i="24"/>
  <c r="F379" i="24"/>
  <c r="C42" i="25"/>
  <c r="F381" i="24"/>
  <c r="C46" i="25"/>
  <c r="H392" i="24"/>
  <c r="E406" i="24"/>
  <c r="C96" i="25"/>
  <c r="F418" i="24"/>
  <c r="E97" i="23"/>
  <c r="D396" i="23"/>
  <c r="D20" i="11"/>
  <c r="U59" i="25"/>
  <c r="D128" i="25" s="1"/>
  <c r="T62" i="25"/>
  <c r="E243" i="24"/>
  <c r="H229" i="24"/>
  <c r="C97" i="25"/>
  <c r="F274" i="24"/>
  <c r="H279" i="24"/>
  <c r="E294" i="24"/>
  <c r="C110" i="25"/>
  <c r="F286" i="24"/>
  <c r="E315" i="24"/>
  <c r="H305" i="24"/>
  <c r="C65" i="25"/>
  <c r="F323" i="24"/>
  <c r="G396" i="24"/>
  <c r="F396" i="24"/>
  <c r="F406" i="24" s="1"/>
  <c r="E99" i="23"/>
  <c r="C396" i="23"/>
  <c r="C397" i="23" s="1"/>
  <c r="E702" i="23"/>
  <c r="F287" i="24"/>
  <c r="C111" i="25"/>
  <c r="B12" i="7"/>
  <c r="D10" i="7" s="1"/>
  <c r="F10" i="7" s="1"/>
  <c r="H157" i="24"/>
  <c r="E171" i="24"/>
  <c r="F163" i="24"/>
  <c r="H163" i="24" s="1"/>
  <c r="D275" i="29" s="1"/>
  <c r="G163" i="24"/>
  <c r="F181" i="24"/>
  <c r="H181" i="24" s="1"/>
  <c r="D300" i="29" s="1"/>
  <c r="G181" i="24"/>
  <c r="F215" i="24"/>
  <c r="F226" i="24" s="1"/>
  <c r="G215" i="24"/>
  <c r="H318" i="24"/>
  <c r="E332" i="24"/>
  <c r="H333" i="24"/>
  <c r="E343" i="24"/>
  <c r="F370" i="24"/>
  <c r="C49" i="25"/>
  <c r="F414" i="24"/>
  <c r="F426" i="24" s="1"/>
  <c r="E426" i="24"/>
  <c r="C90" i="25"/>
  <c r="B426" i="24"/>
  <c r="D124" i="28"/>
  <c r="D316" i="29"/>
  <c r="D111" i="28"/>
  <c r="D376" i="28"/>
  <c r="D382" i="28" s="1"/>
  <c r="T47" i="25"/>
  <c r="F360" i="24"/>
  <c r="G471" i="24"/>
  <c r="E147" i="25"/>
  <c r="G135" i="24" s="1"/>
  <c r="H135" i="24" s="1"/>
  <c r="D233" i="29" s="1"/>
  <c r="D148" i="25"/>
  <c r="G50" i="27"/>
  <c r="T49" i="25"/>
  <c r="C32" i="28"/>
  <c r="F229" i="28"/>
  <c r="F230" i="28" s="1"/>
  <c r="C53" i="26"/>
  <c r="I38" i="28"/>
  <c r="C31" i="28"/>
  <c r="F304" i="28"/>
  <c r="F306" i="28" s="1"/>
  <c r="F305" i="28"/>
  <c r="F126" i="24"/>
  <c r="D16" i="31"/>
  <c r="F8" i="31"/>
  <c r="J702" i="23"/>
  <c r="J703" i="23" s="1"/>
  <c r="C130" i="25"/>
  <c r="F21" i="24"/>
  <c r="E33" i="24"/>
  <c r="C34" i="26"/>
  <c r="I45" i="28"/>
  <c r="D277" i="28"/>
  <c r="D352" i="28"/>
  <c r="D353" i="28" s="1"/>
  <c r="D349" i="28"/>
  <c r="D345" i="28"/>
  <c r="D355" i="28"/>
  <c r="D356" i="28" s="1"/>
  <c r="D344" i="28"/>
  <c r="D343" i="28"/>
  <c r="D346" i="28" s="1"/>
  <c r="D358" i="28"/>
  <c r="D348" i="28"/>
  <c r="C45" i="26"/>
  <c r="I13" i="28"/>
  <c r="F194" i="28"/>
  <c r="F198" i="28" s="1"/>
  <c r="D136" i="28"/>
  <c r="F376" i="28"/>
  <c r="F477" i="24"/>
  <c r="F308" i="28"/>
  <c r="C35" i="28"/>
  <c r="F310" i="28"/>
  <c r="F311" i="28"/>
  <c r="C317" i="28"/>
  <c r="F157" i="28"/>
  <c r="F153" i="28"/>
  <c r="F160" i="28" s="1"/>
  <c r="F159" i="28"/>
  <c r="C41" i="28"/>
  <c r="F155" i="28"/>
  <c r="C183" i="28"/>
  <c r="F156" i="28"/>
  <c r="C244" i="28"/>
  <c r="F241" i="28" s="1"/>
  <c r="C258" i="28"/>
  <c r="F251" i="28" s="1"/>
  <c r="C293" i="28"/>
  <c r="D309" i="28"/>
  <c r="F322" i="28"/>
  <c r="C339" i="28"/>
  <c r="F327" i="28"/>
  <c r="F326" i="28"/>
  <c r="F323" i="28"/>
  <c r="F325" i="28"/>
  <c r="D93" i="23"/>
  <c r="D703" i="23" s="1"/>
  <c r="E12" i="23"/>
  <c r="C93" i="23"/>
  <c r="C703" i="23" s="1"/>
  <c r="D75" i="28"/>
  <c r="D93" i="28"/>
  <c r="D79" i="28"/>
  <c r="D78" i="28"/>
  <c r="D98" i="28"/>
  <c r="D59" i="28"/>
  <c r="D67" i="28"/>
  <c r="D68" i="28"/>
  <c r="D66" i="28"/>
  <c r="D58" i="28"/>
  <c r="D83" i="28" s="1"/>
  <c r="D77" i="28"/>
  <c r="D101" i="28"/>
  <c r="D70" i="28"/>
  <c r="D87" i="28"/>
  <c r="D103" i="28" s="1"/>
  <c r="D62" i="28"/>
  <c r="D88" i="28"/>
  <c r="D96" i="28"/>
  <c r="D64" i="28"/>
  <c r="D100" i="28"/>
  <c r="D92" i="28"/>
  <c r="D99" i="28"/>
  <c r="F355" i="28"/>
  <c r="F356" i="28" s="1"/>
  <c r="D359" i="28"/>
  <c r="C20" i="25"/>
  <c r="F173" i="28"/>
  <c r="F172" i="28"/>
  <c r="F207" i="28"/>
  <c r="F206" i="28"/>
  <c r="C238" i="28"/>
  <c r="F116" i="28"/>
  <c r="F115" i="28"/>
  <c r="F118" i="28"/>
  <c r="F332" i="24"/>
  <c r="F9" i="31"/>
  <c r="D131" i="28"/>
  <c r="D138" i="28"/>
  <c r="D127" i="28"/>
  <c r="D137" i="28"/>
  <c r="D139" i="28"/>
  <c r="D129" i="28"/>
  <c r="D143" i="28"/>
  <c r="D144" i="28" s="1"/>
  <c r="D147" i="28"/>
  <c r="D148" i="28" s="1"/>
  <c r="D132" i="28"/>
  <c r="D133" i="28"/>
  <c r="D128" i="28"/>
  <c r="D134" i="28"/>
  <c r="H471" i="24"/>
  <c r="D738" i="29" s="1"/>
  <c r="F64" i="28"/>
  <c r="F60" i="28"/>
  <c r="F57" i="28"/>
  <c r="F79" i="28"/>
  <c r="C10" i="28"/>
  <c r="F71" i="28"/>
  <c r="F76" i="28"/>
  <c r="F72" i="28"/>
  <c r="F66" i="28"/>
  <c r="F58" i="28"/>
  <c r="F75" i="28"/>
  <c r="F78" i="28"/>
  <c r="F67" i="28"/>
  <c r="F68" i="28"/>
  <c r="F82" i="28"/>
  <c r="F81" i="28"/>
  <c r="F61" i="28"/>
  <c r="F65" i="28"/>
  <c r="D69" i="28"/>
  <c r="D74" i="28"/>
  <c r="F80" i="28"/>
  <c r="F54" i="24"/>
  <c r="F102" i="24"/>
  <c r="F110" i="24" s="1"/>
  <c r="E110" i="24"/>
  <c r="F83" i="24"/>
  <c r="F266" i="24"/>
  <c r="D475" i="29"/>
  <c r="C83" i="25"/>
  <c r="C85" i="25" s="1"/>
  <c r="F71" i="24"/>
  <c r="E73" i="23"/>
  <c r="E32" i="23"/>
  <c r="E19" i="23"/>
  <c r="E92" i="23"/>
  <c r="E85" i="23"/>
  <c r="E47" i="23"/>
  <c r="E40" i="23"/>
  <c r="E26" i="23"/>
  <c r="J477" i="23"/>
  <c r="J485" i="23"/>
  <c r="G313" i="23"/>
  <c r="E385" i="23"/>
  <c r="E353" i="23"/>
  <c r="E326" i="23"/>
  <c r="E308" i="23"/>
  <c r="E297" i="23"/>
  <c r="E274" i="23"/>
  <c r="E266" i="23"/>
  <c r="E262" i="23"/>
  <c r="E254" i="23"/>
  <c r="E198" i="23"/>
  <c r="E156" i="23"/>
  <c r="E150" i="23"/>
  <c r="E114" i="23"/>
  <c r="E110" i="23"/>
  <c r="N22" i="16"/>
  <c r="D17" i="11"/>
  <c r="E376" i="23"/>
  <c r="E358" i="23"/>
  <c r="E329" i="23"/>
  <c r="E314" i="23"/>
  <c r="E300" i="23"/>
  <c r="E226" i="23"/>
  <c r="E182" i="23"/>
  <c r="E174" i="23"/>
  <c r="E132" i="23"/>
  <c r="E128" i="23"/>
  <c r="F9" i="16" l="1"/>
  <c r="D13" i="16"/>
  <c r="D15" i="16" s="1"/>
  <c r="D23" i="11"/>
  <c r="C13" i="16"/>
  <c r="C15" i="16" s="1"/>
  <c r="P9" i="16"/>
  <c r="D22" i="11"/>
  <c r="F22" i="11" s="1"/>
  <c r="P10" i="16"/>
  <c r="N7" i="16"/>
  <c r="P7" i="16" s="1"/>
  <c r="F10" i="16"/>
  <c r="F32" i="16" s="1"/>
  <c r="F7" i="16"/>
  <c r="F8" i="16"/>
  <c r="F20" i="11"/>
  <c r="E50" i="12"/>
  <c r="C50" i="27"/>
  <c r="P23" i="16"/>
  <c r="N11" i="16"/>
  <c r="P11" i="16" s="1"/>
  <c r="L24" i="16"/>
  <c r="F37" i="22"/>
  <c r="F19" i="22"/>
  <c r="C39" i="22"/>
  <c r="B23" i="11"/>
  <c r="F23" i="11" s="1"/>
  <c r="L13" i="16"/>
  <c r="L15" i="16" s="1"/>
  <c r="P12" i="16"/>
  <c r="B21" i="11"/>
  <c r="F21" i="11" s="1"/>
  <c r="F12" i="22"/>
  <c r="F27" i="22"/>
  <c r="F29" i="22" s="1"/>
  <c r="D29" i="22"/>
  <c r="D39" i="22" s="1"/>
  <c r="D105" i="28"/>
  <c r="I7" i="28"/>
  <c r="C19" i="26"/>
  <c r="C47" i="28"/>
  <c r="C48" i="28" s="1"/>
  <c r="T41" i="25"/>
  <c r="C44" i="26"/>
  <c r="D350" i="28"/>
  <c r="D362" i="28" s="1"/>
  <c r="E493" i="24"/>
  <c r="F10" i="31"/>
  <c r="G10" i="31" s="1"/>
  <c r="D494" i="29"/>
  <c r="D8" i="7"/>
  <c r="D440" i="29"/>
  <c r="D366" i="29"/>
  <c r="E54" i="12"/>
  <c r="C44" i="12"/>
  <c r="D614" i="29"/>
  <c r="D578" i="29"/>
  <c r="C52" i="25"/>
  <c r="C69" i="25"/>
  <c r="F189" i="24"/>
  <c r="F171" i="24"/>
  <c r="P22" i="16"/>
  <c r="Q22" i="16" s="1"/>
  <c r="N24" i="16"/>
  <c r="D141" i="28"/>
  <c r="D150" i="28" s="1"/>
  <c r="E93" i="23"/>
  <c r="E703" i="23" s="1"/>
  <c r="F291" i="28"/>
  <c r="F287" i="28"/>
  <c r="F289" i="28"/>
  <c r="F290" i="28"/>
  <c r="C301" i="28"/>
  <c r="F292" i="28"/>
  <c r="C29" i="28"/>
  <c r="C102" i="25"/>
  <c r="D269" i="29"/>
  <c r="E396" i="23"/>
  <c r="E397" i="23" s="1"/>
  <c r="D222" i="28"/>
  <c r="D224" i="28" s="1"/>
  <c r="D213" i="28"/>
  <c r="D217" i="28"/>
  <c r="D212" i="28"/>
  <c r="D229" i="28"/>
  <c r="D230" i="28" s="1"/>
  <c r="D235" i="28"/>
  <c r="D236" i="28" s="1"/>
  <c r="D206" i="28"/>
  <c r="D223" i="28"/>
  <c r="D219" i="28"/>
  <c r="D232" i="28"/>
  <c r="D233" i="28" s="1"/>
  <c r="D218" i="28"/>
  <c r="D226" i="28"/>
  <c r="D227" i="28" s="1"/>
  <c r="D214" i="28"/>
  <c r="D207" i="28"/>
  <c r="D211" i="28"/>
  <c r="D210" i="28"/>
  <c r="D327" i="28"/>
  <c r="D322" i="28"/>
  <c r="D326" i="28"/>
  <c r="D320" i="28"/>
  <c r="D321" i="28"/>
  <c r="D325" i="28"/>
  <c r="D336" i="28"/>
  <c r="D337" i="28" s="1"/>
  <c r="D323" i="28"/>
  <c r="D324" i="28"/>
  <c r="D330" i="28"/>
  <c r="D331" i="28" s="1"/>
  <c r="D333" i="28"/>
  <c r="D334" i="28" s="1"/>
  <c r="F288" i="28"/>
  <c r="D244" i="28"/>
  <c r="C38" i="28"/>
  <c r="C47" i="26" s="1"/>
  <c r="F243" i="28"/>
  <c r="C248" i="28"/>
  <c r="F242" i="28"/>
  <c r="F244" i="28" s="1"/>
  <c r="C50" i="26"/>
  <c r="I20" i="28"/>
  <c r="D305" i="28"/>
  <c r="D310" i="28"/>
  <c r="D314" i="28"/>
  <c r="D315" i="28" s="1"/>
  <c r="D308" i="28"/>
  <c r="D304" i="28"/>
  <c r="D306" i="28" s="1"/>
  <c r="D311" i="28"/>
  <c r="F312" i="28"/>
  <c r="D360" i="28"/>
  <c r="F33" i="24"/>
  <c r="D8" i="31"/>
  <c r="E148" i="25"/>
  <c r="E149" i="25" s="1"/>
  <c r="H215" i="24"/>
  <c r="D340" i="29" s="1"/>
  <c r="D539" i="29"/>
  <c r="D166" i="28"/>
  <c r="D177" i="28"/>
  <c r="D178" i="28" s="1"/>
  <c r="D159" i="28"/>
  <c r="D163" i="28"/>
  <c r="D164" i="28"/>
  <c r="D180" i="28"/>
  <c r="D181" i="28" s="1"/>
  <c r="D173" i="28"/>
  <c r="D167" i="28"/>
  <c r="D157" i="28"/>
  <c r="D158" i="28"/>
  <c r="D174" i="28"/>
  <c r="D165" i="28"/>
  <c r="D172" i="28"/>
  <c r="D175" i="28" s="1"/>
  <c r="D154" i="28"/>
  <c r="D162" i="28"/>
  <c r="D156" i="28"/>
  <c r="D155" i="28"/>
  <c r="D169" i="28"/>
  <c r="D153" i="28"/>
  <c r="T48" i="25"/>
  <c r="D135" i="25"/>
  <c r="J135" i="25" s="1"/>
  <c r="G27" i="24" s="1"/>
  <c r="H27" i="24" s="1"/>
  <c r="D30" i="29" s="1"/>
  <c r="D131" i="25"/>
  <c r="J131" i="25" s="1"/>
  <c r="G23" i="24" s="1"/>
  <c r="H23" i="24" s="1"/>
  <c r="D26" i="29" s="1"/>
  <c r="D134" i="25"/>
  <c r="J134" i="25" s="1"/>
  <c r="G26" i="24" s="1"/>
  <c r="H26" i="24" s="1"/>
  <c r="D29" i="29" s="1"/>
  <c r="D133" i="25"/>
  <c r="J133" i="25" s="1"/>
  <c r="G25" i="24" s="1"/>
  <c r="H25" i="24" s="1"/>
  <c r="D28" i="29" s="1"/>
  <c r="D132" i="25"/>
  <c r="J132" i="25" s="1"/>
  <c r="G24" i="24" s="1"/>
  <c r="H24" i="24" s="1"/>
  <c r="D27" i="29" s="1"/>
  <c r="D335" i="29"/>
  <c r="F17" i="11"/>
  <c r="D25" i="11"/>
  <c r="F83" i="28"/>
  <c r="F122" i="28"/>
  <c r="F208" i="28"/>
  <c r="F175" i="28"/>
  <c r="F328" i="28"/>
  <c r="F256" i="28"/>
  <c r="C45" i="28"/>
  <c r="F253" i="28"/>
  <c r="F254" i="28"/>
  <c r="F258" i="28" s="1"/>
  <c r="F257" i="28"/>
  <c r="C266" i="28"/>
  <c r="F252" i="28"/>
  <c r="F255" i="28"/>
  <c r="I15" i="28"/>
  <c r="T16" i="25"/>
  <c r="J45" i="28"/>
  <c r="T55" i="25"/>
  <c r="I46" i="28"/>
  <c r="J44" i="28" s="1"/>
  <c r="C137" i="25"/>
  <c r="F130" i="25"/>
  <c r="D130" i="25"/>
  <c r="F73" i="24"/>
  <c r="C40" i="26"/>
  <c r="T42" i="25"/>
  <c r="I25" i="28"/>
  <c r="C41" i="26"/>
  <c r="I41" i="28"/>
  <c r="D520" i="29"/>
  <c r="H396" i="24"/>
  <c r="D618" i="29" s="1"/>
  <c r="D480" i="29"/>
  <c r="U61" i="25"/>
  <c r="F128" i="25" s="1"/>
  <c r="U60" i="25"/>
  <c r="E128" i="25" s="1"/>
  <c r="D397" i="23"/>
  <c r="F389" i="24"/>
  <c r="C113" i="25"/>
  <c r="F278" i="24"/>
  <c r="C125" i="25"/>
  <c r="H162" i="24"/>
  <c r="D274" i="29" s="1"/>
  <c r="F13" i="16" l="1"/>
  <c r="F15" i="16" s="1"/>
  <c r="D17" i="16"/>
  <c r="D19" i="16" s="1"/>
  <c r="D20" i="16" s="1"/>
  <c r="D25" i="16" s="1"/>
  <c r="D29" i="16" s="1"/>
  <c r="C40" i="22"/>
  <c r="C52" i="22" s="1"/>
  <c r="C17" i="16"/>
  <c r="L17" i="16" s="1"/>
  <c r="N13" i="16"/>
  <c r="N15" i="16" s="1"/>
  <c r="F39" i="22"/>
  <c r="F40" i="22" s="1"/>
  <c r="B25" i="11"/>
  <c r="D40" i="22"/>
  <c r="L130" i="25"/>
  <c r="J12" i="28"/>
  <c r="J15" i="28" s="1"/>
  <c r="J14" i="28"/>
  <c r="D631" i="29"/>
  <c r="D383" i="29"/>
  <c r="E133" i="25"/>
  <c r="K133" i="25" s="1"/>
  <c r="G263" i="24" s="1"/>
  <c r="H263" i="24" s="1"/>
  <c r="D413" i="29" s="1"/>
  <c r="E131" i="25"/>
  <c r="K131" i="25" s="1"/>
  <c r="G261" i="24" s="1"/>
  <c r="H261" i="24" s="1"/>
  <c r="D411" i="29" s="1"/>
  <c r="E134" i="25"/>
  <c r="K134" i="25" s="1"/>
  <c r="G264" i="24" s="1"/>
  <c r="H264" i="24" s="1"/>
  <c r="D414" i="29" s="1"/>
  <c r="E135" i="25"/>
  <c r="K135" i="25" s="1"/>
  <c r="G265" i="24" s="1"/>
  <c r="H265" i="24" s="1"/>
  <c r="D415" i="29" s="1"/>
  <c r="E132" i="25"/>
  <c r="K132" i="25" s="1"/>
  <c r="G262" i="24" s="1"/>
  <c r="H262" i="24" s="1"/>
  <c r="D412" i="29" s="1"/>
  <c r="J13" i="12"/>
  <c r="F25" i="11"/>
  <c r="F493" i="24"/>
  <c r="D243" i="28"/>
  <c r="D245" i="28"/>
  <c r="D246" i="28"/>
  <c r="D248" i="28" s="1"/>
  <c r="D242" i="28"/>
  <c r="D241" i="28"/>
  <c r="D328" i="28"/>
  <c r="D339" i="28" s="1"/>
  <c r="D215" i="28"/>
  <c r="D511" i="29"/>
  <c r="F131" i="25"/>
  <c r="L131" i="25" s="1"/>
  <c r="G484" i="24" s="1"/>
  <c r="H484" i="24" s="1"/>
  <c r="D761" i="29" s="1"/>
  <c r="F133" i="25"/>
  <c r="L133" i="25" s="1"/>
  <c r="G486" i="24" s="1"/>
  <c r="H486" i="24" s="1"/>
  <c r="D763" i="29" s="1"/>
  <c r="F134" i="25"/>
  <c r="L134" i="25" s="1"/>
  <c r="G487" i="24" s="1"/>
  <c r="H487" i="24" s="1"/>
  <c r="D764" i="29" s="1"/>
  <c r="F135" i="25"/>
  <c r="L135" i="25" s="1"/>
  <c r="G488" i="24" s="1"/>
  <c r="H488" i="24" s="1"/>
  <c r="D765" i="29" s="1"/>
  <c r="F132" i="25"/>
  <c r="L132" i="25" s="1"/>
  <c r="G485" i="24" s="1"/>
  <c r="H485" i="24" s="1"/>
  <c r="D762" i="29" s="1"/>
  <c r="D532" i="29"/>
  <c r="U16" i="25"/>
  <c r="E38" i="25" s="1"/>
  <c r="T18" i="25"/>
  <c r="D557" i="29"/>
  <c r="D312" i="28"/>
  <c r="D317" i="28" s="1"/>
  <c r="T23" i="25"/>
  <c r="I21" i="28"/>
  <c r="D208" i="28"/>
  <c r="D238" i="28" s="1"/>
  <c r="D220" i="28"/>
  <c r="C38" i="26"/>
  <c r="I33" i="28"/>
  <c r="D458" i="29"/>
  <c r="T10" i="25"/>
  <c r="I9" i="28"/>
  <c r="J8" i="28" s="1"/>
  <c r="J7" i="28"/>
  <c r="J9" i="28" s="1"/>
  <c r="T56" i="25"/>
  <c r="U54" i="25" s="1"/>
  <c r="D116" i="25" s="1"/>
  <c r="D284" i="28"/>
  <c r="D280" i="28"/>
  <c r="D291" i="28"/>
  <c r="D282" i="28"/>
  <c r="D290" i="28"/>
  <c r="D281" i="28"/>
  <c r="D287" i="28"/>
  <c r="D283" i="28"/>
  <c r="D289" i="28"/>
  <c r="D295" i="28"/>
  <c r="D296" i="28" s="1"/>
  <c r="D298" i="28"/>
  <c r="D299" i="28" s="1"/>
  <c r="D288" i="28"/>
  <c r="D292" i="28"/>
  <c r="J40" i="28"/>
  <c r="J37" i="28"/>
  <c r="J39" i="28"/>
  <c r="E130" i="25"/>
  <c r="T51" i="25"/>
  <c r="T28" i="25"/>
  <c r="J25" i="28"/>
  <c r="I29" i="28"/>
  <c r="J130" i="25"/>
  <c r="D137" i="25"/>
  <c r="J46" i="28"/>
  <c r="J13" i="28"/>
  <c r="D263" i="28"/>
  <c r="D254" i="28"/>
  <c r="D260" i="28"/>
  <c r="D264" i="28" s="1"/>
  <c r="D257" i="28"/>
  <c r="D253" i="28"/>
  <c r="D252" i="28"/>
  <c r="D255" i="28"/>
  <c r="D261" i="28"/>
  <c r="D256" i="28"/>
  <c r="D262" i="28"/>
  <c r="D251" i="28"/>
  <c r="C55" i="26"/>
  <c r="I55" i="28"/>
  <c r="D354" i="29"/>
  <c r="J38" i="28"/>
  <c r="D160" i="28"/>
  <c r="D168" i="28"/>
  <c r="D170" i="28" s="1"/>
  <c r="C52" i="12"/>
  <c r="D286" i="29"/>
  <c r="F293" i="28"/>
  <c r="P24" i="16"/>
  <c r="Q24" i="16" s="1"/>
  <c r="D12" i="7"/>
  <c r="T43" i="25"/>
  <c r="U42" i="25" s="1"/>
  <c r="E23" i="25" s="1"/>
  <c r="U41" i="25"/>
  <c r="D23" i="25" s="1"/>
  <c r="N17" i="16" l="1"/>
  <c r="N19" i="16" s="1"/>
  <c r="N20" i="16" s="1"/>
  <c r="N25" i="16" s="1"/>
  <c r="N29" i="16" s="1"/>
  <c r="F17" i="16"/>
  <c r="F19" i="16" s="1"/>
  <c r="F31" i="16" s="1"/>
  <c r="F33" i="16" s="1"/>
  <c r="C19" i="16"/>
  <c r="C20" i="16" s="1"/>
  <c r="C25" i="16" s="1"/>
  <c r="C29" i="16" s="1"/>
  <c r="P15" i="16"/>
  <c r="Q15" i="16" s="1"/>
  <c r="P13" i="16"/>
  <c r="Q13" i="16" s="1"/>
  <c r="J9" i="12"/>
  <c r="E28" i="25"/>
  <c r="G301" i="24" s="1"/>
  <c r="H301" i="24" s="1"/>
  <c r="D470" i="29" s="1"/>
  <c r="E30" i="25"/>
  <c r="G303" i="24" s="1"/>
  <c r="H303" i="24" s="1"/>
  <c r="D472" i="29" s="1"/>
  <c r="E29" i="25"/>
  <c r="G302" i="24" s="1"/>
  <c r="H302" i="24" s="1"/>
  <c r="D471" i="29" s="1"/>
  <c r="E27" i="25"/>
  <c r="G300" i="24" s="1"/>
  <c r="H300" i="24" s="1"/>
  <c r="D469" i="29" s="1"/>
  <c r="E26" i="25"/>
  <c r="G299" i="24" s="1"/>
  <c r="H299" i="24" s="1"/>
  <c r="D468" i="29" s="1"/>
  <c r="E25" i="25"/>
  <c r="E43" i="25"/>
  <c r="L42" i="25" s="1"/>
  <c r="G367" i="24" s="1"/>
  <c r="H367" i="24" s="1"/>
  <c r="D570" i="29" s="1"/>
  <c r="E45" i="25"/>
  <c r="L43" i="25" s="1"/>
  <c r="G368" i="24" s="1"/>
  <c r="H368" i="24" s="1"/>
  <c r="D571" i="29" s="1"/>
  <c r="E47" i="25"/>
  <c r="E50" i="25"/>
  <c r="E48" i="25"/>
  <c r="E51" i="25"/>
  <c r="E41" i="25"/>
  <c r="E44" i="25"/>
  <c r="E46" i="25"/>
  <c r="E40" i="25"/>
  <c r="E49" i="25"/>
  <c r="E42" i="25"/>
  <c r="L41" i="25" s="1"/>
  <c r="G366" i="24" s="1"/>
  <c r="H366" i="24" s="1"/>
  <c r="D569" i="29" s="1"/>
  <c r="U55" i="25"/>
  <c r="E116" i="25" s="1"/>
  <c r="I34" i="28"/>
  <c r="J32" i="28" s="1"/>
  <c r="T37" i="25"/>
  <c r="J19" i="28"/>
  <c r="J18" i="28"/>
  <c r="J21" i="28" s="1"/>
  <c r="F137" i="25"/>
  <c r="D26" i="25"/>
  <c r="G349" i="24" s="1"/>
  <c r="H349" i="24" s="1"/>
  <c r="D543" i="29" s="1"/>
  <c r="D25" i="25"/>
  <c r="D29" i="25"/>
  <c r="G352" i="24" s="1"/>
  <c r="H352" i="24" s="1"/>
  <c r="D546" i="29" s="1"/>
  <c r="D28" i="25"/>
  <c r="G351" i="24" s="1"/>
  <c r="H351" i="24" s="1"/>
  <c r="D545" i="29" s="1"/>
  <c r="D27" i="25"/>
  <c r="G350" i="24" s="1"/>
  <c r="H350" i="24" s="1"/>
  <c r="D544" i="29" s="1"/>
  <c r="D30" i="25"/>
  <c r="G353" i="24" s="1"/>
  <c r="H353" i="24" s="1"/>
  <c r="D547" i="29" s="1"/>
  <c r="D258" i="28"/>
  <c r="D266" i="28" s="1"/>
  <c r="G482" i="24"/>
  <c r="L137" i="25"/>
  <c r="T33" i="25"/>
  <c r="U28" i="25" s="1"/>
  <c r="E72" i="25" s="1"/>
  <c r="J41" i="28"/>
  <c r="D293" i="28"/>
  <c r="D183" i="28"/>
  <c r="T65" i="25"/>
  <c r="I57" i="28"/>
  <c r="J56" i="28" s="1"/>
  <c r="G21" i="24"/>
  <c r="J137" i="25"/>
  <c r="U50" i="25"/>
  <c r="F105" i="25" s="1"/>
  <c r="U49" i="25"/>
  <c r="G105" i="25" s="1"/>
  <c r="U47" i="25"/>
  <c r="D105" i="25" s="1"/>
  <c r="D285" i="28"/>
  <c r="J20" i="28"/>
  <c r="C57" i="26"/>
  <c r="D38" i="26" s="1"/>
  <c r="E38" i="26" s="1"/>
  <c r="G271" i="24" s="1"/>
  <c r="H271" i="24" s="1"/>
  <c r="D422" i="29" s="1"/>
  <c r="U48" i="25"/>
  <c r="E105" i="25" s="1"/>
  <c r="D8" i="11"/>
  <c r="D10" i="11" s="1"/>
  <c r="D13" i="11" s="1"/>
  <c r="D118" i="25"/>
  <c r="D121" i="25"/>
  <c r="K121" i="25" s="1"/>
  <c r="G80" i="24" s="1"/>
  <c r="H80" i="24" s="1"/>
  <c r="D138" i="29" s="1"/>
  <c r="D123" i="25"/>
  <c r="K123" i="25" s="1"/>
  <c r="G82" i="24" s="1"/>
  <c r="H82" i="24" s="1"/>
  <c r="D140" i="29" s="1"/>
  <c r="D119" i="25"/>
  <c r="K119" i="25" s="1"/>
  <c r="G78" i="24" s="1"/>
  <c r="H78" i="24" s="1"/>
  <c r="D136" i="29" s="1"/>
  <c r="D124" i="25"/>
  <c r="K124" i="25" s="1"/>
  <c r="D122" i="25"/>
  <c r="K122" i="25" s="1"/>
  <c r="G81" i="24" s="1"/>
  <c r="H81" i="24" s="1"/>
  <c r="D139" i="29" s="1"/>
  <c r="D120" i="25"/>
  <c r="K120" i="25" s="1"/>
  <c r="G79" i="24" s="1"/>
  <c r="H79" i="24" s="1"/>
  <c r="D137" i="29" s="1"/>
  <c r="T12" i="25"/>
  <c r="U11" i="25" s="1"/>
  <c r="E7" i="25" s="1"/>
  <c r="J27" i="28"/>
  <c r="J28" i="28"/>
  <c r="J26" i="28"/>
  <c r="J24" i="28"/>
  <c r="E137" i="25"/>
  <c r="F138" i="25" s="1"/>
  <c r="K130" i="25"/>
  <c r="P17" i="16"/>
  <c r="L19" i="16"/>
  <c r="T24" i="25"/>
  <c r="U17" i="25"/>
  <c r="F38" i="25" s="1"/>
  <c r="U15" i="25"/>
  <c r="D7" i="9" l="1"/>
  <c r="D11" i="9" s="1"/>
  <c r="F20" i="16"/>
  <c r="F25" i="16" s="1"/>
  <c r="F29" i="16" s="1"/>
  <c r="G19" i="16" s="1"/>
  <c r="J6" i="12"/>
  <c r="J8" i="12" s="1"/>
  <c r="J10" i="12" s="1"/>
  <c r="J14" i="12" s="1"/>
  <c r="J16" i="12" s="1"/>
  <c r="J17" i="12" s="1"/>
  <c r="J25" i="12" s="1"/>
  <c r="Q17" i="16"/>
  <c r="E77" i="25"/>
  <c r="E76" i="25"/>
  <c r="M77" i="25" s="1"/>
  <c r="G310" i="24" s="1"/>
  <c r="H310" i="24" s="1"/>
  <c r="D485" i="29" s="1"/>
  <c r="E74" i="25"/>
  <c r="E84" i="25"/>
  <c r="M81" i="25" s="1"/>
  <c r="G314" i="24" s="1"/>
  <c r="H314" i="24" s="1"/>
  <c r="D489" i="29" s="1"/>
  <c r="E82" i="25"/>
  <c r="E75" i="25"/>
  <c r="E78" i="25"/>
  <c r="E79" i="25"/>
  <c r="E81" i="25"/>
  <c r="E80" i="25"/>
  <c r="M79" i="25" s="1"/>
  <c r="G312" i="24" s="1"/>
  <c r="H312" i="24" s="1"/>
  <c r="D487" i="29" s="1"/>
  <c r="E83" i="25"/>
  <c r="G259" i="24"/>
  <c r="K137" i="25"/>
  <c r="D38" i="25"/>
  <c r="U18" i="25"/>
  <c r="G107" i="25"/>
  <c r="G112" i="25"/>
  <c r="N112" i="25" s="1"/>
  <c r="G208" i="24" s="1"/>
  <c r="H208" i="24" s="1"/>
  <c r="D332" i="29" s="1"/>
  <c r="G109" i="25"/>
  <c r="N109" i="25" s="1"/>
  <c r="G205" i="24" s="1"/>
  <c r="H205" i="24" s="1"/>
  <c r="D329" i="29" s="1"/>
  <c r="G110" i="25"/>
  <c r="N110" i="25" s="1"/>
  <c r="G206" i="24" s="1"/>
  <c r="H206" i="24" s="1"/>
  <c r="D330" i="29" s="1"/>
  <c r="G108" i="25"/>
  <c r="N108" i="25" s="1"/>
  <c r="G204" i="24" s="1"/>
  <c r="H204" i="24" s="1"/>
  <c r="D328" i="29" s="1"/>
  <c r="G111" i="25"/>
  <c r="N111" i="25" s="1"/>
  <c r="G207" i="24" s="1"/>
  <c r="H207" i="24" s="1"/>
  <c r="D331" i="29" s="1"/>
  <c r="F51" i="25"/>
  <c r="F50" i="25"/>
  <c r="F43" i="25"/>
  <c r="F41" i="25"/>
  <c r="F47" i="25"/>
  <c r="M44" i="25" s="1"/>
  <c r="G382" i="24" s="1"/>
  <c r="H382" i="24" s="1"/>
  <c r="D586" i="29" s="1"/>
  <c r="F45" i="25"/>
  <c r="F48" i="25"/>
  <c r="F44" i="25"/>
  <c r="F40" i="25"/>
  <c r="F49" i="25"/>
  <c r="F46" i="25"/>
  <c r="F42" i="25"/>
  <c r="M41" i="25" s="1"/>
  <c r="G379" i="24" s="1"/>
  <c r="H379" i="24" s="1"/>
  <c r="D583" i="29" s="1"/>
  <c r="L20" i="16"/>
  <c r="P19" i="16"/>
  <c r="Q19" i="16" s="1"/>
  <c r="J29" i="28"/>
  <c r="D55" i="26"/>
  <c r="E55" i="26" s="1"/>
  <c r="G466" i="24" s="1"/>
  <c r="F112" i="25"/>
  <c r="M112" i="25" s="1"/>
  <c r="G255" i="24" s="1"/>
  <c r="H255" i="24" s="1"/>
  <c r="D404" i="29" s="1"/>
  <c r="F107" i="25"/>
  <c r="F109" i="25"/>
  <c r="M109" i="25" s="1"/>
  <c r="G252" i="24" s="1"/>
  <c r="H252" i="24" s="1"/>
  <c r="D401" i="29" s="1"/>
  <c r="F111" i="25"/>
  <c r="M111" i="25" s="1"/>
  <c r="G254" i="24" s="1"/>
  <c r="H254" i="24" s="1"/>
  <c r="D403" i="29" s="1"/>
  <c r="F110" i="25"/>
  <c r="M110" i="25" s="1"/>
  <c r="G253" i="24" s="1"/>
  <c r="H253" i="24" s="1"/>
  <c r="D402" i="29" s="1"/>
  <c r="F108" i="25"/>
  <c r="M108" i="25" s="1"/>
  <c r="G251" i="24" s="1"/>
  <c r="H251" i="24" s="1"/>
  <c r="D400" i="29" s="1"/>
  <c r="T67" i="25"/>
  <c r="U66" i="25" s="1"/>
  <c r="H482" i="24"/>
  <c r="E121" i="25"/>
  <c r="L121" i="25" s="1"/>
  <c r="G234" i="24" s="1"/>
  <c r="H234" i="24" s="1"/>
  <c r="D371" i="29" s="1"/>
  <c r="E118" i="25"/>
  <c r="E122" i="25"/>
  <c r="L122" i="25" s="1"/>
  <c r="G235" i="24" s="1"/>
  <c r="H235" i="24" s="1"/>
  <c r="D372" i="29" s="1"/>
  <c r="E123" i="25"/>
  <c r="L123" i="25" s="1"/>
  <c r="G236" i="24" s="1"/>
  <c r="H236" i="24" s="1"/>
  <c r="D373" i="29" s="1"/>
  <c r="E124" i="25"/>
  <c r="L124" i="25" s="1"/>
  <c r="E119" i="25"/>
  <c r="L119" i="25" s="1"/>
  <c r="G232" i="24" s="1"/>
  <c r="H232" i="24" s="1"/>
  <c r="D369" i="29" s="1"/>
  <c r="E120" i="25"/>
  <c r="L120" i="25" s="1"/>
  <c r="G233" i="24" s="1"/>
  <c r="H233" i="24" s="1"/>
  <c r="D370" i="29" s="1"/>
  <c r="U22" i="25"/>
  <c r="E55" i="25" s="1"/>
  <c r="U21" i="25"/>
  <c r="D55" i="25" s="1"/>
  <c r="D13" i="9"/>
  <c r="D27" i="11"/>
  <c r="D29" i="11" s="1"/>
  <c r="E52" i="25"/>
  <c r="L40" i="25"/>
  <c r="U23" i="25"/>
  <c r="F55" i="25" s="1"/>
  <c r="U10" i="25"/>
  <c r="K118" i="25"/>
  <c r="D125" i="25"/>
  <c r="E112" i="25"/>
  <c r="L112" i="25" s="1"/>
  <c r="G460" i="24" s="1"/>
  <c r="H460" i="24" s="1"/>
  <c r="D720" i="29" s="1"/>
  <c r="E107" i="25"/>
  <c r="E109" i="25"/>
  <c r="L109" i="25" s="1"/>
  <c r="G457" i="24" s="1"/>
  <c r="H457" i="24" s="1"/>
  <c r="D717" i="29" s="1"/>
  <c r="E108" i="25"/>
  <c r="L108" i="25" s="1"/>
  <c r="G456" i="24" s="1"/>
  <c r="H456" i="24" s="1"/>
  <c r="D716" i="29" s="1"/>
  <c r="E111" i="25"/>
  <c r="L111" i="25" s="1"/>
  <c r="G459" i="24" s="1"/>
  <c r="H459" i="24" s="1"/>
  <c r="D719" i="29" s="1"/>
  <c r="E110" i="25"/>
  <c r="L110" i="25" s="1"/>
  <c r="G458" i="24" s="1"/>
  <c r="H458" i="24" s="1"/>
  <c r="D718" i="29" s="1"/>
  <c r="D301" i="28"/>
  <c r="J55" i="28"/>
  <c r="J57" i="28" s="1"/>
  <c r="J33" i="28"/>
  <c r="J34" i="28" s="1"/>
  <c r="E31" i="25"/>
  <c r="G297" i="24"/>
  <c r="E15" i="25"/>
  <c r="E18" i="25"/>
  <c r="L15" i="25" s="1"/>
  <c r="G102" i="24" s="1"/>
  <c r="H102" i="24" s="1"/>
  <c r="D167" i="29" s="1"/>
  <c r="E11" i="25"/>
  <c r="L11" i="25" s="1"/>
  <c r="G98" i="24" s="1"/>
  <c r="H98" i="24" s="1"/>
  <c r="D163" i="29" s="1"/>
  <c r="E10" i="25"/>
  <c r="E9" i="25"/>
  <c r="E16" i="25"/>
  <c r="L14" i="25" s="1"/>
  <c r="G101" i="24" s="1"/>
  <c r="H101" i="24" s="1"/>
  <c r="D166" i="29" s="1"/>
  <c r="E13" i="25"/>
  <c r="E19" i="25"/>
  <c r="E17" i="25"/>
  <c r="E14" i="25"/>
  <c r="L13" i="25" s="1"/>
  <c r="G100" i="24" s="1"/>
  <c r="H100" i="24" s="1"/>
  <c r="D165" i="29" s="1"/>
  <c r="E12" i="25"/>
  <c r="L12" i="25" s="1"/>
  <c r="G99" i="24" s="1"/>
  <c r="H99" i="24" s="1"/>
  <c r="D164" i="29" s="1"/>
  <c r="D16" i="26"/>
  <c r="D31" i="26"/>
  <c r="E31" i="26" s="1"/>
  <c r="G193" i="24" s="1"/>
  <c r="D37" i="26"/>
  <c r="E37" i="26" s="1"/>
  <c r="G260" i="24" s="1"/>
  <c r="H260" i="24" s="1"/>
  <c r="D410" i="29" s="1"/>
  <c r="D51" i="26"/>
  <c r="E51" i="26" s="1"/>
  <c r="G441" i="24" s="1"/>
  <c r="H441" i="24" s="1"/>
  <c r="D692" i="29" s="1"/>
  <c r="D56" i="26"/>
  <c r="E56" i="26" s="1"/>
  <c r="G483" i="24" s="1"/>
  <c r="H483" i="24" s="1"/>
  <c r="D760" i="29" s="1"/>
  <c r="D49" i="26"/>
  <c r="E49" i="26" s="1"/>
  <c r="G415" i="24" s="1"/>
  <c r="H415" i="24" s="1"/>
  <c r="D646" i="29" s="1"/>
  <c r="D54" i="26"/>
  <c r="E54" i="26" s="1"/>
  <c r="D18" i="26"/>
  <c r="E18" i="26" s="1"/>
  <c r="G36" i="24" s="1"/>
  <c r="D27" i="26"/>
  <c r="E27" i="26" s="1"/>
  <c r="D21" i="26"/>
  <c r="E21" i="26" s="1"/>
  <c r="G67" i="24" s="1"/>
  <c r="H67" i="24" s="1"/>
  <c r="D119" i="29" s="1"/>
  <c r="D28" i="26"/>
  <c r="E28" i="26" s="1"/>
  <c r="G148" i="24" s="1"/>
  <c r="H148" i="24" s="1"/>
  <c r="D254" i="29" s="1"/>
  <c r="D43" i="26"/>
  <c r="E43" i="26" s="1"/>
  <c r="G337" i="24" s="1"/>
  <c r="H337" i="24" s="1"/>
  <c r="D524" i="29" s="1"/>
  <c r="D23" i="26"/>
  <c r="E23" i="26" s="1"/>
  <c r="G86" i="24" s="1"/>
  <c r="H86" i="24" s="1"/>
  <c r="D150" i="29" s="1"/>
  <c r="D33" i="26"/>
  <c r="E33" i="26" s="1"/>
  <c r="G214" i="24" s="1"/>
  <c r="D35" i="26"/>
  <c r="E35" i="26" s="1"/>
  <c r="D393" i="29" s="1"/>
  <c r="D29" i="26"/>
  <c r="E29" i="26" s="1"/>
  <c r="G161" i="24" s="1"/>
  <c r="D52" i="26"/>
  <c r="E52" i="26" s="1"/>
  <c r="G450" i="24" s="1"/>
  <c r="D46" i="26"/>
  <c r="E46" i="26" s="1"/>
  <c r="G378" i="24" s="1"/>
  <c r="H378" i="24" s="1"/>
  <c r="D582" i="29" s="1"/>
  <c r="D36" i="26"/>
  <c r="E36" i="26" s="1"/>
  <c r="G250" i="24" s="1"/>
  <c r="H250" i="24" s="1"/>
  <c r="D399" i="29" s="1"/>
  <c r="D17" i="26"/>
  <c r="E17" i="26" s="1"/>
  <c r="G22" i="24" s="1"/>
  <c r="H22" i="24" s="1"/>
  <c r="D25" i="29" s="1"/>
  <c r="D24" i="26"/>
  <c r="E24" i="26" s="1"/>
  <c r="G97" i="24" s="1"/>
  <c r="H97" i="24" s="1"/>
  <c r="D162" i="29" s="1"/>
  <c r="D25" i="26"/>
  <c r="E25" i="26" s="1"/>
  <c r="G115" i="24" s="1"/>
  <c r="H115" i="24" s="1"/>
  <c r="D203" i="29" s="1"/>
  <c r="D32" i="26"/>
  <c r="E32" i="26" s="1"/>
  <c r="G203" i="24" s="1"/>
  <c r="H203" i="24" s="1"/>
  <c r="D327" i="29" s="1"/>
  <c r="D48" i="26"/>
  <c r="E48" i="26" s="1"/>
  <c r="G409" i="24" s="1"/>
  <c r="D22" i="26"/>
  <c r="E22" i="26" s="1"/>
  <c r="G77" i="24" s="1"/>
  <c r="H77" i="24" s="1"/>
  <c r="D135" i="29" s="1"/>
  <c r="D20" i="26"/>
  <c r="E20" i="26" s="1"/>
  <c r="G58" i="24" s="1"/>
  <c r="D39" i="26"/>
  <c r="E39" i="26" s="1"/>
  <c r="G283" i="24" s="1"/>
  <c r="H283" i="24" s="1"/>
  <c r="D444" i="29" s="1"/>
  <c r="D42" i="26"/>
  <c r="E42" i="26" s="1"/>
  <c r="G320" i="24" s="1"/>
  <c r="H320" i="24" s="1"/>
  <c r="D496" i="29" s="1"/>
  <c r="D26" i="26"/>
  <c r="E26" i="26" s="1"/>
  <c r="G130" i="24" s="1"/>
  <c r="D30" i="26"/>
  <c r="E30" i="26" s="1"/>
  <c r="G176" i="24" s="1"/>
  <c r="D53" i="26"/>
  <c r="E53" i="26" s="1"/>
  <c r="G455" i="24" s="1"/>
  <c r="H455" i="24" s="1"/>
  <c r="D715" i="29" s="1"/>
  <c r="D45" i="26"/>
  <c r="E45" i="26" s="1"/>
  <c r="G365" i="24" s="1"/>
  <c r="H365" i="24" s="1"/>
  <c r="D568" i="29" s="1"/>
  <c r="D34" i="26"/>
  <c r="E34" i="26" s="1"/>
  <c r="G231" i="24" s="1"/>
  <c r="H231" i="24" s="1"/>
  <c r="D368" i="29" s="1"/>
  <c r="D40" i="26"/>
  <c r="E40" i="26" s="1"/>
  <c r="G298" i="24" s="1"/>
  <c r="H298" i="24" s="1"/>
  <c r="D467" i="29" s="1"/>
  <c r="D50" i="26"/>
  <c r="E50" i="26" s="1"/>
  <c r="G431" i="24" s="1"/>
  <c r="H431" i="24" s="1"/>
  <c r="D673" i="29" s="1"/>
  <c r="D47" i="26"/>
  <c r="E47" i="26" s="1"/>
  <c r="G394" i="24" s="1"/>
  <c r="D44" i="26"/>
  <c r="E44" i="26" s="1"/>
  <c r="G348" i="24" s="1"/>
  <c r="H348" i="24" s="1"/>
  <c r="D542" i="29" s="1"/>
  <c r="D19" i="26"/>
  <c r="E19" i="26" s="1"/>
  <c r="G45" i="24" s="1"/>
  <c r="H45" i="24" s="1"/>
  <c r="D61" i="29" s="1"/>
  <c r="D41" i="26"/>
  <c r="E41" i="26" s="1"/>
  <c r="G309" i="24" s="1"/>
  <c r="H309" i="24" s="1"/>
  <c r="D484" i="29" s="1"/>
  <c r="D112" i="25"/>
  <c r="K112" i="25" s="1"/>
  <c r="G288" i="24" s="1"/>
  <c r="H288" i="24" s="1"/>
  <c r="D449" i="29" s="1"/>
  <c r="D107" i="25"/>
  <c r="D109" i="25"/>
  <c r="K109" i="25" s="1"/>
  <c r="G285" i="24" s="1"/>
  <c r="H285" i="24" s="1"/>
  <c r="D446" i="29" s="1"/>
  <c r="D110" i="25"/>
  <c r="K110" i="25" s="1"/>
  <c r="G286" i="24" s="1"/>
  <c r="H286" i="24" s="1"/>
  <c r="D447" i="29" s="1"/>
  <c r="D108" i="25"/>
  <c r="K108" i="25" s="1"/>
  <c r="G284" i="24" s="1"/>
  <c r="H284" i="24" s="1"/>
  <c r="D445" i="29" s="1"/>
  <c r="D111" i="25"/>
  <c r="K111" i="25" s="1"/>
  <c r="G287" i="24" s="1"/>
  <c r="H287" i="24" s="1"/>
  <c r="D448" i="29" s="1"/>
  <c r="G33" i="24"/>
  <c r="H21" i="24"/>
  <c r="H33" i="24" s="1"/>
  <c r="U29" i="25"/>
  <c r="F72" i="25" s="1"/>
  <c r="U30" i="25"/>
  <c r="G72" i="25" s="1"/>
  <c r="U32" i="25"/>
  <c r="I72" i="25" s="1"/>
  <c r="U31" i="25"/>
  <c r="H72" i="25" s="1"/>
  <c r="U27" i="25"/>
  <c r="D31" i="25"/>
  <c r="G347" i="24"/>
  <c r="T38" i="25"/>
  <c r="U36" i="25" s="1"/>
  <c r="D88" i="25" s="1"/>
  <c r="U37" i="25"/>
  <c r="E88" i="25" s="1"/>
  <c r="L45" i="25"/>
  <c r="G370" i="24" s="1"/>
  <c r="H370" i="24" s="1"/>
  <c r="D573" i="29" s="1"/>
  <c r="L44" i="25"/>
  <c r="G369" i="24" s="1"/>
  <c r="H369" i="24" s="1"/>
  <c r="D572" i="29" s="1"/>
  <c r="G27" i="16" l="1"/>
  <c r="G15" i="16"/>
  <c r="B8" i="11"/>
  <c r="F8" i="11" s="1"/>
  <c r="F10" i="11" s="1"/>
  <c r="F13" i="11" s="1"/>
  <c r="F27" i="11" s="1"/>
  <c r="G28" i="16"/>
  <c r="G24" i="16"/>
  <c r="D394" i="29"/>
  <c r="E394" i="29"/>
  <c r="C26" i="30" s="1"/>
  <c r="D68" i="25"/>
  <c r="K64" i="25" s="1"/>
  <c r="G325" i="24" s="1"/>
  <c r="H325" i="24" s="1"/>
  <c r="D501" i="29" s="1"/>
  <c r="D58" i="25"/>
  <c r="D62" i="25"/>
  <c r="D61" i="25"/>
  <c r="K60" i="25" s="1"/>
  <c r="G321" i="24" s="1"/>
  <c r="H321" i="24" s="1"/>
  <c r="D497" i="29" s="1"/>
  <c r="D64" i="25"/>
  <c r="D66" i="25"/>
  <c r="D59" i="25"/>
  <c r="D57" i="25"/>
  <c r="D67" i="25"/>
  <c r="K63" i="25" s="1"/>
  <c r="G324" i="24" s="1"/>
  <c r="H324" i="24" s="1"/>
  <c r="D500" i="29" s="1"/>
  <c r="D60" i="25"/>
  <c r="G55" i="25"/>
  <c r="D63" i="25"/>
  <c r="D65" i="25"/>
  <c r="H490" i="24"/>
  <c r="D759" i="29"/>
  <c r="L25" i="16"/>
  <c r="P20" i="16"/>
  <c r="Q20" i="16" s="1"/>
  <c r="F52" i="25"/>
  <c r="M40" i="25"/>
  <c r="G113" i="25"/>
  <c r="N107" i="25"/>
  <c r="G266" i="24"/>
  <c r="H259" i="24"/>
  <c r="D409" i="29" s="1"/>
  <c r="H82" i="25"/>
  <c r="H79" i="25"/>
  <c r="H84" i="25"/>
  <c r="P81" i="25" s="1"/>
  <c r="G16" i="24" s="1"/>
  <c r="H16" i="24" s="1"/>
  <c r="D13" i="29" s="1"/>
  <c r="H74" i="25"/>
  <c r="H77" i="25"/>
  <c r="H80" i="25"/>
  <c r="P79" i="25" s="1"/>
  <c r="G14" i="24" s="1"/>
  <c r="H14" i="24" s="1"/>
  <c r="D11" i="29" s="1"/>
  <c r="H81" i="25"/>
  <c r="H75" i="25"/>
  <c r="H76" i="25"/>
  <c r="P77" i="25" s="1"/>
  <c r="G12" i="24" s="1"/>
  <c r="H12" i="24" s="1"/>
  <c r="D9" i="29" s="1"/>
  <c r="H78" i="25"/>
  <c r="P78" i="25" s="1"/>
  <c r="G13" i="24" s="1"/>
  <c r="H13" i="24" s="1"/>
  <c r="D10" i="29" s="1"/>
  <c r="H83" i="25"/>
  <c r="E92" i="25"/>
  <c r="L91" i="25" s="1"/>
  <c r="G272" i="24" s="1"/>
  <c r="H272" i="24" s="1"/>
  <c r="D423" i="29" s="1"/>
  <c r="E95" i="25"/>
  <c r="E99" i="25"/>
  <c r="E94" i="25"/>
  <c r="E101" i="25"/>
  <c r="E100" i="25"/>
  <c r="E98" i="25"/>
  <c r="L94" i="25" s="1"/>
  <c r="G275" i="24" s="1"/>
  <c r="H275" i="24" s="1"/>
  <c r="D426" i="29" s="1"/>
  <c r="E93" i="25"/>
  <c r="E90" i="25"/>
  <c r="E97" i="25"/>
  <c r="E91" i="25"/>
  <c r="E96" i="25"/>
  <c r="I76" i="25"/>
  <c r="Q77" i="25" s="1"/>
  <c r="G68" i="24" s="1"/>
  <c r="H68" i="24" s="1"/>
  <c r="D120" i="29" s="1"/>
  <c r="I77" i="25"/>
  <c r="I82" i="25"/>
  <c r="I75" i="25"/>
  <c r="I80" i="25"/>
  <c r="Q79" i="25" s="1"/>
  <c r="G70" i="24" s="1"/>
  <c r="H70" i="24" s="1"/>
  <c r="D122" i="29" s="1"/>
  <c r="I74" i="25"/>
  <c r="I78" i="25"/>
  <c r="Q78" i="25" s="1"/>
  <c r="G69" i="24" s="1"/>
  <c r="H69" i="24" s="1"/>
  <c r="D121" i="29" s="1"/>
  <c r="I81" i="25"/>
  <c r="I79" i="25"/>
  <c r="I84" i="25"/>
  <c r="Q81" i="25" s="1"/>
  <c r="G72" i="24" s="1"/>
  <c r="H72" i="24" s="1"/>
  <c r="D124" i="29" s="1"/>
  <c r="I83" i="25"/>
  <c r="G189" i="24"/>
  <c r="H176" i="24"/>
  <c r="G62" i="24"/>
  <c r="H58" i="24"/>
  <c r="G226" i="24"/>
  <c r="H214" i="24"/>
  <c r="G199" i="24"/>
  <c r="H193" i="24"/>
  <c r="E20" i="25"/>
  <c r="L10" i="25"/>
  <c r="E61" i="25"/>
  <c r="E68" i="25"/>
  <c r="L64" i="25" s="1"/>
  <c r="G342" i="24" s="1"/>
  <c r="H342" i="24" s="1"/>
  <c r="D529" i="29" s="1"/>
  <c r="E57" i="25"/>
  <c r="E60" i="25"/>
  <c r="E66" i="25"/>
  <c r="E59" i="25"/>
  <c r="E58" i="25"/>
  <c r="E62" i="25"/>
  <c r="E67" i="25"/>
  <c r="L63" i="25" s="1"/>
  <c r="G341" i="24" s="1"/>
  <c r="H341" i="24" s="1"/>
  <c r="D528" i="29" s="1"/>
  <c r="E64" i="25"/>
  <c r="E63" i="25"/>
  <c r="L62" i="25" s="1"/>
  <c r="G340" i="24" s="1"/>
  <c r="H340" i="24" s="1"/>
  <c r="D527" i="29" s="1"/>
  <c r="E65" i="25"/>
  <c r="G477" i="24"/>
  <c r="H466" i="24"/>
  <c r="M78" i="25"/>
  <c r="G311" i="24" s="1"/>
  <c r="H311" i="24" s="1"/>
  <c r="D486" i="29" s="1"/>
  <c r="M76" i="25"/>
  <c r="E85" i="25"/>
  <c r="D94" i="25"/>
  <c r="D98" i="25"/>
  <c r="K94" i="25" s="1"/>
  <c r="G419" i="24" s="1"/>
  <c r="H419" i="24" s="1"/>
  <c r="D650" i="29" s="1"/>
  <c r="D101" i="25"/>
  <c r="D100" i="25"/>
  <c r="K95" i="25" s="1"/>
  <c r="G420" i="24" s="1"/>
  <c r="H420" i="24" s="1"/>
  <c r="D651" i="29" s="1"/>
  <c r="D99" i="25"/>
  <c r="D92" i="25"/>
  <c r="K91" i="25" s="1"/>
  <c r="G416" i="24" s="1"/>
  <c r="H416" i="24" s="1"/>
  <c r="D647" i="29" s="1"/>
  <c r="D93" i="25"/>
  <c r="D95" i="25"/>
  <c r="D97" i="25"/>
  <c r="D96" i="25"/>
  <c r="K93" i="25" s="1"/>
  <c r="G418" i="24" s="1"/>
  <c r="H418" i="24" s="1"/>
  <c r="D649" i="29" s="1"/>
  <c r="D91" i="25"/>
  <c r="D90" i="25"/>
  <c r="G79" i="25"/>
  <c r="G78" i="25"/>
  <c r="O78" i="25" s="1"/>
  <c r="G88" i="24" s="1"/>
  <c r="H88" i="24" s="1"/>
  <c r="D152" i="29" s="1"/>
  <c r="G76" i="25"/>
  <c r="G80" i="25"/>
  <c r="O79" i="25" s="1"/>
  <c r="G89" i="24" s="1"/>
  <c r="H89" i="24" s="1"/>
  <c r="D153" i="29" s="1"/>
  <c r="G84" i="25"/>
  <c r="O81" i="25" s="1"/>
  <c r="G91" i="24" s="1"/>
  <c r="H91" i="24" s="1"/>
  <c r="D155" i="29" s="1"/>
  <c r="G75" i="25"/>
  <c r="G81" i="25"/>
  <c r="G82" i="25"/>
  <c r="O80" i="25" s="1"/>
  <c r="G90" i="24" s="1"/>
  <c r="H90" i="24" s="1"/>
  <c r="D154" i="29" s="1"/>
  <c r="G74" i="25"/>
  <c r="G77" i="25"/>
  <c r="G83" i="25"/>
  <c r="K107" i="25"/>
  <c r="D113" i="25"/>
  <c r="G136" i="24"/>
  <c r="H130" i="24"/>
  <c r="H450" i="24"/>
  <c r="G451" i="24"/>
  <c r="G139" i="24"/>
  <c r="D245" i="29"/>
  <c r="D57" i="26"/>
  <c r="E16" i="26"/>
  <c r="G304" i="24"/>
  <c r="H297" i="24"/>
  <c r="K125" i="25"/>
  <c r="G76" i="24"/>
  <c r="F67" i="25"/>
  <c r="M63" i="25" s="1"/>
  <c r="G435" i="24" s="1"/>
  <c r="H435" i="24" s="1"/>
  <c r="D677" i="29" s="1"/>
  <c r="F61" i="25"/>
  <c r="F60" i="25"/>
  <c r="M60" i="25" s="1"/>
  <c r="G432" i="24" s="1"/>
  <c r="H432" i="24" s="1"/>
  <c r="D674" i="29" s="1"/>
  <c r="F62" i="25"/>
  <c r="F66" i="25"/>
  <c r="F58" i="25"/>
  <c r="F59" i="25"/>
  <c r="F68" i="25"/>
  <c r="M64" i="25" s="1"/>
  <c r="G436" i="24" s="1"/>
  <c r="H436" i="24" s="1"/>
  <c r="D678" i="29" s="1"/>
  <c r="F57" i="25"/>
  <c r="F64" i="25"/>
  <c r="F65" i="25"/>
  <c r="M62" i="25" s="1"/>
  <c r="G434" i="24" s="1"/>
  <c r="H434" i="24" s="1"/>
  <c r="D676" i="29" s="1"/>
  <c r="F63" i="25"/>
  <c r="U65" i="25"/>
  <c r="U67" i="25" s="1"/>
  <c r="M42" i="25"/>
  <c r="G380" i="24" s="1"/>
  <c r="H380" i="24" s="1"/>
  <c r="D584" i="29" s="1"/>
  <c r="D14" i="9"/>
  <c r="D18" i="9" s="1"/>
  <c r="D47" i="25"/>
  <c r="D48" i="25"/>
  <c r="D50" i="25"/>
  <c r="D45" i="25"/>
  <c r="K43" i="25" s="1"/>
  <c r="G151" i="24" s="1"/>
  <c r="H151" i="24" s="1"/>
  <c r="D257" i="29" s="1"/>
  <c r="D43" i="25"/>
  <c r="D41" i="25"/>
  <c r="G38" i="25"/>
  <c r="D51" i="25"/>
  <c r="D44" i="25"/>
  <c r="D46" i="25"/>
  <c r="D42" i="25"/>
  <c r="K41" i="25" s="1"/>
  <c r="G149" i="24" s="1"/>
  <c r="H149" i="24" s="1"/>
  <c r="D255" i="29" s="1"/>
  <c r="D40" i="25"/>
  <c r="D49" i="25"/>
  <c r="H347" i="24"/>
  <c r="G360" i="24"/>
  <c r="U33" i="25"/>
  <c r="D72" i="25"/>
  <c r="F82" i="25"/>
  <c r="F84" i="25"/>
  <c r="N81" i="25" s="1"/>
  <c r="G446" i="24" s="1"/>
  <c r="H446" i="24" s="1"/>
  <c r="D697" i="29" s="1"/>
  <c r="F80" i="25"/>
  <c r="N79" i="25" s="1"/>
  <c r="G444" i="24" s="1"/>
  <c r="H444" i="24" s="1"/>
  <c r="D695" i="29" s="1"/>
  <c r="F81" i="25"/>
  <c r="F77" i="25"/>
  <c r="F74" i="25"/>
  <c r="F79" i="25"/>
  <c r="F75" i="25"/>
  <c r="F78" i="25"/>
  <c r="F76" i="25"/>
  <c r="F83" i="25"/>
  <c r="H394" i="24"/>
  <c r="G406" i="24"/>
  <c r="H409" i="24"/>
  <c r="G410" i="24"/>
  <c r="E37" i="29"/>
  <c r="C8" i="30" s="1"/>
  <c r="D37" i="29"/>
  <c r="G171" i="24"/>
  <c r="H161" i="24"/>
  <c r="G37" i="24"/>
  <c r="H36" i="24"/>
  <c r="E32" i="25"/>
  <c r="L107" i="25"/>
  <c r="E113" i="25"/>
  <c r="U12" i="25"/>
  <c r="D7" i="25"/>
  <c r="L46" i="25"/>
  <c r="G364" i="24"/>
  <c r="L118" i="25"/>
  <c r="E125" i="25"/>
  <c r="E126" i="25" s="1"/>
  <c r="G490" i="24"/>
  <c r="F113" i="25"/>
  <c r="M107" i="25"/>
  <c r="M45" i="25"/>
  <c r="G383" i="24" s="1"/>
  <c r="H383" i="24" s="1"/>
  <c r="D587" i="29" s="1"/>
  <c r="M43" i="25"/>
  <c r="G381" i="24" s="1"/>
  <c r="H381" i="24" s="1"/>
  <c r="D585" i="29" s="1"/>
  <c r="M80" i="25"/>
  <c r="G313" i="24" s="1"/>
  <c r="H313" i="24" s="1"/>
  <c r="D488" i="29" s="1"/>
  <c r="B10" i="11" l="1"/>
  <c r="B13" i="11" s="1"/>
  <c r="B27" i="11" s="1"/>
  <c r="B29" i="11" s="1"/>
  <c r="D771" i="29" s="1"/>
  <c r="G29" i="16"/>
  <c r="D273" i="29"/>
  <c r="H171" i="24"/>
  <c r="K40" i="25"/>
  <c r="D52" i="25"/>
  <c r="F53" i="25" s="1"/>
  <c r="D709" i="29"/>
  <c r="H451" i="24"/>
  <c r="K113" i="25"/>
  <c r="G282" i="24"/>
  <c r="K90" i="25"/>
  <c r="D102" i="25"/>
  <c r="H25" i="11"/>
  <c r="E69" i="25"/>
  <c r="L59" i="25"/>
  <c r="Q80" i="25"/>
  <c r="G71" i="24" s="1"/>
  <c r="H71" i="24" s="1"/>
  <c r="D123" i="29" s="1"/>
  <c r="N113" i="25"/>
  <c r="G202" i="24"/>
  <c r="G454" i="24"/>
  <c r="L113" i="25"/>
  <c r="D20" i="9"/>
  <c r="D22" i="9" s="1"/>
  <c r="C10" i="10" s="1"/>
  <c r="E10" i="10" s="1"/>
  <c r="D13" i="25"/>
  <c r="D10" i="25"/>
  <c r="D19" i="25"/>
  <c r="D16" i="25"/>
  <c r="D18" i="25"/>
  <c r="D12" i="25"/>
  <c r="K12" i="25" s="1"/>
  <c r="G47" i="24" s="1"/>
  <c r="H47" i="24" s="1"/>
  <c r="D63" i="29" s="1"/>
  <c r="D15" i="25"/>
  <c r="D9" i="25"/>
  <c r="D17" i="25"/>
  <c r="D14" i="25"/>
  <c r="D11" i="25"/>
  <c r="K11" i="25" s="1"/>
  <c r="G46" i="24" s="1"/>
  <c r="H46" i="24" s="1"/>
  <c r="D62" i="29" s="1"/>
  <c r="H410" i="24"/>
  <c r="D639" i="29"/>
  <c r="N77" i="25"/>
  <c r="G442" i="24" s="1"/>
  <c r="H442" i="24" s="1"/>
  <c r="D693" i="29" s="1"/>
  <c r="N76" i="25"/>
  <c r="F85" i="25"/>
  <c r="D466" i="29"/>
  <c r="H304" i="24"/>
  <c r="D246" i="29"/>
  <c r="E246" i="29"/>
  <c r="C18" i="30" s="1"/>
  <c r="H136" i="24"/>
  <c r="D228" i="29"/>
  <c r="O77" i="25"/>
  <c r="G87" i="24" s="1"/>
  <c r="H87" i="24" s="1"/>
  <c r="D151" i="29" s="1"/>
  <c r="H477" i="24"/>
  <c r="D733" i="29"/>
  <c r="L16" i="25"/>
  <c r="G96" i="24"/>
  <c r="D339" i="29"/>
  <c r="H226" i="24"/>
  <c r="D295" i="29"/>
  <c r="H189" i="24"/>
  <c r="Q76" i="25"/>
  <c r="I85" i="25"/>
  <c r="L95" i="25"/>
  <c r="G276" i="24" s="1"/>
  <c r="H276" i="24" s="1"/>
  <c r="D427" i="29" s="1"/>
  <c r="P80" i="25"/>
  <c r="G15" i="24" s="1"/>
  <c r="H15" i="24" s="1"/>
  <c r="D12" i="29" s="1"/>
  <c r="L29" i="16"/>
  <c r="P25" i="16"/>
  <c r="K62" i="25"/>
  <c r="G323" i="24" s="1"/>
  <c r="H323" i="24" s="1"/>
  <c r="D499" i="29" s="1"/>
  <c r="K59" i="25"/>
  <c r="D69" i="25"/>
  <c r="G249" i="24"/>
  <c r="M113" i="25"/>
  <c r="D46" i="29"/>
  <c r="G31" i="29"/>
  <c r="G33" i="29" s="1"/>
  <c r="G37" i="29"/>
  <c r="G39" i="29" s="1"/>
  <c r="D40" i="29"/>
  <c r="D42" i="29"/>
  <c r="D45" i="29"/>
  <c r="D47" i="29"/>
  <c r="D44" i="29"/>
  <c r="D43" i="29"/>
  <c r="D41" i="29"/>
  <c r="N78" i="25"/>
  <c r="G443" i="24" s="1"/>
  <c r="H443" i="24" s="1"/>
  <c r="D694" i="29" s="1"/>
  <c r="D541" i="29"/>
  <c r="H360" i="24"/>
  <c r="F69" i="25"/>
  <c r="M59" i="25"/>
  <c r="G140" i="24"/>
  <c r="H139" i="24"/>
  <c r="H140" i="24" s="1"/>
  <c r="E102" i="25"/>
  <c r="E103" i="25" s="1"/>
  <c r="L90" i="25"/>
  <c r="P76" i="25"/>
  <c r="H85" i="25"/>
  <c r="D416" i="29"/>
  <c r="E416" i="29"/>
  <c r="C28" i="30" s="1"/>
  <c r="G377" i="24"/>
  <c r="M46" i="25"/>
  <c r="D767" i="29"/>
  <c r="E767" i="29"/>
  <c r="C47" i="30" s="1"/>
  <c r="K61" i="25"/>
  <c r="G322" i="24" s="1"/>
  <c r="H322" i="24" s="1"/>
  <c r="D498" i="29" s="1"/>
  <c r="G230" i="24"/>
  <c r="L125" i="25"/>
  <c r="L126" i="25" s="1"/>
  <c r="D52" i="29"/>
  <c r="H37" i="24"/>
  <c r="N80" i="25"/>
  <c r="G445" i="24" s="1"/>
  <c r="H445" i="24" s="1"/>
  <c r="D696" i="29" s="1"/>
  <c r="G373" i="24"/>
  <c r="H364" i="24"/>
  <c r="D616" i="29"/>
  <c r="H406" i="24"/>
  <c r="D75" i="25"/>
  <c r="D82" i="25"/>
  <c r="D79" i="25"/>
  <c r="D84" i="25"/>
  <c r="L81" i="25" s="1"/>
  <c r="G120" i="24" s="1"/>
  <c r="H120" i="24" s="1"/>
  <c r="D208" i="29" s="1"/>
  <c r="D81" i="25"/>
  <c r="D74" i="25"/>
  <c r="D80" i="25"/>
  <c r="L79" i="25" s="1"/>
  <c r="G118" i="24" s="1"/>
  <c r="H118" i="24" s="1"/>
  <c r="D206" i="29" s="1"/>
  <c r="D77" i="25"/>
  <c r="D76" i="25"/>
  <c r="L77" i="25" s="1"/>
  <c r="G116" i="24" s="1"/>
  <c r="H116" i="24" s="1"/>
  <c r="D204" i="29" s="1"/>
  <c r="D78" i="25"/>
  <c r="D83" i="25"/>
  <c r="K45" i="25"/>
  <c r="G153" i="24" s="1"/>
  <c r="H153" i="24" s="1"/>
  <c r="D259" i="29" s="1"/>
  <c r="K42" i="25"/>
  <c r="G150" i="24" s="1"/>
  <c r="H150" i="24" s="1"/>
  <c r="D256" i="29" s="1"/>
  <c r="K44" i="25"/>
  <c r="G152" i="24" s="1"/>
  <c r="H152" i="24" s="1"/>
  <c r="D258" i="29" s="1"/>
  <c r="M61" i="25"/>
  <c r="G433" i="24" s="1"/>
  <c r="H433" i="24" s="1"/>
  <c r="D675" i="29" s="1"/>
  <c r="H76" i="24"/>
  <c r="G83" i="24"/>
  <c r="G11" i="24"/>
  <c r="H11" i="24" s="1"/>
  <c r="D8" i="29" s="1"/>
  <c r="E57" i="26"/>
  <c r="E58" i="26" s="1"/>
  <c r="O76" i="25"/>
  <c r="G85" i="25"/>
  <c r="K92" i="25"/>
  <c r="G417" i="24" s="1"/>
  <c r="H417" i="24" s="1"/>
  <c r="D648" i="29" s="1"/>
  <c r="M82" i="25"/>
  <c r="G308" i="24"/>
  <c r="L61" i="25"/>
  <c r="G339" i="24" s="1"/>
  <c r="H339" i="24" s="1"/>
  <c r="D526" i="29" s="1"/>
  <c r="L60" i="25"/>
  <c r="G338" i="24" s="1"/>
  <c r="H338" i="24" s="1"/>
  <c r="D525" i="29" s="1"/>
  <c r="H199" i="24"/>
  <c r="D321" i="29"/>
  <c r="D104" i="29"/>
  <c r="H62" i="24"/>
  <c r="L93" i="25"/>
  <c r="G274" i="24" s="1"/>
  <c r="H274" i="24" s="1"/>
  <c r="D425" i="29" s="1"/>
  <c r="L92" i="25"/>
  <c r="G273" i="24" s="1"/>
  <c r="H273" i="24" s="1"/>
  <c r="D424" i="29" s="1"/>
  <c r="H495" i="24" l="1"/>
  <c r="H497" i="24" s="1"/>
  <c r="H498" i="24" s="1"/>
  <c r="E629" i="29"/>
  <c r="C38" i="30" s="1"/>
  <c r="D629" i="29"/>
  <c r="H230" i="24"/>
  <c r="G243" i="24"/>
  <c r="G430" i="24"/>
  <c r="M65" i="25"/>
  <c r="G256" i="24"/>
  <c r="H249" i="24"/>
  <c r="D398" i="29" s="1"/>
  <c r="Q25" i="16"/>
  <c r="P29" i="16"/>
  <c r="Q29" i="16" s="1"/>
  <c r="D745" i="29"/>
  <c r="E745" i="29"/>
  <c r="C46" i="30" s="1"/>
  <c r="N82" i="25"/>
  <c r="G440" i="24"/>
  <c r="H282" i="24"/>
  <c r="G294" i="24"/>
  <c r="E14" i="29"/>
  <c r="D14" i="29"/>
  <c r="L78" i="25"/>
  <c r="G117" i="24" s="1"/>
  <c r="H117" i="24" s="1"/>
  <c r="D205" i="29" s="1"/>
  <c r="L76" i="25"/>
  <c r="D85" i="25"/>
  <c r="D86" i="25" s="1"/>
  <c r="L80" i="25"/>
  <c r="G119" i="24" s="1"/>
  <c r="H119" i="24" s="1"/>
  <c r="D207" i="29" s="1"/>
  <c r="D70" i="25"/>
  <c r="C70" i="25" s="1"/>
  <c r="Q82" i="25"/>
  <c r="G66" i="24"/>
  <c r="E352" i="29"/>
  <c r="C24" i="30" s="1"/>
  <c r="D352" i="29"/>
  <c r="D234" i="29"/>
  <c r="E234" i="29"/>
  <c r="C17" i="30" s="1"/>
  <c r="K13" i="25"/>
  <c r="G48" i="24" s="1"/>
  <c r="H48" i="24" s="1"/>
  <c r="D64" i="29" s="1"/>
  <c r="J26" i="12"/>
  <c r="H27" i="11"/>
  <c r="F29" i="11"/>
  <c r="N114" i="25"/>
  <c r="G147" i="24"/>
  <c r="K46" i="25"/>
  <c r="M47" i="25" s="1"/>
  <c r="E108" i="29"/>
  <c r="C11" i="30" s="1"/>
  <c r="D108" i="29"/>
  <c r="D567" i="29"/>
  <c r="H373" i="24"/>
  <c r="D53" i="29"/>
  <c r="G53" i="29" s="1"/>
  <c r="E53" i="29"/>
  <c r="C9" i="30" s="1"/>
  <c r="H377" i="24"/>
  <c r="G389" i="24"/>
  <c r="G10" i="24"/>
  <c r="P82" i="25"/>
  <c r="G319" i="24"/>
  <c r="K65" i="25"/>
  <c r="K66" i="25" s="1"/>
  <c r="K67" i="25" s="1"/>
  <c r="H96" i="24"/>
  <c r="G110" i="24"/>
  <c r="E473" i="29"/>
  <c r="C31" i="30" s="1"/>
  <c r="D473" i="29"/>
  <c r="D640" i="29"/>
  <c r="E640" i="29"/>
  <c r="C39" i="30" s="1"/>
  <c r="K15" i="25"/>
  <c r="G50" i="24" s="1"/>
  <c r="H50" i="24" s="1"/>
  <c r="D66" i="29" s="1"/>
  <c r="G461" i="24"/>
  <c r="H454" i="24"/>
  <c r="L65" i="25"/>
  <c r="G336" i="24"/>
  <c r="E322" i="29"/>
  <c r="C22" i="30" s="1"/>
  <c r="D322" i="29"/>
  <c r="H308" i="24"/>
  <c r="G315" i="24"/>
  <c r="G85" i="24"/>
  <c r="O82" i="25"/>
  <c r="D134" i="29"/>
  <c r="H83" i="24"/>
  <c r="G270" i="24"/>
  <c r="L96" i="25"/>
  <c r="L97" i="25" s="1"/>
  <c r="E555" i="29"/>
  <c r="C35" i="30" s="1"/>
  <c r="D555" i="29"/>
  <c r="D48" i="29"/>
  <c r="E309" i="29"/>
  <c r="C21" i="30" s="1"/>
  <c r="D309" i="29"/>
  <c r="G309" i="29" s="1"/>
  <c r="G311" i="29" s="1"/>
  <c r="D20" i="25"/>
  <c r="E21" i="25" s="1"/>
  <c r="K10" i="25"/>
  <c r="K14" i="25"/>
  <c r="G49" i="24" s="1"/>
  <c r="H49" i="24" s="1"/>
  <c r="D65" i="29" s="1"/>
  <c r="H202" i="24"/>
  <c r="G209" i="24"/>
  <c r="G414" i="24"/>
  <c r="K96" i="25"/>
  <c r="D710" i="29"/>
  <c r="E710" i="29"/>
  <c r="C43" i="30" s="1"/>
  <c r="E284" i="29"/>
  <c r="C20" i="30" s="1"/>
  <c r="D284" i="29"/>
  <c r="G426" i="24" l="1"/>
  <c r="H414" i="24"/>
  <c r="K16" i="25"/>
  <c r="L17" i="25" s="1"/>
  <c r="G44" i="24"/>
  <c r="H85" i="24"/>
  <c r="G92" i="24"/>
  <c r="D476" i="29"/>
  <c r="D477" i="29"/>
  <c r="F8" i="10"/>
  <c r="J28" i="12"/>
  <c r="D237" i="29"/>
  <c r="D239" i="29"/>
  <c r="D238" i="29"/>
  <c r="D240" i="29"/>
  <c r="C7" i="30"/>
  <c r="H440" i="24"/>
  <c r="G447" i="24"/>
  <c r="D632" i="29"/>
  <c r="D634" i="29"/>
  <c r="D633" i="29"/>
  <c r="H336" i="24"/>
  <c r="G343" i="24"/>
  <c r="H319" i="24"/>
  <c r="G332" i="24"/>
  <c r="D581" i="29"/>
  <c r="H389" i="24"/>
  <c r="D576" i="29"/>
  <c r="E576" i="29"/>
  <c r="C36" i="30" s="1"/>
  <c r="G156" i="24"/>
  <c r="H147" i="24"/>
  <c r="G44" i="12"/>
  <c r="G46" i="12" s="1"/>
  <c r="D358" i="29"/>
  <c r="D359" i="29"/>
  <c r="D357" i="29"/>
  <c r="D355" i="29"/>
  <c r="D360" i="29"/>
  <c r="D361" i="29"/>
  <c r="D356" i="29"/>
  <c r="L82" i="25"/>
  <c r="L83" i="25" s="1"/>
  <c r="G114" i="24"/>
  <c r="H430" i="24"/>
  <c r="G437" i="24"/>
  <c r="D326" i="29"/>
  <c r="H209" i="24"/>
  <c r="G278" i="24"/>
  <c r="H270" i="24"/>
  <c r="D141" i="29"/>
  <c r="E141" i="29"/>
  <c r="C13" i="30" s="1"/>
  <c r="D483" i="29"/>
  <c r="H315" i="24"/>
  <c r="D112" i="29"/>
  <c r="D111" i="29"/>
  <c r="D113" i="29" s="1"/>
  <c r="D443" i="29"/>
  <c r="H294" i="24"/>
  <c r="D405" i="29"/>
  <c r="E405" i="29"/>
  <c r="C27" i="30" s="1"/>
  <c r="D287" i="29"/>
  <c r="D288" i="29"/>
  <c r="D561" i="29"/>
  <c r="D558" i="29"/>
  <c r="D559" i="29"/>
  <c r="D560" i="29"/>
  <c r="D714" i="29"/>
  <c r="H461" i="24"/>
  <c r="D161" i="29"/>
  <c r="H110" i="24"/>
  <c r="G17" i="24"/>
  <c r="H10" i="24"/>
  <c r="H17" i="24" s="1"/>
  <c r="H66" i="24"/>
  <c r="G73" i="24"/>
  <c r="D17" i="29"/>
  <c r="G14" i="29"/>
  <c r="D18" i="29"/>
  <c r="H13" i="11"/>
  <c r="D749" i="29"/>
  <c r="D748" i="29"/>
  <c r="D751" i="29"/>
  <c r="D752" i="29"/>
  <c r="D754" i="29"/>
  <c r="D753" i="29"/>
  <c r="D750" i="29"/>
  <c r="D367" i="29"/>
  <c r="H243" i="24"/>
  <c r="G48" i="12" l="1"/>
  <c r="G52" i="12" s="1"/>
  <c r="G54" i="12" s="1"/>
  <c r="D755" i="29"/>
  <c r="D118" i="29"/>
  <c r="H73" i="24"/>
  <c r="D721" i="29"/>
  <c r="E721" i="29"/>
  <c r="C44" i="30" s="1"/>
  <c r="D145" i="29"/>
  <c r="D144" i="29"/>
  <c r="D146" i="29" s="1"/>
  <c r="D333" i="29"/>
  <c r="E333" i="29"/>
  <c r="C23" i="30" s="1"/>
  <c r="H437" i="24"/>
  <c r="D672" i="29"/>
  <c r="D253" i="29"/>
  <c r="H156" i="24"/>
  <c r="H447" i="24"/>
  <c r="D691" i="29"/>
  <c r="F10" i="10"/>
  <c r="G10" i="10" s="1"/>
  <c r="D421" i="29"/>
  <c r="H278" i="24"/>
  <c r="G126" i="24"/>
  <c r="H114" i="24"/>
  <c r="E594" i="29"/>
  <c r="C37" i="30" s="1"/>
  <c r="D594" i="29"/>
  <c r="H92" i="24"/>
  <c r="D149" i="29"/>
  <c r="D645" i="29"/>
  <c r="H426" i="24"/>
  <c r="E381" i="29"/>
  <c r="C25" i="30" s="1"/>
  <c r="D381" i="29"/>
  <c r="D19" i="29"/>
  <c r="E176" i="29"/>
  <c r="C15" i="30" s="1"/>
  <c r="D176" i="29"/>
  <c r="D289" i="29"/>
  <c r="E490" i="29"/>
  <c r="C32" i="30" s="1"/>
  <c r="D490" i="29"/>
  <c r="D362" i="29"/>
  <c r="D523" i="29"/>
  <c r="H343" i="24"/>
  <c r="D635" i="29"/>
  <c r="D241" i="29"/>
  <c r="D478" i="29"/>
  <c r="D562" i="29"/>
  <c r="E456" i="29"/>
  <c r="C30" i="30" s="1"/>
  <c r="D456" i="29"/>
  <c r="D495" i="29"/>
  <c r="H332" i="24"/>
  <c r="G54" i="24"/>
  <c r="G493" i="24" s="1"/>
  <c r="H44" i="24"/>
  <c r="G50" i="12" l="1"/>
  <c r="E530" i="29"/>
  <c r="C34" i="30" s="1"/>
  <c r="D530" i="29"/>
  <c r="H54" i="24"/>
  <c r="D60" i="29"/>
  <c r="D460" i="29"/>
  <c r="D459" i="29"/>
  <c r="D461" i="29"/>
  <c r="D599" i="29"/>
  <c r="D603" i="29"/>
  <c r="D607" i="29"/>
  <c r="D597" i="29"/>
  <c r="D605" i="29"/>
  <c r="D608" i="29"/>
  <c r="D598" i="29"/>
  <c r="D600" i="29"/>
  <c r="D602" i="29"/>
  <c r="D606" i="29"/>
  <c r="D609" i="29"/>
  <c r="D604" i="29"/>
  <c r="D596" i="29"/>
  <c r="D601" i="29"/>
  <c r="D698" i="29"/>
  <c r="E698" i="29"/>
  <c r="C42" i="30" s="1"/>
  <c r="D679" i="29"/>
  <c r="E679" i="29"/>
  <c r="C41" i="30" s="1"/>
  <c r="E658" i="29"/>
  <c r="C40" i="30" s="1"/>
  <c r="D658" i="29"/>
  <c r="D429" i="29"/>
  <c r="E429" i="29"/>
  <c r="C29" i="30" s="1"/>
  <c r="E509" i="29"/>
  <c r="C33" i="30" s="1"/>
  <c r="D509" i="29"/>
  <c r="D385" i="29"/>
  <c r="D388" i="29"/>
  <c r="D386" i="29"/>
  <c r="D384" i="29"/>
  <c r="D387" i="29"/>
  <c r="D156" i="29"/>
  <c r="E156" i="29"/>
  <c r="C14" i="30" s="1"/>
  <c r="H126" i="24"/>
  <c r="D202" i="29"/>
  <c r="E125" i="29"/>
  <c r="C12" i="30" s="1"/>
  <c r="D125" i="29"/>
  <c r="D195" i="29"/>
  <c r="D193" i="29"/>
  <c r="D183" i="29"/>
  <c r="D196" i="29"/>
  <c r="D192" i="29"/>
  <c r="D188" i="29"/>
  <c r="D190" i="29"/>
  <c r="D179" i="29"/>
  <c r="D186" i="29"/>
  <c r="D184" i="29"/>
  <c r="D182" i="29"/>
  <c r="D181" i="29"/>
  <c r="D194" i="29"/>
  <c r="D185" i="29"/>
  <c r="D187" i="29"/>
  <c r="D180" i="29"/>
  <c r="D191" i="29"/>
  <c r="D189" i="29"/>
  <c r="E262" i="29"/>
  <c r="C19" i="30" s="1"/>
  <c r="D262" i="29"/>
  <c r="D724" i="29"/>
  <c r="D726" i="29" s="1"/>
  <c r="D725" i="29"/>
  <c r="D462" i="29" l="1"/>
  <c r="D389" i="29"/>
  <c r="D514" i="29"/>
  <c r="D515" i="29"/>
  <c r="D512" i="29"/>
  <c r="D513" i="29"/>
  <c r="D517" i="29"/>
  <c r="D516" i="29"/>
  <c r="D702" i="29"/>
  <c r="D703" i="29"/>
  <c r="D701" i="29"/>
  <c r="D704" i="29" s="1"/>
  <c r="E70" i="29"/>
  <c r="D70" i="29"/>
  <c r="D265" i="29"/>
  <c r="D266" i="29"/>
  <c r="D661" i="29"/>
  <c r="D662" i="29"/>
  <c r="D663" i="29"/>
  <c r="D665" i="29"/>
  <c r="D664" i="29"/>
  <c r="H493" i="24"/>
  <c r="H500" i="24" s="1"/>
  <c r="D683" i="29"/>
  <c r="D684" i="29"/>
  <c r="D686" i="29"/>
  <c r="D685" i="29"/>
  <c r="D682" i="29"/>
  <c r="D610" i="29"/>
  <c r="D533" i="29"/>
  <c r="D536" i="29" s="1"/>
  <c r="D534" i="29"/>
  <c r="D535" i="29"/>
  <c r="D197" i="29"/>
  <c r="D128" i="29"/>
  <c r="D129" i="29"/>
  <c r="D215" i="29"/>
  <c r="E215" i="29"/>
  <c r="C16" i="30" s="1"/>
  <c r="D433" i="29"/>
  <c r="D437" i="29"/>
  <c r="D435" i="29"/>
  <c r="D436" i="29"/>
  <c r="D434" i="29"/>
  <c r="D432" i="29"/>
  <c r="D438" i="29" l="1"/>
  <c r="D687" i="29"/>
  <c r="D666" i="29"/>
  <c r="D267" i="29"/>
  <c r="C10" i="30"/>
  <c r="E770" i="29"/>
  <c r="D130" i="29"/>
  <c r="D220" i="29"/>
  <c r="D221" i="29"/>
  <c r="D218" i="29"/>
  <c r="D222" i="29"/>
  <c r="D219" i="29"/>
  <c r="D96" i="29"/>
  <c r="D82" i="29"/>
  <c r="D89" i="29"/>
  <c r="D97" i="29"/>
  <c r="D87" i="29"/>
  <c r="D81" i="29"/>
  <c r="D94" i="29"/>
  <c r="D95" i="29"/>
  <c r="D84" i="29"/>
  <c r="D88" i="29"/>
  <c r="D90" i="29"/>
  <c r="D85" i="29"/>
  <c r="D76" i="29"/>
  <c r="D77" i="29"/>
  <c r="D78" i="29"/>
  <c r="D75" i="29"/>
  <c r="D80" i="29"/>
  <c r="D92" i="29"/>
  <c r="D86" i="29"/>
  <c r="G70" i="29"/>
  <c r="D98" i="29"/>
  <c r="D93" i="29"/>
  <c r="D83" i="29"/>
  <c r="D79" i="29"/>
  <c r="D73" i="29"/>
  <c r="D91" i="29"/>
  <c r="D74" i="29"/>
  <c r="D770" i="29"/>
  <c r="D772" i="29" s="1"/>
  <c r="D518" i="29"/>
  <c r="D223" i="29" l="1"/>
  <c r="F223" i="29" s="1"/>
  <c r="D99" i="29"/>
  <c r="C48" i="30"/>
  <c r="D10" i="30" s="1"/>
  <c r="C50" i="30" l="1"/>
  <c r="D45" i="30"/>
  <c r="D26" i="30"/>
  <c r="D8" i="30"/>
  <c r="D28" i="30"/>
  <c r="D18" i="30"/>
  <c r="D47" i="30"/>
  <c r="D20" i="30"/>
  <c r="D22" i="30"/>
  <c r="D21" i="30"/>
  <c r="D9" i="30"/>
  <c r="D35" i="30"/>
  <c r="D38" i="30"/>
  <c r="D11" i="30"/>
  <c r="D43" i="30"/>
  <c r="D46" i="30"/>
  <c r="D17" i="30"/>
  <c r="D31" i="30"/>
  <c r="D39" i="30"/>
  <c r="D24" i="30"/>
  <c r="D13" i="30"/>
  <c r="D27" i="30"/>
  <c r="D36" i="30"/>
  <c r="D7" i="30"/>
  <c r="D15" i="30"/>
  <c r="D32" i="30"/>
  <c r="D23" i="30"/>
  <c r="D44" i="30"/>
  <c r="D30" i="30"/>
  <c r="D37" i="30"/>
  <c r="D25" i="30"/>
  <c r="D12" i="30"/>
  <c r="D41" i="30"/>
  <c r="D19" i="30"/>
  <c r="D42" i="30"/>
  <c r="D14" i="30"/>
  <c r="D29" i="30"/>
  <c r="D33" i="30"/>
  <c r="D40" i="30"/>
  <c r="D34" i="30"/>
  <c r="D16" i="30"/>
  <c r="D48" i="30" l="1"/>
  <c r="F8" i="7" l="1"/>
  <c r="F12" i="7" s="1"/>
  <c r="F36" i="6" s="1"/>
  <c r="J21" i="12" s="1"/>
  <c r="J22" i="12" s="1"/>
  <c r="J27" i="12" s="1"/>
  <c r="J29" i="12" s="1"/>
  <c r="F38" i="6" l="1"/>
  <c r="C8" i="10" s="1"/>
  <c r="E8" i="10" s="1"/>
  <c r="G8" i="10" s="1"/>
  <c r="G14" i="10" s="1"/>
  <c r="J35" i="12"/>
  <c r="H44" i="12"/>
  <c r="H46" i="12" s="1"/>
  <c r="H48" i="12" l="1"/>
  <c r="H52" i="12" s="1"/>
  <c r="H54" i="12" s="1"/>
  <c r="E12" i="10"/>
  <c r="J37" i="12"/>
  <c r="J9" i="31"/>
  <c r="J44" i="12"/>
  <c r="J48" i="12"/>
  <c r="I8" i="10"/>
  <c r="J3" i="36" s="1"/>
  <c r="G18" i="10"/>
  <c r="H50" i="12" l="1"/>
  <c r="J50" i="12"/>
  <c r="J52" i="12"/>
  <c r="J54" i="12" s="1"/>
  <c r="I9" i="31"/>
  <c r="J46" i="12"/>
  <c r="Q44" i="12"/>
  <c r="D45" i="31" l="1"/>
  <c r="D46" i="31" s="1"/>
  <c r="D21" i="31"/>
  <c r="D22" i="31" s="1"/>
  <c r="D113" i="31"/>
  <c r="D114" i="31" s="1"/>
  <c r="D13" i="31"/>
  <c r="D77" i="31"/>
  <c r="D169" i="31"/>
  <c r="D170" i="31" s="1"/>
  <c r="D141" i="31"/>
  <c r="D142" i="31" s="1"/>
  <c r="D81" i="31"/>
  <c r="D82" i="31" s="1"/>
  <c r="D61" i="31"/>
  <c r="D62" i="31" s="1"/>
  <c r="D93" i="31"/>
  <c r="D94" i="31" s="1"/>
  <c r="D157" i="31"/>
  <c r="D158" i="31" s="1"/>
  <c r="D89" i="31"/>
  <c r="D90" i="31" s="1"/>
  <c r="D73" i="31"/>
  <c r="D74" i="31" s="1"/>
  <c r="D145" i="31"/>
  <c r="D146" i="31" s="1"/>
  <c r="D69" i="31"/>
  <c r="D70" i="31" s="1"/>
  <c r="D37" i="31"/>
  <c r="D38" i="31" s="1"/>
  <c r="D33" i="31"/>
  <c r="D34" i="31" s="1"/>
  <c r="D161" i="31"/>
  <c r="D162" i="31" s="1"/>
  <c r="D97" i="31"/>
  <c r="D98" i="31" s="1"/>
  <c r="D17" i="31"/>
  <c r="D18" i="31" s="1"/>
  <c r="D129" i="31"/>
  <c r="D130" i="31" s="1"/>
  <c r="D49" i="31"/>
  <c r="D50" i="31" s="1"/>
  <c r="D125" i="31"/>
  <c r="D126" i="31" s="1"/>
  <c r="D85" i="31"/>
  <c r="D86" i="31" s="1"/>
  <c r="D53" i="31"/>
  <c r="D54" i="31" s="1"/>
  <c r="D149" i="31"/>
  <c r="D150" i="31" s="1"/>
  <c r="D57" i="31"/>
  <c r="D58" i="31" s="1"/>
  <c r="D109" i="31"/>
  <c r="D110" i="31" s="1"/>
  <c r="D105" i="31"/>
  <c r="D106" i="31" s="1"/>
  <c r="D117" i="31"/>
  <c r="D118" i="31" s="1"/>
  <c r="D101" i="31"/>
  <c r="D102" i="31" s="1"/>
  <c r="D173" i="31"/>
  <c r="D174" i="31" s="1"/>
  <c r="D165" i="31"/>
  <c r="D166" i="31" s="1"/>
  <c r="D153" i="31"/>
  <c r="D154" i="31" s="1"/>
  <c r="D25" i="31"/>
  <c r="D26" i="31" s="1"/>
  <c r="D65" i="31"/>
  <c r="D66" i="31" s="1"/>
  <c r="D121" i="31"/>
  <c r="D122" i="31" s="1"/>
  <c r="D29" i="31"/>
  <c r="D30" i="31" s="1"/>
  <c r="D41" i="31"/>
  <c r="D42" i="31" s="1"/>
  <c r="D177" i="31"/>
  <c r="D178" i="31" s="1"/>
  <c r="D137" i="31"/>
  <c r="D138" i="31" s="1"/>
  <c r="D133" i="31"/>
  <c r="D134" i="31" s="1"/>
  <c r="D10" i="35" l="1"/>
  <c r="F10" i="35" s="1"/>
  <c r="G10" i="35" s="1"/>
  <c r="H10" i="35" s="1"/>
  <c r="D27" i="35"/>
  <c r="D45" i="35"/>
  <c r="D40" i="35"/>
  <c r="D30" i="35"/>
  <c r="F30" i="35" s="1"/>
  <c r="G30" i="35" s="1"/>
  <c r="H30" i="35" s="1"/>
  <c r="I30" i="35" s="1"/>
  <c r="J30" i="35" s="1"/>
  <c r="K30" i="35" s="1"/>
  <c r="L30" i="35" s="1"/>
  <c r="M30" i="35" s="1"/>
  <c r="N30" i="35" s="1"/>
  <c r="O30" i="35" s="1"/>
  <c r="P30" i="35" s="1"/>
  <c r="Q30" i="35" s="1"/>
  <c r="R30" i="35" s="1"/>
  <c r="D32" i="35"/>
  <c r="D36" i="35"/>
  <c r="D26" i="35"/>
  <c r="D9" i="35"/>
  <c r="F9" i="35" s="1"/>
  <c r="G9" i="35" s="1"/>
  <c r="H9" i="35" s="1"/>
  <c r="I9" i="35" s="1"/>
  <c r="J9" i="35" s="1"/>
  <c r="K9" i="35" s="1"/>
  <c r="L9" i="35" s="1"/>
  <c r="M9" i="35" s="1"/>
  <c r="N9" i="35" s="1"/>
  <c r="O9" i="35" s="1"/>
  <c r="P9" i="35" s="1"/>
  <c r="Q9" i="35" s="1"/>
  <c r="R9" i="35" s="1"/>
  <c r="D33" i="35"/>
  <c r="D16" i="35"/>
  <c r="D44" i="35"/>
  <c r="D25" i="35"/>
  <c r="D18" i="35"/>
  <c r="D50" i="35"/>
  <c r="D23" i="35"/>
  <c r="D17" i="35"/>
  <c r="D13" i="35"/>
  <c r="D12" i="35"/>
  <c r="D31" i="35"/>
  <c r="D47" i="35"/>
  <c r="D21" i="35"/>
  <c r="D20" i="35"/>
  <c r="D42" i="35"/>
  <c r="D38" i="35"/>
  <c r="D29" i="35"/>
  <c r="F29" i="35" s="1"/>
  <c r="G29" i="35" s="1"/>
  <c r="H29" i="35" s="1"/>
  <c r="I29" i="35" s="1"/>
  <c r="J29" i="35" s="1"/>
  <c r="K29" i="35" s="1"/>
  <c r="L29" i="35" s="1"/>
  <c r="M29" i="35" s="1"/>
  <c r="N29" i="35" s="1"/>
  <c r="O29" i="35" s="1"/>
  <c r="P29" i="35" s="1"/>
  <c r="Q29" i="35" s="1"/>
  <c r="R29" i="35" s="1"/>
  <c r="D22" i="35"/>
  <c r="D11" i="35"/>
  <c r="D24" i="35"/>
  <c r="D46" i="35"/>
  <c r="D35" i="35"/>
  <c r="D37" i="35"/>
  <c r="D49" i="35"/>
  <c r="D43" i="35"/>
  <c r="D39" i="35"/>
  <c r="D8" i="35"/>
  <c r="F8" i="35" s="1"/>
  <c r="D34" i="35"/>
  <c r="D41" i="35"/>
  <c r="D15" i="35"/>
  <c r="D48" i="35"/>
  <c r="D14" i="35"/>
  <c r="I10" i="35"/>
  <c r="J10" i="35" s="1"/>
  <c r="K10" i="35" s="1"/>
  <c r="L10" i="35" s="1"/>
  <c r="M10" i="35" s="1"/>
  <c r="N10" i="35" s="1"/>
  <c r="O10" i="35" s="1"/>
  <c r="P10" i="35" s="1"/>
  <c r="Q10" i="35" s="1"/>
  <c r="R10" i="35" s="1"/>
  <c r="F36" i="35"/>
  <c r="G36" i="35" s="1"/>
  <c r="H36" i="35" s="1"/>
  <c r="I36" i="35" s="1"/>
  <c r="J36" i="35" s="1"/>
  <c r="K36" i="35" s="1"/>
  <c r="L36" i="35" s="1"/>
  <c r="M36" i="35" s="1"/>
  <c r="N36" i="35" s="1"/>
  <c r="O36" i="35" s="1"/>
  <c r="P36" i="35" s="1"/>
  <c r="Q36" i="35" s="1"/>
  <c r="R36" i="35" s="1"/>
  <c r="D9" i="31"/>
  <c r="D14" i="31"/>
  <c r="D78" i="31"/>
  <c r="J77" i="31"/>
  <c r="J12" i="31"/>
  <c r="F32" i="35" l="1"/>
  <c r="G32" i="35" s="1"/>
  <c r="H32" i="35" s="1"/>
  <c r="I32" i="35" s="1"/>
  <c r="J32" i="35" s="1"/>
  <c r="K32" i="35" s="1"/>
  <c r="L32" i="35" s="1"/>
  <c r="M32" i="35" s="1"/>
  <c r="N32" i="35" s="1"/>
  <c r="O32" i="35" s="1"/>
  <c r="P32" i="35" s="1"/>
  <c r="Q32" i="35" s="1"/>
  <c r="R32" i="35" s="1"/>
  <c r="F46" i="35"/>
  <c r="G46" i="35" s="1"/>
  <c r="H46" i="35" s="1"/>
  <c r="I46" i="35" s="1"/>
  <c r="J46" i="35" s="1"/>
  <c r="K46" i="35" s="1"/>
  <c r="L46" i="35" s="1"/>
  <c r="M46" i="35" s="1"/>
  <c r="N46" i="35" s="1"/>
  <c r="O46" i="35" s="1"/>
  <c r="P46" i="35" s="1"/>
  <c r="Q46" i="35" s="1"/>
  <c r="R46" i="35" s="1"/>
  <c r="F16" i="35"/>
  <c r="G16" i="35" s="1"/>
  <c r="H16" i="35" s="1"/>
  <c r="I16" i="35" s="1"/>
  <c r="J16" i="35" s="1"/>
  <c r="K16" i="35" s="1"/>
  <c r="L16" i="35" s="1"/>
  <c r="M16" i="35" s="1"/>
  <c r="N16" i="35" s="1"/>
  <c r="O16" i="35" s="1"/>
  <c r="P16" i="35" s="1"/>
  <c r="Q16" i="35" s="1"/>
  <c r="R16" i="35" s="1"/>
  <c r="F50" i="35"/>
  <c r="G50" i="35" s="1"/>
  <c r="H50" i="35" s="1"/>
  <c r="I50" i="35" s="1"/>
  <c r="J50" i="35" s="1"/>
  <c r="K50" i="35" s="1"/>
  <c r="L50" i="35" s="1"/>
  <c r="M50" i="35" s="1"/>
  <c r="N50" i="35" s="1"/>
  <c r="O50" i="35" s="1"/>
  <c r="P50" i="35" s="1"/>
  <c r="Q50" i="35" s="1"/>
  <c r="R50" i="35" s="1"/>
  <c r="F39" i="35"/>
  <c r="G39" i="35" s="1"/>
  <c r="H39" i="35" s="1"/>
  <c r="I39" i="35" s="1"/>
  <c r="J39" i="35" s="1"/>
  <c r="K39" i="35" s="1"/>
  <c r="L39" i="35" s="1"/>
  <c r="M39" i="35" s="1"/>
  <c r="N39" i="35" s="1"/>
  <c r="O39" i="35" s="1"/>
  <c r="P39" i="35" s="1"/>
  <c r="Q39" i="35" s="1"/>
  <c r="R39" i="35" s="1"/>
  <c r="F44" i="35"/>
  <c r="G44" i="35" s="1"/>
  <c r="H44" i="35" s="1"/>
  <c r="I44" i="35" s="1"/>
  <c r="J44" i="35" s="1"/>
  <c r="K44" i="35" s="1"/>
  <c r="L44" i="35" s="1"/>
  <c r="M44" i="35" s="1"/>
  <c r="N44" i="35" s="1"/>
  <c r="O44" i="35" s="1"/>
  <c r="P44" i="35" s="1"/>
  <c r="Q44" i="35" s="1"/>
  <c r="R44" i="35" s="1"/>
  <c r="F18" i="35"/>
  <c r="G18" i="35" s="1"/>
  <c r="H18" i="35" s="1"/>
  <c r="I18" i="35" s="1"/>
  <c r="J18" i="35" s="1"/>
  <c r="K18" i="35" s="1"/>
  <c r="L18" i="35" s="1"/>
  <c r="M18" i="35" s="1"/>
  <c r="N18" i="35" s="1"/>
  <c r="O18" i="35" s="1"/>
  <c r="P18" i="35" s="1"/>
  <c r="Q18" i="35" s="1"/>
  <c r="R18" i="35" s="1"/>
  <c r="F34" i="35"/>
  <c r="G34" i="35" s="1"/>
  <c r="H34" i="35" s="1"/>
  <c r="I34" i="35" s="1"/>
  <c r="J34" i="35" s="1"/>
  <c r="K34" i="35" s="1"/>
  <c r="L34" i="35" s="1"/>
  <c r="M34" i="35" s="1"/>
  <c r="N34" i="35" s="1"/>
  <c r="O34" i="35" s="1"/>
  <c r="P34" i="35" s="1"/>
  <c r="Q34" i="35" s="1"/>
  <c r="R34" i="35" s="1"/>
  <c r="F13" i="35"/>
  <c r="G13" i="35" s="1"/>
  <c r="H13" i="35" s="1"/>
  <c r="I13" i="35" s="1"/>
  <c r="J13" i="35" s="1"/>
  <c r="K13" i="35" s="1"/>
  <c r="L13" i="35" s="1"/>
  <c r="M13" i="35" s="1"/>
  <c r="N13" i="35" s="1"/>
  <c r="O13" i="35" s="1"/>
  <c r="P13" i="35" s="1"/>
  <c r="Q13" i="35" s="1"/>
  <c r="R13" i="35" s="1"/>
  <c r="S10" i="35"/>
  <c r="S29" i="35"/>
  <c r="S36" i="35"/>
  <c r="G8" i="35"/>
  <c r="S30" i="35"/>
  <c r="S9" i="35"/>
  <c r="J11" i="31"/>
  <c r="J14" i="31" s="1"/>
  <c r="J15" i="31" s="1"/>
  <c r="D10" i="31"/>
  <c r="S32" i="35" l="1"/>
  <c r="S16" i="35"/>
  <c r="S39" i="35"/>
  <c r="S34" i="35"/>
  <c r="S18" i="35"/>
  <c r="S46" i="35"/>
  <c r="S13" i="35"/>
  <c r="D19" i="35"/>
  <c r="S44" i="35"/>
  <c r="S50" i="35"/>
  <c r="G7" i="35"/>
  <c r="H8" i="35"/>
  <c r="F28" i="35" l="1"/>
  <c r="D51" i="35"/>
  <c r="H7" i="35"/>
  <c r="I8" i="35"/>
  <c r="I7" i="35" l="1"/>
  <c r="J8" i="35"/>
  <c r="G28" i="35"/>
  <c r="F51" i="35"/>
  <c r="J28" i="35" l="1"/>
  <c r="J51" i="35" s="1"/>
  <c r="M28" i="35"/>
  <c r="K28" i="35"/>
  <c r="H28" i="35"/>
  <c r="H51" i="35" s="1"/>
  <c r="Q28" i="35"/>
  <c r="I28" i="35"/>
  <c r="I51" i="35" s="1"/>
  <c r="R28" i="35"/>
  <c r="P28" i="35"/>
  <c r="L28" i="35"/>
  <c r="O28" i="35"/>
  <c r="N28" i="35"/>
  <c r="G51" i="35"/>
  <c r="G54" i="35" s="1"/>
  <c r="J7" i="35"/>
  <c r="K8" i="35"/>
  <c r="H54" i="35" l="1"/>
  <c r="I54" i="35" s="1"/>
  <c r="J54" i="35" s="1"/>
  <c r="S28" i="35"/>
  <c r="K51" i="35"/>
  <c r="K7" i="35"/>
  <c r="L8" i="35"/>
  <c r="L51" i="35" l="1"/>
  <c r="L7" i="35"/>
  <c r="M8" i="35"/>
  <c r="K54" i="35"/>
  <c r="L54" i="35" l="1"/>
  <c r="M51" i="35"/>
  <c r="N8" i="35"/>
  <c r="M7" i="35"/>
  <c r="M54" i="35" l="1"/>
  <c r="N51" i="35"/>
  <c r="O8" i="35"/>
  <c r="N7" i="35"/>
  <c r="N54" i="35" l="1"/>
  <c r="O51" i="35"/>
  <c r="P8" i="35"/>
  <c r="O7" i="35"/>
  <c r="O54" i="35" l="1"/>
  <c r="Q8" i="35"/>
  <c r="P51" i="35"/>
  <c r="P7" i="35"/>
  <c r="P54" i="35" l="1"/>
  <c r="Q51" i="35"/>
  <c r="Q54" i="35" s="1"/>
  <c r="Q7" i="35"/>
  <c r="R8" i="35"/>
  <c r="R51" i="35" l="1"/>
  <c r="R7" i="35"/>
  <c r="S7" i="35" s="1"/>
  <c r="S8" i="35"/>
  <c r="S51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Keene, David M.</author>
  </authors>
  <commentList>
    <comment ref="C48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From Lee County.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$705003.66 to Hendry
County.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Gurgel, Brady G.</author>
  </authors>
  <commentList>
    <comment ref="N4" authorId="0" shapeId="0" xr:uid="{95F50441-2209-4A46-974B-34685A67C5C2}">
      <text>
        <r>
          <rPr>
            <b/>
            <sz val="9"/>
            <color indexed="81"/>
            <rFont val="Tahoma"/>
            <family val="2"/>
          </rPr>
          <t>Gurgel, Brady G.:</t>
        </r>
        <r>
          <rPr>
            <sz val="9"/>
            <color indexed="81"/>
            <rFont val="Tahoma"/>
            <family val="2"/>
          </rPr>
          <t xml:space="preserve">
Inflated 2021 actual assessed by 6% for 2024
 estimate</t>
        </r>
      </text>
    </comment>
    <comment ref="C5" authorId="0" shapeId="0" xr:uid="{2A8B8842-7F3F-47A5-9B4E-604CCD014544}">
      <text>
        <r>
          <rPr>
            <b/>
            <sz val="9"/>
            <color indexed="81"/>
            <rFont val="Tahoma"/>
            <family val="2"/>
          </rPr>
          <t>Gurgel, Brady G.:</t>
        </r>
        <r>
          <rPr>
            <sz val="9"/>
            <color indexed="81"/>
            <rFont val="Tahoma"/>
            <family val="2"/>
          </rPr>
          <t xml:space="preserve">
Allocation factors below are same as 2022 actuals - use for 2024 budget purposes</t>
        </r>
      </text>
    </comment>
    <comment ref="M5" authorId="0" shapeId="0" xr:uid="{A29723D6-9C11-4317-9500-5683CC1EECAE}">
      <text>
        <r>
          <rPr>
            <b/>
            <sz val="9"/>
            <color indexed="81"/>
            <rFont val="Tahoma"/>
            <family val="2"/>
          </rPr>
          <t>Gurgel, Brady G.:</t>
        </r>
        <r>
          <rPr>
            <sz val="9"/>
            <color indexed="81"/>
            <rFont val="Tahoma"/>
            <family val="2"/>
          </rPr>
          <t xml:space="preserve">
2024 millage rate est'd to be 98% of 2021 actual millage rate</t>
        </r>
      </text>
    </comment>
    <comment ref="S5" authorId="0" shapeId="0" xr:uid="{38E19845-6870-42F5-B975-78888E3CA8E7}">
      <text>
        <r>
          <rPr>
            <b/>
            <sz val="9"/>
            <color indexed="81"/>
            <rFont val="Tahoma"/>
            <family val="2"/>
          </rPr>
          <t>Gurgel, Brady G.:</t>
        </r>
        <r>
          <rPr>
            <sz val="9"/>
            <color indexed="81"/>
            <rFont val="Tahoma"/>
            <family val="2"/>
          </rPr>
          <t xml:space="preserve">
assume 2024 effective mils will be 98% of actual 2021 mils for 2023 budget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O6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due to spaces account was created diff
</t>
        </r>
      </text>
    </comment>
  </commentList>
</comments>
</file>

<file path=xl/sharedStrings.xml><?xml version="1.0" encoding="utf-8"?>
<sst xmlns="http://schemas.openxmlformats.org/spreadsheetml/2006/main" count="8808" uniqueCount="1895">
  <si>
    <t>Columbia</t>
  </si>
  <si>
    <t>St. Johns</t>
  </si>
  <si>
    <t>Clay</t>
  </si>
  <si>
    <t>Collier</t>
  </si>
  <si>
    <t>Hardee</t>
  </si>
  <si>
    <t>Hernando</t>
  </si>
  <si>
    <t>Orange</t>
  </si>
  <si>
    <t>Seminole</t>
  </si>
  <si>
    <t>Lafayette</t>
  </si>
  <si>
    <t>Lee</t>
  </si>
  <si>
    <t>Martin</t>
  </si>
  <si>
    <t>Nassau</t>
  </si>
  <si>
    <t>Sumter</t>
  </si>
  <si>
    <t>% of</t>
  </si>
  <si>
    <t>Allocation</t>
  </si>
  <si>
    <t>Total</t>
  </si>
  <si>
    <t>Year</t>
  </si>
  <si>
    <t>Weight</t>
  </si>
  <si>
    <t>Weighted</t>
  </si>
  <si>
    <t>NOI</t>
  </si>
  <si>
    <t>Average</t>
  </si>
  <si>
    <t>Capitalization Rate</t>
  </si>
  <si>
    <t>Capital</t>
  </si>
  <si>
    <t>Balance</t>
  </si>
  <si>
    <t>Ratio</t>
  </si>
  <si>
    <t>Cost</t>
  </si>
  <si>
    <t>Long-Term Debt</t>
  </si>
  <si>
    <t>Common Equity</t>
  </si>
  <si>
    <t>Cost Approach to Value</t>
  </si>
  <si>
    <t>Property Accounts</t>
  </si>
  <si>
    <t>Property Held for Future Use (105)</t>
  </si>
  <si>
    <t>Construction Work in Progress (107)</t>
  </si>
  <si>
    <t>Total Utility Plant</t>
  </si>
  <si>
    <t>Net Utility Plant</t>
  </si>
  <si>
    <t>Materials &amp; Supplies Inventory</t>
  </si>
  <si>
    <t>Total Property @ Cost</t>
  </si>
  <si>
    <t>Acquisition Adjustment (114)</t>
  </si>
  <si>
    <t>Approach</t>
  </si>
  <si>
    <t>Indicated</t>
  </si>
  <si>
    <t>Value</t>
  </si>
  <si>
    <t>Income Approach</t>
  </si>
  <si>
    <t>Cost Approach</t>
  </si>
  <si>
    <t>Original</t>
  </si>
  <si>
    <t>Depreciation</t>
  </si>
  <si>
    <t>Net Book</t>
  </si>
  <si>
    <t>Constuction Work in Progress (107)</t>
  </si>
  <si>
    <t>Fuel (151)</t>
  </si>
  <si>
    <t>Materials &amp; Supples (154)</t>
  </si>
  <si>
    <t>Less Separately Assessed &amp; Exempt Property:</t>
  </si>
  <si>
    <t>Construction Work in Progress</t>
  </si>
  <si>
    <t>Gas Plant Acquistion Adjustment</t>
  </si>
  <si>
    <t>Fuel Inventory</t>
  </si>
  <si>
    <t>Software</t>
  </si>
  <si>
    <t>Vehicles</t>
  </si>
  <si>
    <t>Franchise &amp; Consents and Organizational Costs</t>
  </si>
  <si>
    <t>Real Estate - PHFFU Land (105)</t>
  </si>
  <si>
    <t>Total Exempt &amp; Separately Assessed</t>
  </si>
  <si>
    <t>Property in Unit Valuation at Cost</t>
  </si>
  <si>
    <t>&amp; Amortization</t>
  </si>
  <si>
    <t>Peoples Gas System</t>
  </si>
  <si>
    <t>Dollars In Thousands</t>
  </si>
  <si>
    <t>Cost Approach Calculation</t>
  </si>
  <si>
    <t>Income Approach Calculation</t>
  </si>
  <si>
    <t>Factor</t>
  </si>
  <si>
    <t>Total All</t>
  </si>
  <si>
    <t>Subtotal</t>
  </si>
  <si>
    <t>Real Estate - PHFFU (Account 105)</t>
  </si>
  <si>
    <t>Cost Approach Indicator of Value - All Operating Property</t>
  </si>
  <si>
    <t>Long Term Debt</t>
  </si>
  <si>
    <t>Cost Indicator of Value (All Property)</t>
  </si>
  <si>
    <t>Income Approach Indicator of Value (All Property)</t>
  </si>
  <si>
    <t>Reconciliation of Fair Market Value</t>
  </si>
  <si>
    <t>Construction Work in Progress ( Account 107)</t>
  </si>
  <si>
    <t>Dollars in Thousands</t>
  </si>
  <si>
    <t>Less: Accumulated Depreciation &amp; Amortization (Accounts 108 &amp; 111)</t>
  </si>
  <si>
    <t>Net Book Value of All Operating Property</t>
  </si>
  <si>
    <t>Utility Plant (Accounts 101 &amp; 106)</t>
  </si>
  <si>
    <t>Gas Plant Acquisition Adjustment (Account 114)</t>
  </si>
  <si>
    <t>Line</t>
  </si>
  <si>
    <t>No.</t>
  </si>
  <si>
    <t>Calculate Value of Taxable Tangible Personal Property in Unit</t>
  </si>
  <si>
    <t>Cost Approach Indicator of Value - All Operating Property (Line 12)</t>
  </si>
  <si>
    <t>Income</t>
  </si>
  <si>
    <t>Reconcile Cost &amp; Income Approach</t>
  </si>
  <si>
    <t>Add: Materials &amp; Supples Inventory</t>
  </si>
  <si>
    <t>Materials &amp; Supplies Inventory (Account 154) Appraise @ Situs</t>
  </si>
  <si>
    <t>Estimate of Fair Market Value - Taxable Tangible Personal Property</t>
  </si>
  <si>
    <t>Tampa Electric Company, dba Peoples Gas System</t>
  </si>
  <si>
    <t>NBV</t>
  </si>
  <si>
    <t>Organization</t>
  </si>
  <si>
    <t>Franchsies and Consents</t>
  </si>
  <si>
    <t>Land Rights / Easements</t>
  </si>
  <si>
    <t>375/390</t>
  </si>
  <si>
    <t>Structures and Improvement</t>
  </si>
  <si>
    <t>Vehicle Fleet</t>
  </si>
  <si>
    <t>Total Exempt &amp; Separately Assess Property</t>
  </si>
  <si>
    <t>Accounts 114, 115 Aquistion Adjustment</t>
  </si>
  <si>
    <t>Total Pages 13 - 16 PGS Annual Report</t>
  </si>
  <si>
    <t>Construction Work In Progress</t>
  </si>
  <si>
    <t>M &amp; S Inventory</t>
  </si>
  <si>
    <t>Real Estate - Land &amp; Structures, Easements</t>
  </si>
  <si>
    <t xml:space="preserve">Account 105,Property Held For Future Use 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</si>
  <si>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</si>
  <si>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</si>
  <si>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</si>
  <si>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</si>
  <si>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</si>
  <si>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</si>
  <si>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</si>
  <si>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</si>
  <si>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</si>
  <si>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</si>
  <si>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</si>
  <si>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</si>
  <si>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</si>
  <si>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</si>
  <si>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</si>
  <si>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</si>
  <si>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</si>
  <si>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</si>
  <si>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</si>
  <si>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</si>
  <si>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</si>
  <si>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</si>
  <si>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</si>
  <si>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</si>
  <si>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</si>
  <si>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</si>
  <si>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</si>
  <si>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</si>
  <si>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</si>
  <si>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</si>
  <si>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</si>
  <si>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</si>
  <si>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</si>
  <si>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</si>
  <si>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 xml:space="preserve">Cost Approach Indicator of Value - TTPP Excl. M&amp;S Inventory </t>
  </si>
  <si>
    <t>Sarasota</t>
  </si>
  <si>
    <t>Summary</t>
  </si>
  <si>
    <t>Tax</t>
  </si>
  <si>
    <t>TPP</t>
  </si>
  <si>
    <t>Bay</t>
  </si>
  <si>
    <t>Bradford</t>
  </si>
  <si>
    <t>Charlotte</t>
  </si>
  <si>
    <t>Flager</t>
  </si>
  <si>
    <t>Lake</t>
  </si>
  <si>
    <t>Leon</t>
  </si>
  <si>
    <t>Levy</t>
  </si>
  <si>
    <t>Liberty</t>
  </si>
  <si>
    <t>Putnam</t>
  </si>
  <si>
    <t>St. Lucie</t>
  </si>
  <si>
    <t>Union</t>
  </si>
  <si>
    <t xml:space="preserve">Volusia </t>
  </si>
  <si>
    <t>Wakulla</t>
  </si>
  <si>
    <t>34</t>
  </si>
  <si>
    <t>35</t>
  </si>
  <si>
    <t>36</t>
  </si>
  <si>
    <t>37</t>
  </si>
  <si>
    <t>38</t>
  </si>
  <si>
    <t>39</t>
  </si>
  <si>
    <t>40</t>
  </si>
  <si>
    <t xml:space="preserve">Baker </t>
  </si>
  <si>
    <t>Broward</t>
  </si>
  <si>
    <t>Dade</t>
  </si>
  <si>
    <t>Duval</t>
  </si>
  <si>
    <t>Highlands</t>
  </si>
  <si>
    <t>Hillsborough</t>
  </si>
  <si>
    <t>Manatee</t>
  </si>
  <si>
    <t>Marion</t>
  </si>
  <si>
    <t>Osceola</t>
  </si>
  <si>
    <t>Palm Beach</t>
  </si>
  <si>
    <t>Pasco</t>
  </si>
  <si>
    <t>Pinellas</t>
  </si>
  <si>
    <t>Polk</t>
  </si>
  <si>
    <t>Est. R.E.</t>
  </si>
  <si>
    <t>Estimated</t>
  </si>
  <si>
    <t>Greenland Ownership - Realty</t>
  </si>
  <si>
    <t>Greenland Ownership - Pipeline</t>
  </si>
  <si>
    <t>TPP Plant In Service</t>
  </si>
  <si>
    <t>Total All Property</t>
  </si>
  <si>
    <t xml:space="preserve">Dep &amp; Amort. </t>
  </si>
  <si>
    <t>NBV - TTPP</t>
  </si>
  <si>
    <t>Taxable  TPP Plant In Service</t>
  </si>
  <si>
    <t>301</t>
  </si>
  <si>
    <t>302</t>
  </si>
  <si>
    <t>303</t>
  </si>
  <si>
    <t>375</t>
  </si>
  <si>
    <t>376</t>
  </si>
  <si>
    <t>378</t>
  </si>
  <si>
    <t>379</t>
  </si>
  <si>
    <t>380</t>
  </si>
  <si>
    <t>381</t>
  </si>
  <si>
    <t>382</t>
  </si>
  <si>
    <t>383</t>
  </si>
  <si>
    <t>384</t>
  </si>
  <si>
    <t>385</t>
  </si>
  <si>
    <t>387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</si>
  <si>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</si>
  <si>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</si>
  <si>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</si>
  <si>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</si>
  <si>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</si>
  <si>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</si>
  <si>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</si>
  <si>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</si>
  <si>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</si>
  <si>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41</t>
  </si>
  <si>
    <t>Jackson</t>
  </si>
  <si>
    <t>Franchise &amp; Consents</t>
  </si>
  <si>
    <t xml:space="preserve"> Custom Intangible Plant</t>
  </si>
  <si>
    <t>Land Distribution</t>
  </si>
  <si>
    <t>Structures &amp; Improvements</t>
  </si>
  <si>
    <t>Main Lines</t>
  </si>
  <si>
    <t>Meas &amp; Reg Station Eqp Gen</t>
  </si>
  <si>
    <t>Meas &amp; Reg Station Eqp City</t>
  </si>
  <si>
    <t>Services</t>
  </si>
  <si>
    <t>Meters</t>
  </si>
  <si>
    <t>Meter Installations</t>
  </si>
  <si>
    <t>House Regulators</t>
  </si>
  <si>
    <t>House Regulator Installs</t>
  </si>
  <si>
    <t>Meas &amp; Reg Station Eqp Ind</t>
  </si>
  <si>
    <t>Other Equipment</t>
  </si>
  <si>
    <t>Office Furniture &amp; Eqp.</t>
  </si>
  <si>
    <t xml:space="preserve">Stores Equipment </t>
  </si>
  <si>
    <t>Tools, Shop &amp; Garage Equip</t>
  </si>
  <si>
    <t>Laboratory Equipment</t>
  </si>
  <si>
    <t>Power Operated Equipment</t>
  </si>
  <si>
    <t>Communication Equipment</t>
  </si>
  <si>
    <t>Miscellaneous Equipment</t>
  </si>
  <si>
    <t>Total Taxable TPP</t>
  </si>
  <si>
    <t>Total All Plant</t>
  </si>
  <si>
    <t>(1)</t>
  </si>
  <si>
    <t>(2)</t>
  </si>
  <si>
    <t>(3)</t>
  </si>
  <si>
    <t>(1) x (2)</t>
  </si>
  <si>
    <t>As Booked</t>
  </si>
  <si>
    <t>Weighted Average</t>
  </si>
  <si>
    <t>________Valuation________</t>
  </si>
  <si>
    <t>100%</t>
  </si>
  <si>
    <t>Reconciled</t>
  </si>
  <si>
    <t>Unit Appraisal</t>
  </si>
  <si>
    <t>M&amp;S Inventory</t>
  </si>
  <si>
    <t>NA</t>
  </si>
  <si>
    <t>Hillsborough County</t>
  </si>
  <si>
    <t>Income Approach Indicator of Value - All Operating Property (Line 15 / Line 16)</t>
  </si>
  <si>
    <t>Income Approach Indicator of Value - All Operating Property (Line 17)</t>
  </si>
  <si>
    <t>Percent of All Property  Value Attributable to TTPP (Line 21 / Line 20)</t>
  </si>
  <si>
    <t>Income Approach Indicator of Value - TTPP (Line 22 x Line 23)</t>
  </si>
  <si>
    <t>All Property Cost Approach To Value</t>
  </si>
  <si>
    <t>Total  Taxable TPP Cost Approach to Value</t>
  </si>
  <si>
    <t>Total All Other Counties</t>
  </si>
  <si>
    <t>Total All Counties</t>
  </si>
  <si>
    <t>TTPP</t>
  </si>
  <si>
    <t>Less Depreciation &amp; Amortization (108, 115)</t>
  </si>
  <si>
    <t>Less Obsolescence</t>
  </si>
  <si>
    <t>Material &amp; Supplies Inventory</t>
  </si>
  <si>
    <t>Total System Estimate of FMV</t>
  </si>
  <si>
    <t>Estimate of FMV - TTPP Unit Apprasisal</t>
  </si>
  <si>
    <t>Estimate of FMV - Unit Apprasisal</t>
  </si>
  <si>
    <t>Estimate of Fair Market Value (All Property)</t>
  </si>
  <si>
    <t>Income Approach to Value</t>
  </si>
  <si>
    <t>NBV -  Realty</t>
  </si>
  <si>
    <t xml:space="preserve">Bay               </t>
  </si>
  <si>
    <t xml:space="preserve">Dade              </t>
  </si>
  <si>
    <t xml:space="preserve">Hillsborough      </t>
  </si>
  <si>
    <t xml:space="preserve">Marion            </t>
  </si>
  <si>
    <t xml:space="preserve">Pinellas          </t>
  </si>
  <si>
    <t xml:space="preserve">Broward           </t>
  </si>
  <si>
    <t xml:space="preserve">Lake              </t>
  </si>
  <si>
    <t xml:space="preserve">Volusia           </t>
  </si>
  <si>
    <t xml:space="preserve">Duval             </t>
  </si>
  <si>
    <t xml:space="preserve">Highlands         </t>
  </si>
  <si>
    <t xml:space="preserve">Lee               </t>
  </si>
  <si>
    <t xml:space="preserve">Orange            </t>
  </si>
  <si>
    <t xml:space="preserve">Palm Beach        </t>
  </si>
  <si>
    <t xml:space="preserve">Polk              </t>
  </si>
  <si>
    <t xml:space="preserve">Sarasota          </t>
  </si>
  <si>
    <t>374</t>
  </si>
  <si>
    <t xml:space="preserve">Manatee           </t>
  </si>
  <si>
    <t xml:space="preserve">Martin            </t>
  </si>
  <si>
    <t xml:space="preserve">Osceola           </t>
  </si>
  <si>
    <t xml:space="preserve">Putnam            </t>
  </si>
  <si>
    <t xml:space="preserve">Seminole          </t>
  </si>
  <si>
    <t xml:space="preserve">St. Johns         </t>
  </si>
  <si>
    <t xml:space="preserve">St. Lucie         </t>
  </si>
  <si>
    <t xml:space="preserve">Sumter            </t>
  </si>
  <si>
    <t xml:space="preserve">Hernando          </t>
  </si>
  <si>
    <t xml:space="preserve">Baker             </t>
  </si>
  <si>
    <t xml:space="preserve">Bradford          </t>
  </si>
  <si>
    <t xml:space="preserve">Charlotte         </t>
  </si>
  <si>
    <t xml:space="preserve">Clay              </t>
  </si>
  <si>
    <t xml:space="preserve">Collier           </t>
  </si>
  <si>
    <t xml:space="preserve">Columbia          </t>
  </si>
  <si>
    <t xml:space="preserve">Flagler           </t>
  </si>
  <si>
    <t xml:space="preserve">Hardee            </t>
  </si>
  <si>
    <t xml:space="preserve">Jackson           </t>
  </si>
  <si>
    <t xml:space="preserve">Lafayette         </t>
  </si>
  <si>
    <t xml:space="preserve">Leon              </t>
  </si>
  <si>
    <t xml:space="preserve">Levy              </t>
  </si>
  <si>
    <t xml:space="preserve">Liberty           </t>
  </si>
  <si>
    <t xml:space="preserve">Nassau            </t>
  </si>
  <si>
    <t xml:space="preserve">Pasco             </t>
  </si>
  <si>
    <t xml:space="preserve">Wakulla           </t>
  </si>
  <si>
    <t>Account</t>
  </si>
  <si>
    <t>Account Description</t>
  </si>
  <si>
    <t>description</t>
  </si>
  <si>
    <t>County</t>
  </si>
  <si>
    <t>Accum. Cost</t>
  </si>
  <si>
    <t>Transfer Out</t>
  </si>
  <si>
    <t>Transfer In</t>
  </si>
  <si>
    <t>Gas Line Equip.</t>
  </si>
  <si>
    <t>Mains - Steel</t>
  </si>
  <si>
    <t>37600 06 Mains - Steel</t>
  </si>
  <si>
    <t>Baker County</t>
  </si>
  <si>
    <t>City Gate Stations - Measu</t>
  </si>
  <si>
    <t>37900 06 City Gate Stations - Measu</t>
  </si>
  <si>
    <t>Sevice Lines</t>
  </si>
  <si>
    <t>House Regulator Installati</t>
  </si>
  <si>
    <t>Industrial Customer Regula</t>
  </si>
  <si>
    <t>Other Equipment for Distri</t>
  </si>
  <si>
    <t>Baker Total</t>
  </si>
  <si>
    <t>37600 14 Mains - Steel</t>
  </si>
  <si>
    <t>Bay County</t>
  </si>
  <si>
    <t>37800 14 Regulator Stations - Measu</t>
  </si>
  <si>
    <t>37900 14 City Gate Stations - Measu</t>
  </si>
  <si>
    <t>38000 14 Services Lines - Steel</t>
  </si>
  <si>
    <t>38100 14 Meters</t>
  </si>
  <si>
    <t>38200 14 Meter Installations</t>
  </si>
  <si>
    <t>38300 14 House Regulators</t>
  </si>
  <si>
    <t>38400 14 House Regulator Installati</t>
  </si>
  <si>
    <t>38500 14 Industrial Customer Regula</t>
  </si>
  <si>
    <t>38700 14 Other Equipment for Distri</t>
  </si>
  <si>
    <t>39100 14 Office Furniture</t>
  </si>
  <si>
    <t>39400 14 Tools, Shop, &amp; Garage Equi</t>
  </si>
  <si>
    <t>39600 14 Power Operated Equipment-H</t>
  </si>
  <si>
    <t>39700 14 Communication Equipment</t>
  </si>
  <si>
    <t>39800 14 Misc Equipment-used for ga</t>
  </si>
  <si>
    <t>Bay Total</t>
  </si>
  <si>
    <t>Bradford County</t>
  </si>
  <si>
    <t>37901 00 City Gate Station</t>
  </si>
  <si>
    <t>Bradford Total</t>
  </si>
  <si>
    <t>37600 01 Mains - Steel</t>
  </si>
  <si>
    <t>Broward County</t>
  </si>
  <si>
    <t>37800 01 Regulator Stations - Measu</t>
  </si>
  <si>
    <t>37900 01 City Gate Stations - Measu</t>
  </si>
  <si>
    <t>38000 01 Services Lines - Steel</t>
  </si>
  <si>
    <t>38300 01 House Regulators</t>
  </si>
  <si>
    <t>38400 01 House Regulator Installati</t>
  </si>
  <si>
    <t>38500 01 Industrial Customer Regula</t>
  </si>
  <si>
    <t>38700 01 Other Equipment for Distri</t>
  </si>
  <si>
    <t>39100 01 Office Furniture</t>
  </si>
  <si>
    <t>39400 90 Tools, Shop, &amp; Garage Equi</t>
  </si>
  <si>
    <t>39700 01 Communication Equipment</t>
  </si>
  <si>
    <t>Broward Total</t>
  </si>
  <si>
    <t>37600 16 Mains - Steel</t>
  </si>
  <si>
    <t>Charlotte County</t>
  </si>
  <si>
    <t>37800 16 Regulator Stations - Measu</t>
  </si>
  <si>
    <t>38002 16 Service Lines - Plastic</t>
  </si>
  <si>
    <t>38200 16 Meter Installations</t>
  </si>
  <si>
    <t>38300 16 House Regulators</t>
  </si>
  <si>
    <t>38400 16 House Regulator Installati</t>
  </si>
  <si>
    <t>Charlotte Total</t>
  </si>
  <si>
    <t>Clay County</t>
  </si>
  <si>
    <t>Regulator Stations - Measu</t>
  </si>
  <si>
    <t>37800 06 Regulator Stations - Measu</t>
  </si>
  <si>
    <t>Service Lines - Plastic</t>
  </si>
  <si>
    <t>38002 06 Service Lines - Plastic</t>
  </si>
  <si>
    <t>38500 06 Industrial Customer Regula</t>
  </si>
  <si>
    <t>Clay Total</t>
  </si>
  <si>
    <t>Collier County</t>
  </si>
  <si>
    <t>Services Lines - Steel</t>
  </si>
  <si>
    <t>Collier Total</t>
  </si>
  <si>
    <t>Columbia Total</t>
  </si>
  <si>
    <t>Dade County</t>
  </si>
  <si>
    <t>38200 01 Meter Installations</t>
  </si>
  <si>
    <t>39300 01 Stores Equipment</t>
  </si>
  <si>
    <t>39400 01 Tools, Shop, &amp; Garage Equi</t>
  </si>
  <si>
    <t>39500 90 Laboratory Equipment</t>
  </si>
  <si>
    <t>39600 01 Power Operated Equipment-H</t>
  </si>
  <si>
    <t>39800 01 Misc Equipment-used for ga</t>
  </si>
  <si>
    <t>Dade Total</t>
  </si>
  <si>
    <t>37600</t>
  </si>
  <si>
    <t>Duval County</t>
  </si>
  <si>
    <t>37800</t>
  </si>
  <si>
    <t>37900</t>
  </si>
  <si>
    <t>38000</t>
  </si>
  <si>
    <t>38000 06 Services Lines - Steel</t>
  </si>
  <si>
    <t>38200</t>
  </si>
  <si>
    <t>38200 06 Meter Installations</t>
  </si>
  <si>
    <t>38300</t>
  </si>
  <si>
    <t>38300 06 House Regulators</t>
  </si>
  <si>
    <t>38400</t>
  </si>
  <si>
    <t>38400 06 House Regulator Installati</t>
  </si>
  <si>
    <t>38500</t>
  </si>
  <si>
    <t>38700</t>
  </si>
  <si>
    <t>38700 06 Other Equipment for Distri</t>
  </si>
  <si>
    <t>39100</t>
  </si>
  <si>
    <t>Office Furniture</t>
  </si>
  <si>
    <t>39100 06 Office Furniture</t>
  </si>
  <si>
    <t>39400</t>
  </si>
  <si>
    <t>Tools, Shop, &amp; Garage Equi</t>
  </si>
  <si>
    <t>39400 06 Tools, Shop, &amp; Garage Equi</t>
  </si>
  <si>
    <t>39600</t>
  </si>
  <si>
    <t>Power Operated Equipment-H</t>
  </si>
  <si>
    <t>39600 06 Power Operated Equipment-H</t>
  </si>
  <si>
    <t>39700</t>
  </si>
  <si>
    <t>39700 06 Communication Equipment</t>
  </si>
  <si>
    <t>39800</t>
  </si>
  <si>
    <t>Misc Equipment-used for ga</t>
  </si>
  <si>
    <t>39800 06 Misc Equipment-used for ga</t>
  </si>
  <si>
    <t>Duval Total</t>
  </si>
  <si>
    <t>37600 09 Mains - Steel</t>
  </si>
  <si>
    <t>Flagler County</t>
  </si>
  <si>
    <t>Flager Total</t>
  </si>
  <si>
    <t>37600 08 Mains - Steel</t>
  </si>
  <si>
    <t>Hardee County</t>
  </si>
  <si>
    <t>37900 08 City Gate Stations - Measu</t>
  </si>
  <si>
    <t>Hardee Total</t>
  </si>
  <si>
    <t>37600 03 Mains - Steel</t>
  </si>
  <si>
    <t>Hernando County</t>
  </si>
  <si>
    <t>37800 03 Regulator Stations - Measu</t>
  </si>
  <si>
    <t>39101 03 Computer Equipment</t>
  </si>
  <si>
    <t>39400 03 Tools, Shop, &amp; Garage Equi</t>
  </si>
  <si>
    <t>Hernando Total</t>
  </si>
  <si>
    <t>37600 10 Mains - Steel</t>
  </si>
  <si>
    <t>Highlands County</t>
  </si>
  <si>
    <t>37800 10 Regulator Stations - Measu</t>
  </si>
  <si>
    <t>37900 10 City Gate Stations - Measu</t>
  </si>
  <si>
    <t>38000 10 Services Lines - Steel</t>
  </si>
  <si>
    <t>38200 10 Meter Installations</t>
  </si>
  <si>
    <t>38300 10 House Regulators</t>
  </si>
  <si>
    <t>38400 10 House Regulator Installati</t>
  </si>
  <si>
    <t>38500 10 Industrial Customer Regula</t>
  </si>
  <si>
    <t>38700 10 Other Equipment for Distri</t>
  </si>
  <si>
    <t>39100 10 Office Furniture</t>
  </si>
  <si>
    <t>39400 10 Tools, Shop, &amp; Garage Equi</t>
  </si>
  <si>
    <t>39600 10 Power Operated Equipment-H</t>
  </si>
  <si>
    <t>39800 10 Misc Equipment-used for ga</t>
  </si>
  <si>
    <t>Highlands Total</t>
  </si>
  <si>
    <t>37600 02 Mains - Steel</t>
  </si>
  <si>
    <t>37800 02 Regulator Stations - Measu</t>
  </si>
  <si>
    <t>37900 02 City Gate Stations - Measu</t>
  </si>
  <si>
    <t>38000 02 Services Lines - Steel</t>
  </si>
  <si>
    <t>38100</t>
  </si>
  <si>
    <t>38100 90 Meters</t>
  </si>
  <si>
    <t>38200 02 Meter Installations</t>
  </si>
  <si>
    <t>38300 02 House Regulators</t>
  </si>
  <si>
    <t>38400 02 House Regulator Installati</t>
  </si>
  <si>
    <t>38500 02 Industrial Customer Regula</t>
  </si>
  <si>
    <t>38700 02 Other Equipment for Distri</t>
  </si>
  <si>
    <t>39100 02 Office Furniture</t>
  </si>
  <si>
    <t>39300</t>
  </si>
  <si>
    <t>Stores Equipment</t>
  </si>
  <si>
    <t>39300 02 Stores Equipment</t>
  </si>
  <si>
    <t>39400 02 Tools, Shop, &amp; Garage Equi</t>
  </si>
  <si>
    <t>39500</t>
  </si>
  <si>
    <t>39600 02 Power Operated Equipment-H</t>
  </si>
  <si>
    <t>39700 02 Communication Equipment</t>
  </si>
  <si>
    <t>39800 02 Misc Equipment-used for ga</t>
  </si>
  <si>
    <t>Hillsborough Total</t>
  </si>
  <si>
    <t>Jackson County</t>
  </si>
  <si>
    <t>37900 15 City Gate Stations - Measu</t>
  </si>
  <si>
    <t>Lafayette Total</t>
  </si>
  <si>
    <t>37602 15 Mains - Plastic</t>
  </si>
  <si>
    <t>Lafayette County</t>
  </si>
  <si>
    <t>37600 04 Mains - Steel</t>
  </si>
  <si>
    <t>Lake County</t>
  </si>
  <si>
    <t>37800 04 Regulator Stations - Measu</t>
  </si>
  <si>
    <t>37900 05 City Gate Stations - Measu</t>
  </si>
  <si>
    <t>38000 05 Services Lines - Steel</t>
  </si>
  <si>
    <t>38200 05 Meter Installations</t>
  </si>
  <si>
    <t>38300 05 House Regulators</t>
  </si>
  <si>
    <t>38400 04 House Regulator Installati</t>
  </si>
  <si>
    <t>38500 05 Industrial Customer Regula</t>
  </si>
  <si>
    <t>38700 05 Other Equipment for Distri</t>
  </si>
  <si>
    <t>39100 05 Office Furniture</t>
  </si>
  <si>
    <t>39300 05 Stores Equipment</t>
  </si>
  <si>
    <t>39400 05 Tools, Shop, &amp; Garage Equi</t>
  </si>
  <si>
    <t>39600 05 Power Operated Equipment-H</t>
  </si>
  <si>
    <t>39700 05 Communication Equipment</t>
  </si>
  <si>
    <t>39800 05 Misc Equipment-used for ga</t>
  </si>
  <si>
    <t>Lake Total</t>
  </si>
  <si>
    <t>Lee County</t>
  </si>
  <si>
    <t>37900 16 City Gate Stations - Measu</t>
  </si>
  <si>
    <t>38000 16 Services Lines - Steel</t>
  </si>
  <si>
    <t>38500 16 Industrial Customer Regula</t>
  </si>
  <si>
    <t>38700 16 Other Equipment for Distri</t>
  </si>
  <si>
    <t>39100 16 Office Furniture</t>
  </si>
  <si>
    <t>39300 16 Stores Equipment</t>
  </si>
  <si>
    <t>39400 16 Tools, Shop, &amp; Garage Equi</t>
  </si>
  <si>
    <t>39600 16 Power Operated Equipment-H</t>
  </si>
  <si>
    <t>39700 16 Communication Equipment</t>
  </si>
  <si>
    <t>39800 16 Misc Equipment-used for ga</t>
  </si>
  <si>
    <t>Lee Total</t>
  </si>
  <si>
    <t>Leon County</t>
  </si>
  <si>
    <t>Leon Total</t>
  </si>
  <si>
    <t>Levy County</t>
  </si>
  <si>
    <t>Levy Total</t>
  </si>
  <si>
    <t>Mains - Plastic</t>
  </si>
  <si>
    <t xml:space="preserve">Liberty County  </t>
  </si>
  <si>
    <t>Liberty Total</t>
  </si>
  <si>
    <t>Manatee County</t>
  </si>
  <si>
    <t>37800 11 Regulator Stations - Measu</t>
  </si>
  <si>
    <t>37900 11 City Gate Stations - Measu</t>
  </si>
  <si>
    <t>38000 11 Services Lines - Steel</t>
  </si>
  <si>
    <t>38200 11 Meter Installations</t>
  </si>
  <si>
    <t>38400 11 House Regulator Installati</t>
  </si>
  <si>
    <t>38500 11 Industrial Customer Regula</t>
  </si>
  <si>
    <t>38700 11 Other Equipment for Distri</t>
  </si>
  <si>
    <t>39700 11 Communication Equipment</t>
  </si>
  <si>
    <t>Manatee Total</t>
  </si>
  <si>
    <t>37600 15 Mains - Steel</t>
  </si>
  <si>
    <t>Marion County</t>
  </si>
  <si>
    <t>37800 15 Regulator Stations - Measu</t>
  </si>
  <si>
    <t>38000 15 Services Lines - Steel</t>
  </si>
  <si>
    <t>38100 15 Meters</t>
  </si>
  <si>
    <t>38200 15 Meter Installations</t>
  </si>
  <si>
    <t>38300 15 House Regulators</t>
  </si>
  <si>
    <t>38400 15 House Regulator Installati</t>
  </si>
  <si>
    <t>38500 15 Industrial Customer Regula</t>
  </si>
  <si>
    <t>38700 15 Other Equipment for Distri</t>
  </si>
  <si>
    <t>39100 15 Office Furniture</t>
  </si>
  <si>
    <t>39400 15 Tools, Shop, &amp; Garage Equi</t>
  </si>
  <si>
    <t>39600 15 Power Operated Equipment-H</t>
  </si>
  <si>
    <t>39700 15 Communication Equipment</t>
  </si>
  <si>
    <t>39800 15 Misc Equipment-used for ga</t>
  </si>
  <si>
    <t>Marion Total</t>
  </si>
  <si>
    <t>37600 13 Mains - Steel</t>
  </si>
  <si>
    <t>Martin County</t>
  </si>
  <si>
    <t>37900 13 City Gate Stations - Measu</t>
  </si>
  <si>
    <t>Martin Total</t>
  </si>
  <si>
    <t>Nassau County</t>
  </si>
  <si>
    <t>Nassau Total</t>
  </si>
  <si>
    <t>Orange County</t>
  </si>
  <si>
    <t>37900 04 City Gate Stations - Measu</t>
  </si>
  <si>
    <t>38000 04 Services Lines - Steel</t>
  </si>
  <si>
    <t>38200 04 Meter Installations</t>
  </si>
  <si>
    <t>38300 04 House Regulators</t>
  </si>
  <si>
    <t>38500 04 Industrial Customer Regula</t>
  </si>
  <si>
    <t>38700 04 Other Equipment for Distri</t>
  </si>
  <si>
    <t>39100 04 Office Furniture</t>
  </si>
  <si>
    <t>39300 04 Stores Equipment</t>
  </si>
  <si>
    <t>39400 04 Tools, Shop, &amp; Garage Equi</t>
  </si>
  <si>
    <t>39600 04 Power Operated Equipment-H</t>
  </si>
  <si>
    <t>39700 04 Communication Equipment</t>
  </si>
  <si>
    <t>39800 04 Misc Equipment-used for ga</t>
  </si>
  <si>
    <t>Orange Total</t>
  </si>
  <si>
    <t>Osceola County</t>
  </si>
  <si>
    <t>Osceola Total</t>
  </si>
  <si>
    <t>Palm Beach County</t>
  </si>
  <si>
    <t>37800 13 Regulator Stations - Measu</t>
  </si>
  <si>
    <t>38000 13 Services Lines - Steel</t>
  </si>
  <si>
    <t>38200 13 Meter Installations</t>
  </si>
  <si>
    <t>38300 13 House Regulators</t>
  </si>
  <si>
    <t>38400 13 House Regulator Installati</t>
  </si>
  <si>
    <t>38500 13 Industrial Customer Regula</t>
  </si>
  <si>
    <t>38700 13 Other Equipment for Distri</t>
  </si>
  <si>
    <t>39100 13 Office Furniture</t>
  </si>
  <si>
    <t>39300 13 Stores Equipment</t>
  </si>
  <si>
    <t>39400 13 Tools, Shop, &amp; Garage Equi</t>
  </si>
  <si>
    <t>39600 13 Power Operated Equipment-H</t>
  </si>
  <si>
    <t>39700 13 Communication Equipment</t>
  </si>
  <si>
    <t>39800 13 Misc Equipment-used for ga</t>
  </si>
  <si>
    <t>Palm Beach Total</t>
  </si>
  <si>
    <t>Pasco County</t>
  </si>
  <si>
    <t>38300 03 House Regulators</t>
  </si>
  <si>
    <t>38400 03 House Regulator Installati</t>
  </si>
  <si>
    <t>38700 03 Other Equipment for Distri</t>
  </si>
  <si>
    <t>39700 03 Communication Equipment</t>
  </si>
  <si>
    <t>Pasco Total</t>
  </si>
  <si>
    <t>Pinellas County</t>
  </si>
  <si>
    <t>37900 03 City Gate Stations - Measu</t>
  </si>
  <si>
    <t>38000 03 Services Lines - Steel</t>
  </si>
  <si>
    <t>38200 03 Meter Installations</t>
  </si>
  <si>
    <t>38500 03 Industrial Customer Regula</t>
  </si>
  <si>
    <t>39100 03 Office Furniture</t>
  </si>
  <si>
    <t>39600 03 Power Operated Equipment-H</t>
  </si>
  <si>
    <t>39800 03 Misc Equipment-used for ga</t>
  </si>
  <si>
    <t>Pinellas Total</t>
  </si>
  <si>
    <t>Polk County</t>
  </si>
  <si>
    <t>38000 08 Services Lines - Steel</t>
  </si>
  <si>
    <t>38200 08 Meter Installations</t>
  </si>
  <si>
    <t>38300 08 House Regulators</t>
  </si>
  <si>
    <t>38500 08 Industrial Customer Regula</t>
  </si>
  <si>
    <t>38700 08 Other Equipment for Distri</t>
  </si>
  <si>
    <t>39100 08 Office Furniture</t>
  </si>
  <si>
    <t>39300 08 Stores Equipment</t>
  </si>
  <si>
    <t>39400 08 Tools, Shop, &amp; Garage Equi</t>
  </si>
  <si>
    <t>39600 08 Power Operated Equipment-H</t>
  </si>
  <si>
    <t>39700 08 Communication Equipment</t>
  </si>
  <si>
    <t>39800 08 Misc Equipment-used for ga</t>
  </si>
  <si>
    <t>Polk Total</t>
  </si>
  <si>
    <t>Putnam Total</t>
  </si>
  <si>
    <t>37600 11 Mains - Steel</t>
  </si>
  <si>
    <t>Sarasota County</t>
  </si>
  <si>
    <t>38300 11 House Regulators</t>
  </si>
  <si>
    <t>39100 11 Office Furniture</t>
  </si>
  <si>
    <t>39400 11 Tools, Shop, &amp; Garage Equi</t>
  </si>
  <si>
    <t>39600 11 Power Operated Equipment-H</t>
  </si>
  <si>
    <t>39800 11 Misc Equipment-used for ga</t>
  </si>
  <si>
    <t>Sarasota Total</t>
  </si>
  <si>
    <t>Seminole County</t>
  </si>
  <si>
    <t>Seminole Total</t>
  </si>
  <si>
    <t>St. Johns Total</t>
  </si>
  <si>
    <t>37600 90 Mains - Steel</t>
  </si>
  <si>
    <t>St Lucie County</t>
  </si>
  <si>
    <t>St. Lucie Total</t>
  </si>
  <si>
    <t>Sumter County</t>
  </si>
  <si>
    <t>Sumter Total</t>
  </si>
  <si>
    <t>Volusia County</t>
  </si>
  <si>
    <t>37900 09 City Gate Stations - Measu</t>
  </si>
  <si>
    <t>38000 09 Services Lines - Steel</t>
  </si>
  <si>
    <t>38200 09 Meter Installations</t>
  </si>
  <si>
    <t>38300 09 House Regulators</t>
  </si>
  <si>
    <t>38500 09 Industrial Customer Regula</t>
  </si>
  <si>
    <t>38700 09 Other Equipment for Distri</t>
  </si>
  <si>
    <t>39100 09 Office Furniture</t>
  </si>
  <si>
    <t>39400 09 Tools, Shop, &amp; Garage Equi</t>
  </si>
  <si>
    <t>39600 09 Power Operated Equipment-H</t>
  </si>
  <si>
    <t>39700 09 Communication Equipment</t>
  </si>
  <si>
    <t>39800 09 Misc Equipment-used for ga</t>
  </si>
  <si>
    <t>Volusia Total</t>
  </si>
  <si>
    <t>Washington County</t>
  </si>
  <si>
    <t>Washington Total</t>
  </si>
  <si>
    <t>Wakulla County</t>
  </si>
  <si>
    <t>Wakulla Total</t>
  </si>
  <si>
    <t>GRAND TOTAL</t>
  </si>
  <si>
    <t>Plant in servive</t>
  </si>
  <si>
    <t>Total Property (TPP) @ Cost</t>
  </si>
  <si>
    <t>From Bills Tab!</t>
  </si>
  <si>
    <t>Amount to add to each county</t>
  </si>
  <si>
    <t>as allocated:</t>
  </si>
  <si>
    <t>Distribution reallocation:</t>
  </si>
  <si>
    <t xml:space="preserve">Distribution System by County </t>
  </si>
  <si>
    <t>Plant</t>
  </si>
  <si>
    <t>Total for each plant account:</t>
  </si>
  <si>
    <t>Note: Plant Accting not accurate at the county level</t>
  </si>
  <si>
    <t>Co.</t>
  </si>
  <si>
    <t>B</t>
  </si>
  <si>
    <t>Division 1</t>
  </si>
  <si>
    <t>D</t>
  </si>
  <si>
    <t xml:space="preserve">Broward </t>
  </si>
  <si>
    <t>Division 3</t>
  </si>
  <si>
    <t xml:space="preserve">Hernando </t>
  </si>
  <si>
    <t>Division 4</t>
  </si>
  <si>
    <t>Pa</t>
  </si>
  <si>
    <t>Division 6</t>
  </si>
  <si>
    <t>Pi</t>
  </si>
  <si>
    <t xml:space="preserve">Nassau </t>
  </si>
  <si>
    <t>Baker</t>
  </si>
  <si>
    <t>Division 11</t>
  </si>
  <si>
    <t>Division 15</t>
  </si>
  <si>
    <t>Or</t>
  </si>
  <si>
    <t>Os</t>
  </si>
  <si>
    <t>38002</t>
  </si>
  <si>
    <t>S</t>
  </si>
  <si>
    <t>Division 16</t>
  </si>
  <si>
    <t xml:space="preserve">Collier </t>
  </si>
  <si>
    <t>Division 14</t>
  </si>
  <si>
    <t>Division 9</t>
  </si>
  <si>
    <t>Volusia</t>
  </si>
  <si>
    <t>Flagler</t>
  </si>
  <si>
    <t>SJ</t>
  </si>
  <si>
    <t>M</t>
  </si>
  <si>
    <t>L</t>
  </si>
  <si>
    <t>V</t>
  </si>
  <si>
    <t>38101</t>
  </si>
  <si>
    <t>Total Meters</t>
  </si>
  <si>
    <t>Meter Allocation:</t>
  </si>
  <si>
    <t>Percentage of</t>
  </si>
  <si>
    <t>Meter</t>
  </si>
  <si>
    <t>Bills</t>
  </si>
  <si>
    <t>Total Bills</t>
  </si>
  <si>
    <t>PEOPLES GAS SYSTEM</t>
  </si>
  <si>
    <t>County Allocation Factors</t>
  </si>
  <si>
    <t>ALLOCATION</t>
  </si>
  <si>
    <t>FACTOR</t>
  </si>
  <si>
    <t>PLANT</t>
  </si>
  <si>
    <t>SUPPLIES</t>
  </si>
  <si>
    <t>TOTAL</t>
  </si>
  <si>
    <t>Number of Bills Per County:</t>
  </si>
  <si>
    <t xml:space="preserve">% of </t>
  </si>
  <si>
    <t>Division</t>
  </si>
  <si>
    <t>Coconut Creek</t>
  </si>
  <si>
    <t>Cooper City</t>
  </si>
  <si>
    <t>Coral Springs</t>
  </si>
  <si>
    <t xml:space="preserve">Dania </t>
  </si>
  <si>
    <t>01100-BROWARD COUNTY</t>
  </si>
  <si>
    <t>Davie</t>
  </si>
  <si>
    <t>01101-MIAMI (METRO DADE)</t>
  </si>
  <si>
    <t>Deerfield Beach</t>
  </si>
  <si>
    <t>01110-BAL HARBOR</t>
  </si>
  <si>
    <t>Ft. Lauderdale</t>
  </si>
  <si>
    <t>01112-BAY HARBOR ISLANDS</t>
  </si>
  <si>
    <t>Hallendale</t>
  </si>
  <si>
    <t>01114-BISCAYNE PARK</t>
  </si>
  <si>
    <t>Hollywood</t>
  </si>
  <si>
    <t>01116-DANIA</t>
  </si>
  <si>
    <t>Lauderdale Lakes</t>
  </si>
  <si>
    <t>01118-DAVIE</t>
  </si>
  <si>
    <t>Lauderdale-by-the-Sea</t>
  </si>
  <si>
    <t>01120-EL PORTAL</t>
  </si>
  <si>
    <t>Lauderhill</t>
  </si>
  <si>
    <t>01122-FT LAUDERDALE</t>
  </si>
  <si>
    <t>Lighthouse Point</t>
  </si>
  <si>
    <t>01124-GOLDEN BEACH</t>
  </si>
  <si>
    <t>Margate</t>
  </si>
  <si>
    <t>01126-HALLANDALE</t>
  </si>
  <si>
    <t>Melrose Park</t>
  </si>
  <si>
    <t>01128-HOLLYWOOD</t>
  </si>
  <si>
    <t>North Lauderdale</t>
  </si>
  <si>
    <t>01130-INDIAN CREEK</t>
  </si>
  <si>
    <t>Oakland Park</t>
  </si>
  <si>
    <t>01132-LAUDERDALE BY T' SEA</t>
  </si>
  <si>
    <t>Parkland</t>
  </si>
  <si>
    <t>01134-LAUDERDALE LAKES</t>
  </si>
  <si>
    <t>Pembroke Park</t>
  </si>
  <si>
    <t>01136-LIGHTHOUSE POINT</t>
  </si>
  <si>
    <t>Pembroke Pines</t>
  </si>
  <si>
    <t>01138-MARGATE</t>
  </si>
  <si>
    <t>Plantation</t>
  </si>
  <si>
    <t>01142-MIAMI</t>
  </si>
  <si>
    <t>Pompano Beach</t>
  </si>
  <si>
    <t>01144-MIAMI BEACH</t>
  </si>
  <si>
    <t>Sunrise</t>
  </si>
  <si>
    <t>01146-MIAMI SHORES</t>
  </si>
  <si>
    <t>Tamarac</t>
  </si>
  <si>
    <t>01148-NORTH BAY VILLAGE</t>
  </si>
  <si>
    <t>Weston</t>
  </si>
  <si>
    <t>01150-NORTH MIAMI</t>
  </si>
  <si>
    <t>Total Broward Co.</t>
  </si>
  <si>
    <t>01152-NORTH MIAMI BEACH</t>
  </si>
  <si>
    <t>01154-OAKLAND PARK</t>
  </si>
  <si>
    <t>Aventura</t>
  </si>
  <si>
    <t>01156-PARKLAND</t>
  </si>
  <si>
    <t>Bal Harbor</t>
  </si>
  <si>
    <t>01158-PEMBROKE PINES</t>
  </si>
  <si>
    <t>Bay Harbor Islands</t>
  </si>
  <si>
    <t>01160-PLANTATION</t>
  </si>
  <si>
    <t>Biscayne Park</t>
  </si>
  <si>
    <t>01162-POMPANO BEACH</t>
  </si>
  <si>
    <t>01164-SURFSIDE</t>
  </si>
  <si>
    <t>El Portal</t>
  </si>
  <si>
    <t>01166-SUNRISE</t>
  </si>
  <si>
    <t>Golden Beach</t>
  </si>
  <si>
    <t>01168-TAMARAC</t>
  </si>
  <si>
    <t>Indian Creek</t>
  </si>
  <si>
    <t>01170-COCONUT CREEK</t>
  </si>
  <si>
    <t>Miami</t>
  </si>
  <si>
    <t>01172-COOPER CITY</t>
  </si>
  <si>
    <t>01174-CORAL SPRINGS</t>
  </si>
  <si>
    <t>County (Metro Dade)</t>
  </si>
  <si>
    <t>01176-DEERFIELD BEACH</t>
  </si>
  <si>
    <t>Miami Beach</t>
  </si>
  <si>
    <t>01180-NORTH LAUDERDALE</t>
  </si>
  <si>
    <t>Miami Shores</t>
  </si>
  <si>
    <t>01182-LAUDERHILL</t>
  </si>
  <si>
    <t>North Bay Village</t>
  </si>
  <si>
    <t>01184-AVENTURA</t>
  </si>
  <si>
    <t>North Miami</t>
  </si>
  <si>
    <t>01186-CITY-SUNNY ISLES BCH</t>
  </si>
  <si>
    <t>North Miami Beach</t>
  </si>
  <si>
    <t>01188-WESTON</t>
  </si>
  <si>
    <t>Sunny Isles Beach</t>
  </si>
  <si>
    <t>01700-DADE COUNTY</t>
  </si>
  <si>
    <t>Surfside</t>
  </si>
  <si>
    <t>01710-MIAMI</t>
  </si>
  <si>
    <t>Total Dade Co.</t>
  </si>
  <si>
    <t>02200-HILLSBOROUGH COUNTY</t>
  </si>
  <si>
    <t>02210-TEMPLE TERRACE</t>
  </si>
  <si>
    <t>Total Division 1</t>
  </si>
  <si>
    <t>02220-TAMPA</t>
  </si>
  <si>
    <t>02230-PASCO COUNTY</t>
  </si>
  <si>
    <t>Division 2</t>
  </si>
  <si>
    <t>02234-ZEPHRYHILLS</t>
  </si>
  <si>
    <t>02235-SAN ANTONIO</t>
  </si>
  <si>
    <t>Temple Terrace</t>
  </si>
  <si>
    <t>02240-DADE CITY</t>
  </si>
  <si>
    <t>Tampa</t>
  </si>
  <si>
    <t>02290-ST. LEO</t>
  </si>
  <si>
    <t>Total Hillsborough Co. (Div. 2)</t>
  </si>
  <si>
    <t>03300-PINELLAS COUNTY</t>
  </si>
  <si>
    <t>County (from Div. 8)</t>
  </si>
  <si>
    <t>03310-CLEARWATER</t>
  </si>
  <si>
    <t xml:space="preserve">Total Hillsborough Co. </t>
  </si>
  <si>
    <t>03312-GULF PORT</t>
  </si>
  <si>
    <t>--Line not included in Div. 2 total</t>
  </si>
  <si>
    <t>03314-LARGO</t>
  </si>
  <si>
    <t>03316-KENNETH CITY</t>
  </si>
  <si>
    <t>Dade City</t>
  </si>
  <si>
    <t>03318-MADEIRA BEACH</t>
  </si>
  <si>
    <t>San Antomio</t>
  </si>
  <si>
    <t>03322-PINELLAS PARK</t>
  </si>
  <si>
    <t>St. Leo</t>
  </si>
  <si>
    <t>03324-REDINGTON BEACH</t>
  </si>
  <si>
    <t>Zephyrhills</t>
  </si>
  <si>
    <t>03326-SEMINOLE</t>
  </si>
  <si>
    <t>Total Pasco Co. (Div. 2)</t>
  </si>
  <si>
    <t>03328-SOUTH PASADENA</t>
  </si>
  <si>
    <t>County (from Div. 3)</t>
  </si>
  <si>
    <t>03330-ST PETERSBURG</t>
  </si>
  <si>
    <t xml:space="preserve">Total Pasco Co. </t>
  </si>
  <si>
    <t>03332-ST PETERSBURGBEACH</t>
  </si>
  <si>
    <t>03334-SEMINOLE</t>
  </si>
  <si>
    <t>Total Division 2</t>
  </si>
  <si>
    <t>03336-TREASURE ISLAND</t>
  </si>
  <si>
    <t>03350-PASCO COUNTY</t>
  </si>
  <si>
    <t>03370-HERNANDO COUNTY</t>
  </si>
  <si>
    <t>03375-BROOKSVILLE</t>
  </si>
  <si>
    <t>Clearwater</t>
  </si>
  <si>
    <t>04400-SEMINOLE COUNTY</t>
  </si>
  <si>
    <t>Gulfport</t>
  </si>
  <si>
    <t>04401-ORANGE COUNTY</t>
  </si>
  <si>
    <t>Kenneth City</t>
  </si>
  <si>
    <t>04402-OSCEOLA COUNTY</t>
  </si>
  <si>
    <t>Largo</t>
  </si>
  <si>
    <t>04403-POLK COUNTY</t>
  </si>
  <si>
    <t>Madeira Beach</t>
  </si>
  <si>
    <t>04404-LAKE COUNTY</t>
  </si>
  <si>
    <t>Pinellas Park</t>
  </si>
  <si>
    <t>04410-ALTAMONTE SPRINGS</t>
  </si>
  <si>
    <t>Redington Beach</t>
  </si>
  <si>
    <t>04412-BELLE ISLE</t>
  </si>
  <si>
    <t>04414-CASSELBERRY</t>
  </si>
  <si>
    <t>04416-CASSELBERRY</t>
  </si>
  <si>
    <t>South Pasadena</t>
  </si>
  <si>
    <t>04420-EDGEWOOD</t>
  </si>
  <si>
    <t>St. Petersburg</t>
  </si>
  <si>
    <t>04422-KISSIMMEE</t>
  </si>
  <si>
    <t>St. Petersburg Beach</t>
  </si>
  <si>
    <t>04424-LONGWOOD</t>
  </si>
  <si>
    <t>Treasure Island</t>
  </si>
  <si>
    <t>04426-LONGWOOD</t>
  </si>
  <si>
    <t xml:space="preserve">Total Pinellas Co. </t>
  </si>
  <si>
    <t>04428-MAITLAND</t>
  </si>
  <si>
    <t>04432-ORLANDO</t>
  </si>
  <si>
    <t>04434-WINTER PARK</t>
  </si>
  <si>
    <t>Total Pasco Co. (to Div. 2)</t>
  </si>
  <si>
    <t>04444-OVIEDO</t>
  </si>
  <si>
    <t>04450-CELEBRATION COMMUNTY</t>
  </si>
  <si>
    <t>05500-LAKE COUNTY</t>
  </si>
  <si>
    <t>Brooksville</t>
  </si>
  <si>
    <t>05502-ORANGE COUNTY</t>
  </si>
  <si>
    <t>Total Hernando Co.</t>
  </si>
  <si>
    <t>05510-EUSTIS</t>
  </si>
  <si>
    <t>05511-EUSTIS*</t>
  </si>
  <si>
    <t>Total Division 3</t>
  </si>
  <si>
    <t>05512-HOWEY IN THE HILLS</t>
  </si>
  <si>
    <t>05514-MT DORA</t>
  </si>
  <si>
    <t>05516-MT DORA</t>
  </si>
  <si>
    <t>05518-TAVARES</t>
  </si>
  <si>
    <t>Altamonte Springs</t>
  </si>
  <si>
    <t>05520-UMATILLA</t>
  </si>
  <si>
    <t>Casselberry</t>
  </si>
  <si>
    <t>06600-CLAY COUNTY</t>
  </si>
  <si>
    <t>06601-DUVAL COUNTY</t>
  </si>
  <si>
    <t>Longwood</t>
  </si>
  <si>
    <t>06602-ST. JOHNS COUNTY</t>
  </si>
  <si>
    <t>06603-BAKER COUNTY</t>
  </si>
  <si>
    <t>Oviedo</t>
  </si>
  <si>
    <t>06604-COLUMBIA COUNTY</t>
  </si>
  <si>
    <t>Total Seminole Co.</t>
  </si>
  <si>
    <t>06605-NASSAU COUNTY</t>
  </si>
  <si>
    <t>06606-PUTNAM COUNTY</t>
  </si>
  <si>
    <t>06608-BRADFORD COUNTY</t>
  </si>
  <si>
    <t>Belle Isle</t>
  </si>
  <si>
    <t>06610-JACKSONVILLE</t>
  </si>
  <si>
    <t>Edgewood</t>
  </si>
  <si>
    <t>06612-NEPTUNE BEACH</t>
  </si>
  <si>
    <t>Maitland</t>
  </si>
  <si>
    <t>06614-ATLANTIC BEACH</t>
  </si>
  <si>
    <t>Orlando</t>
  </si>
  <si>
    <t>06616-JACKSONVILLE BEACH</t>
  </si>
  <si>
    <t>Winter Park</t>
  </si>
  <si>
    <t>06620,21 -ORANGE PARK</t>
  </si>
  <si>
    <t>Total Orange Co. (Div. 4)</t>
  </si>
  <si>
    <t>06624-MACCLENNY</t>
  </si>
  <si>
    <t>County (from Div. 5)</t>
  </si>
  <si>
    <t>06630-ST. AUGUSTINE</t>
  </si>
  <si>
    <t>Total Orange Co.</t>
  </si>
  <si>
    <t>06670-ST. AUGUSTINE BEACH</t>
  </si>
  <si>
    <t>08800-POLK COUNTY</t>
  </si>
  <si>
    <t>08805-HILLSBOROUGH COUNTY</t>
  </si>
  <si>
    <t>Kissimmee</t>
  </si>
  <si>
    <t>08806-HARDEE COUNTY</t>
  </si>
  <si>
    <t>Celebration</t>
  </si>
  <si>
    <t>08810-LAKELAND</t>
  </si>
  <si>
    <t>Total Osceola Co.</t>
  </si>
  <si>
    <t>08830-MULBERRY</t>
  </si>
  <si>
    <t>09900-VOLUSIA COUNTY</t>
  </si>
  <si>
    <t>09901-FLAGLER COUNTY</t>
  </si>
  <si>
    <t>Total Polk Co. (to Div. 8)</t>
  </si>
  <si>
    <t>09910-DAYTONA BEACH</t>
  </si>
  <si>
    <t>09912-DAYTONA BEACH SHORES</t>
  </si>
  <si>
    <t>09914-HOLLY HILL</t>
  </si>
  <si>
    <t>Total Lake Co. (to Div. 5)</t>
  </si>
  <si>
    <t>09916-ORMOND BEACH</t>
  </si>
  <si>
    <t>09918-PORT ORANGE</t>
  </si>
  <si>
    <t>Total Division 4</t>
  </si>
  <si>
    <t>09920-SOUTH DAYTONA</t>
  </si>
  <si>
    <t>09930-PALM COAST</t>
  </si>
  <si>
    <t>Division 5</t>
  </si>
  <si>
    <t>09935-BUNNELL</t>
  </si>
  <si>
    <t>09940-FLAGLER BEACH</t>
  </si>
  <si>
    <t>Eustis</t>
  </si>
  <si>
    <t>10001-HIGHLANDS COUNTY</t>
  </si>
  <si>
    <t>Eustis*</t>
  </si>
  <si>
    <t>10005-POLK COUNTY</t>
  </si>
  <si>
    <t>Howey in the Hills</t>
  </si>
  <si>
    <t>10010-AVON PARK</t>
  </si>
  <si>
    <t>Mt. Dora</t>
  </si>
  <si>
    <t>10012-FROSTPROOF</t>
  </si>
  <si>
    <t>11030-SARASOTA COUNTY</t>
  </si>
  <si>
    <t>Tavares</t>
  </si>
  <si>
    <t>11032-MANATEE COUNTY</t>
  </si>
  <si>
    <t>Umatilla</t>
  </si>
  <si>
    <t>11038-NORTH PORT</t>
  </si>
  <si>
    <t>Total Lake Co. (div. 5)</t>
  </si>
  <si>
    <t>11040-SARASOTA</t>
  </si>
  <si>
    <t>County (from Div. 4)</t>
  </si>
  <si>
    <t>11042-PALMETTO</t>
  </si>
  <si>
    <t>County (from Div. 15)</t>
  </si>
  <si>
    <t>Total Lake Co.</t>
  </si>
  <si>
    <t>11044-BRADENTON</t>
  </si>
  <si>
    <t>Lady Lake (from Div. 15)</t>
  </si>
  <si>
    <t>11046-LONGBOAT KEY</t>
  </si>
  <si>
    <t>11048-LONGBOAT KEY-MANA</t>
  </si>
  <si>
    <t>11050-VENICE</t>
  </si>
  <si>
    <t>11060-CHARLOTTE</t>
  </si>
  <si>
    <t>Total Orange Co. (to Div. 4)</t>
  </si>
  <si>
    <t>11070-BRADENTON BEACH</t>
  </si>
  <si>
    <t>11080-HOLMES BEACH</t>
  </si>
  <si>
    <t>Total Division 5</t>
  </si>
  <si>
    <t>11200-HILLSBOROUGH COUNTY</t>
  </si>
  <si>
    <t>13020-STUART</t>
  </si>
  <si>
    <t>13060-PALM BEACH COUNTY</t>
  </si>
  <si>
    <t>13065-JUPITER</t>
  </si>
  <si>
    <t>Orange Park</t>
  </si>
  <si>
    <t>13070-LAKE PARK</t>
  </si>
  <si>
    <t>Total Clay Co.</t>
  </si>
  <si>
    <t>13075-PALM BEACH GARDENS</t>
  </si>
  <si>
    <t>13080-MARTIN COUNTY</t>
  </si>
  <si>
    <t>13090-ST LUCIE COUNTY</t>
  </si>
  <si>
    <t>Jacksonville</t>
  </si>
  <si>
    <t>14100-BAY COUNTY</t>
  </si>
  <si>
    <t>Neptune Beach</t>
  </si>
  <si>
    <t>14110-PANAMA CITY</t>
  </si>
  <si>
    <t>Atlantic Beach</t>
  </si>
  <si>
    <t>14120-PANAMA CITY BEACH</t>
  </si>
  <si>
    <t>Total Duval Co.</t>
  </si>
  <si>
    <t>14130-PARKER</t>
  </si>
  <si>
    <t>14140-LYNN HAVEN</t>
  </si>
  <si>
    <t>St. Augustine</t>
  </si>
  <si>
    <t>14150-CALLAWAY</t>
  </si>
  <si>
    <t>St. Augustine Beach</t>
  </si>
  <si>
    <t>14170-SPRINGFIELD</t>
  </si>
  <si>
    <t>Total St. Johns Co.</t>
  </si>
  <si>
    <t>14180-WAKULLA COUNTY</t>
  </si>
  <si>
    <t>14185-JACKSON COUNTY</t>
  </si>
  <si>
    <t>14195-LIBERTY COUNTY</t>
  </si>
  <si>
    <t>15060-WILDWOOD</t>
  </si>
  <si>
    <t>Macclenny</t>
  </si>
  <si>
    <t>15100-MARION COUNTY</t>
  </si>
  <si>
    <t>Total Baker Co.</t>
  </si>
  <si>
    <t>15104-LAFAYETTE COUNTY</t>
  </si>
  <si>
    <t>15110-OCALA</t>
  </si>
  <si>
    <t>15120-SUMTER COUNTY</t>
  </si>
  <si>
    <t>Total Columbia Co.</t>
  </si>
  <si>
    <t>15130-BELLEVIEW-R</t>
  </si>
  <si>
    <t>15135-BELLEVIEW-C</t>
  </si>
  <si>
    <t>15165-LEVY</t>
  </si>
  <si>
    <t>Total Nassau Co.</t>
  </si>
  <si>
    <t>15170-LAKE</t>
  </si>
  <si>
    <t>15180-TOWN OF LADY LAKE</t>
  </si>
  <si>
    <t>16102-CHARLOTTE COUNTY</t>
  </si>
  <si>
    <t>Total Putnam Co.</t>
  </si>
  <si>
    <t>16103-LEE COUNTY</t>
  </si>
  <si>
    <t>16104-COLLIER COUNTY</t>
  </si>
  <si>
    <t>Total Division 6</t>
  </si>
  <si>
    <t>16191-BONITA SPRINGS</t>
  </si>
  <si>
    <t>16193-FORT MYERS BEACH</t>
  </si>
  <si>
    <t>Division 8</t>
  </si>
  <si>
    <t>16196-CAPE CORAL</t>
  </si>
  <si>
    <t>16197-PUNTA GORDA</t>
  </si>
  <si>
    <t>16198-FORT MYERS</t>
  </si>
  <si>
    <t>Lakeland</t>
  </si>
  <si>
    <t>16199-NAPLES</t>
  </si>
  <si>
    <t>Mulberry</t>
  </si>
  <si>
    <t>Total Polk Co. (Div. 8)</t>
  </si>
  <si>
    <t>Total Division 8</t>
  </si>
  <si>
    <t>Daytona Beach</t>
  </si>
  <si>
    <t>Daytona Beach Shores</t>
  </si>
  <si>
    <t>Holly Hill</t>
  </si>
  <si>
    <t>Ormond Beach</t>
  </si>
  <si>
    <t>Port Orange</t>
  </si>
  <si>
    <t>South Daytona</t>
  </si>
  <si>
    <t>Total Volusia Co.</t>
  </si>
  <si>
    <t>Palm Coast</t>
  </si>
  <si>
    <t>Bunnel</t>
  </si>
  <si>
    <t xml:space="preserve">Total Flagler Co. </t>
  </si>
  <si>
    <t>Total Division 9</t>
  </si>
  <si>
    <t>Division 10</t>
  </si>
  <si>
    <t>Avon Park</t>
  </si>
  <si>
    <t>Total Highlands Co.</t>
  </si>
  <si>
    <t>Frostproof</t>
  </si>
  <si>
    <t>Total Division 10</t>
  </si>
  <si>
    <t>North Port</t>
  </si>
  <si>
    <t>Longboat Key - Sarasota</t>
  </si>
  <si>
    <t>Venice</t>
  </si>
  <si>
    <t>Total Sarasota Co.</t>
  </si>
  <si>
    <t>Palmetto</t>
  </si>
  <si>
    <t>Bradenton</t>
  </si>
  <si>
    <t>Longboat Key - Manatee</t>
  </si>
  <si>
    <t>Bradenton Beach</t>
  </si>
  <si>
    <t>Holmes Beach</t>
  </si>
  <si>
    <t>Total Manatee Co.</t>
  </si>
  <si>
    <t>Total Charlotte Co. (to Div. 16)</t>
  </si>
  <si>
    <t>Total Division 11</t>
  </si>
  <si>
    <t>Division 13</t>
  </si>
  <si>
    <t>Stuart</t>
  </si>
  <si>
    <t>Total Martin Co.</t>
  </si>
  <si>
    <t>Jupiter</t>
  </si>
  <si>
    <t>Lake Park</t>
  </si>
  <si>
    <t>Palm Beach Gardens</t>
  </si>
  <si>
    <t>Total Palm Beach Co.</t>
  </si>
  <si>
    <t>Total St. Lucie Co.</t>
  </si>
  <si>
    <t>Total Division 13</t>
  </si>
  <si>
    <t>Panama City</t>
  </si>
  <si>
    <t>Panama City Beach</t>
  </si>
  <si>
    <t>Parker</t>
  </si>
  <si>
    <t>Lynn Haven</t>
  </si>
  <si>
    <t>Callaway</t>
  </si>
  <si>
    <t>Cedar Grove</t>
  </si>
  <si>
    <t>Springfield</t>
  </si>
  <si>
    <t>Total Bay Co.</t>
  </si>
  <si>
    <t>Total Liberty Co.</t>
  </si>
  <si>
    <t>Total Wakulla Co.</t>
  </si>
  <si>
    <t>Total Division 14</t>
  </si>
  <si>
    <t>Ocala</t>
  </si>
  <si>
    <t>Belleview-R</t>
  </si>
  <si>
    <t>Belleview-C</t>
  </si>
  <si>
    <t>Total Marion Co.</t>
  </si>
  <si>
    <t>Wilwood</t>
  </si>
  <si>
    <t>Total Sumter Co.</t>
  </si>
  <si>
    <t>Total Levy Co.</t>
  </si>
  <si>
    <t>Total Lafayette Co.</t>
  </si>
  <si>
    <t>Lady Lake</t>
  </si>
  <si>
    <t>Total Division 15</t>
  </si>
  <si>
    <t>Punta Gorda</t>
  </si>
  <si>
    <t xml:space="preserve">Total Charlotte Co. </t>
  </si>
  <si>
    <t>County (from Div. 11)</t>
  </si>
  <si>
    <t>Total Charlotte Co.</t>
  </si>
  <si>
    <t>Bonita Springs</t>
  </si>
  <si>
    <t>Fort Myers Beach</t>
  </si>
  <si>
    <t>Cape Coral</t>
  </si>
  <si>
    <t>Fort Myers</t>
  </si>
  <si>
    <t>Total Lee Co.</t>
  </si>
  <si>
    <t>Naples</t>
  </si>
  <si>
    <t>Total Collier Co.</t>
  </si>
  <si>
    <t>Total Division 16</t>
  </si>
  <si>
    <t>Original Cost</t>
  </si>
  <si>
    <t>Baker County Total</t>
  </si>
  <si>
    <t>Bay County Total</t>
  </si>
  <si>
    <t xml:space="preserve">Bradford County Total </t>
  </si>
  <si>
    <t>Broward County Total</t>
  </si>
  <si>
    <t xml:space="preserve">Charlotte County Total </t>
  </si>
  <si>
    <t>Clay County Total</t>
  </si>
  <si>
    <t xml:space="preserve">Collier County Total </t>
  </si>
  <si>
    <t>Columbia County</t>
  </si>
  <si>
    <t>Columbia County Total</t>
  </si>
  <si>
    <t>Dade County Total</t>
  </si>
  <si>
    <t>Duval County Total</t>
  </si>
  <si>
    <t xml:space="preserve">Flager County Total </t>
  </si>
  <si>
    <t xml:space="preserve">Hardee County Total </t>
  </si>
  <si>
    <t>39101</t>
  </si>
  <si>
    <t>Computer Equipment</t>
  </si>
  <si>
    <t>Hernando County Total</t>
  </si>
  <si>
    <t>Highlands County Total</t>
  </si>
  <si>
    <t>Hillsborough County Total</t>
  </si>
  <si>
    <t>Jackson County Total</t>
  </si>
  <si>
    <t>37602</t>
  </si>
  <si>
    <t xml:space="preserve">Lafayette County Total </t>
  </si>
  <si>
    <t>Lake County Total</t>
  </si>
  <si>
    <t>Total lake</t>
  </si>
  <si>
    <t>Lee County Total</t>
  </si>
  <si>
    <t>Leon County Total</t>
  </si>
  <si>
    <t>Levy County Total</t>
  </si>
  <si>
    <t>Liberty County Total</t>
  </si>
  <si>
    <t>Manatee County Total</t>
  </si>
  <si>
    <t>Marion County Total</t>
  </si>
  <si>
    <t>Martin County Total</t>
  </si>
  <si>
    <t>Nassau County Total</t>
  </si>
  <si>
    <t>Orange County Total</t>
  </si>
  <si>
    <t>Total Orange</t>
  </si>
  <si>
    <t xml:space="preserve">Osceola County Total </t>
  </si>
  <si>
    <t>Palm Beach County Total</t>
  </si>
  <si>
    <t>Pasco County Total</t>
  </si>
  <si>
    <t>Pinellas County Total</t>
  </si>
  <si>
    <t>Polk County Total</t>
  </si>
  <si>
    <t>Putnam County</t>
  </si>
  <si>
    <t>Putnam County Total</t>
  </si>
  <si>
    <t>Sarasota County Total</t>
  </si>
  <si>
    <t xml:space="preserve">Seminole County Total </t>
  </si>
  <si>
    <t xml:space="preserve">St. Johns County Total </t>
  </si>
  <si>
    <t xml:space="preserve">St. Lucie County Total </t>
  </si>
  <si>
    <t xml:space="preserve">Sumter County Total </t>
  </si>
  <si>
    <t>Volusia County Total</t>
  </si>
  <si>
    <t>Wakulla County Total</t>
  </si>
  <si>
    <t>Peoples Gas System 2013 Property Tax Return</t>
  </si>
  <si>
    <t>2013 Property Tax Return</t>
  </si>
  <si>
    <t>Note: from M06B - November 2012</t>
  </si>
  <si>
    <t>Main Gas Lines</t>
  </si>
  <si>
    <t>Total Charlotte County</t>
  </si>
  <si>
    <t>Belleview</t>
  </si>
  <si>
    <t>Wildwood</t>
  </si>
  <si>
    <t>Total Jackson Co.</t>
  </si>
  <si>
    <t>Flagler Beach</t>
  </si>
  <si>
    <t xml:space="preserve">Hardee County </t>
  </si>
  <si>
    <t>Hills County</t>
  </si>
  <si>
    <t>Jax Beach</t>
  </si>
  <si>
    <t>Total Bradford Co.</t>
  </si>
  <si>
    <t>Tampa Electric Company - Gas Division</t>
  </si>
  <si>
    <t>Input to DR-405, Tangible Personal Property Tax Return</t>
  </si>
  <si>
    <t>Taxpayer's</t>
  </si>
  <si>
    <t>Estimate</t>
  </si>
  <si>
    <t>Installed</t>
  </si>
  <si>
    <t>Number</t>
  </si>
  <si>
    <t>of FMV</t>
  </si>
  <si>
    <t>23.</t>
  </si>
  <si>
    <t>24.</t>
  </si>
  <si>
    <t xml:space="preserve">Other </t>
  </si>
  <si>
    <t>Layfayette</t>
  </si>
  <si>
    <t>FMV</t>
  </si>
  <si>
    <t>Provision</t>
  </si>
  <si>
    <t>D&amp;A</t>
  </si>
  <si>
    <t>Ties to PP Asset Report - 10201 (101_106)</t>
  </si>
  <si>
    <t>Use</t>
  </si>
  <si>
    <t>Obsolescense Percentage - See Cost Approach to Value Page</t>
  </si>
  <si>
    <t>Obsolescense (line 10 x line 9)</t>
  </si>
  <si>
    <t>Reconciled Indicator of Unit Value [(Line 24 x Line 27) + (Line 21 x Line 28)]</t>
  </si>
  <si>
    <t>Her</t>
  </si>
  <si>
    <t>Sem</t>
  </si>
  <si>
    <t>Distribution Gas Lines &amp; Equipment</t>
  </si>
  <si>
    <t>Allocate Distribution lines &amp; Eqp. Within Division</t>
  </si>
  <si>
    <t>Allocate Distribution lines &amp; Eqp. Within Divisions</t>
  </si>
  <si>
    <t>Meters $ Allocation</t>
  </si>
  <si>
    <t xml:space="preserve">Meter Investment Allocation to Counties Based on Bill Count </t>
  </si>
  <si>
    <t>Difference</t>
  </si>
  <si>
    <t xml:space="preserve">Total </t>
  </si>
  <si>
    <t>Distribution Plant</t>
  </si>
  <si>
    <t>Accounts 380, 381, 382, 383, 384, 385 &amp; 387</t>
  </si>
  <si>
    <t>% of Total</t>
  </si>
  <si>
    <t>Investment</t>
  </si>
  <si>
    <t>Misc Equipment-used for gas</t>
  </si>
  <si>
    <t>A</t>
  </si>
  <si>
    <t>H</t>
  </si>
  <si>
    <t>TH</t>
  </si>
  <si>
    <t>TT</t>
  </si>
  <si>
    <t>FMV Estimate</t>
  </si>
  <si>
    <t>Brevard</t>
  </si>
  <si>
    <t>Plant in Service as of December 31, 2013</t>
  </si>
  <si>
    <t>Brevard County</t>
  </si>
  <si>
    <t>42</t>
  </si>
  <si>
    <t>Hendry</t>
  </si>
  <si>
    <t>Hendry County</t>
  </si>
  <si>
    <t>Distribution Investment</t>
  </si>
  <si>
    <t>Distribution Accounts</t>
  </si>
  <si>
    <t>Sum. Of Prop. Tab</t>
  </si>
  <si>
    <t>377</t>
  </si>
  <si>
    <t>43</t>
  </si>
  <si>
    <t>Peoples Gas System 2015 Property Tax Return</t>
  </si>
  <si>
    <t>Send each county their specific detail (may have better report in power plan</t>
  </si>
  <si>
    <t>Mean Average</t>
  </si>
  <si>
    <t>updt county and these 2 fields and make copy for each county</t>
  </si>
  <si>
    <t>chg'd from 504,528 to match cpr total in pp 605,156 - bg 2/12/14</t>
  </si>
  <si>
    <t>chg'd from 291,818 to match cpr total in pp 315,382 bg 2/12/14</t>
  </si>
  <si>
    <t>chg'd from 278,426 to match cpr total in pp 154,232 - bg 2/12/14</t>
  </si>
  <si>
    <t>situs assets verified by accounting to be accurate in cpr</t>
  </si>
  <si>
    <t>chg'd this line to match cpr total in pp bg 2/12/14 - see service lines adjustment</t>
  </si>
  <si>
    <t>chg'dd this line to match pp cpr total bg 2/12/14-see mains</t>
  </si>
  <si>
    <t>chg'd this line to match pp cpr total bg 2/12/14-see mains</t>
  </si>
  <si>
    <t>chg'd this line to match cpr total in pp bg 2/12/14 - see meters adjustment</t>
  </si>
  <si>
    <t>Made slight chg's to totals in order to match CPR distribution in PP following allocation stat's import.  See highlighted totals for adjustment</t>
  </si>
  <si>
    <t>Summary of account 1540000 - Inventory</t>
  </si>
  <si>
    <t>P04001</t>
  </si>
  <si>
    <t>Miami - Dade</t>
  </si>
  <si>
    <t>P04002</t>
  </si>
  <si>
    <t>Hilssborough</t>
  </si>
  <si>
    <t>P04003</t>
  </si>
  <si>
    <t>P04004</t>
  </si>
  <si>
    <t>P04005</t>
  </si>
  <si>
    <t xml:space="preserve">Lake </t>
  </si>
  <si>
    <t>P04006</t>
  </si>
  <si>
    <t>P04008</t>
  </si>
  <si>
    <t>P04009</t>
  </si>
  <si>
    <t>P04010</t>
  </si>
  <si>
    <t>P04011</t>
  </si>
  <si>
    <t>P04013</t>
  </si>
  <si>
    <t>Palm beach</t>
  </si>
  <si>
    <t>P04014</t>
  </si>
  <si>
    <t>P04015</t>
  </si>
  <si>
    <t>P04016</t>
  </si>
  <si>
    <t>Taxable TPP - Plant in Service &amp; Supplies Inventory as of December 31, 2014</t>
  </si>
  <si>
    <t>BPC</t>
  </si>
  <si>
    <t>Div.</t>
  </si>
  <si>
    <t>Totals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</si>
  <si>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</si>
  <si>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</si>
  <si>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</si>
  <si>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</si>
  <si>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</si>
  <si>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</si>
  <si>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</si>
  <si>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</si>
  <si>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</si>
  <si>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</si>
  <si>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</si>
  <si>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</si>
  <si>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Cost Center</t>
  </si>
  <si>
    <t>Sum of 1 &amp; 7</t>
  </si>
  <si>
    <t>CC_301000</t>
  </si>
  <si>
    <t>CC_301001</t>
  </si>
  <si>
    <t xml:space="preserve">Hillsborough </t>
  </si>
  <si>
    <t>CC_302000</t>
  </si>
  <si>
    <t xml:space="preserve">Pasco </t>
  </si>
  <si>
    <t xml:space="preserve">Pinellas </t>
  </si>
  <si>
    <t>CC_303000</t>
  </si>
  <si>
    <t xml:space="preserve">Orange </t>
  </si>
  <si>
    <t xml:space="preserve">Osceola       </t>
  </si>
  <si>
    <t xml:space="preserve">Seminole </t>
  </si>
  <si>
    <t>CC_304000</t>
  </si>
  <si>
    <t>CC_305000</t>
  </si>
  <si>
    <t xml:space="preserve">Clay        </t>
  </si>
  <si>
    <t xml:space="preserve">Duval </t>
  </si>
  <si>
    <t>CC_306000</t>
  </si>
  <si>
    <t xml:space="preserve">Dade </t>
  </si>
  <si>
    <t xml:space="preserve">Polk </t>
  </si>
  <si>
    <t>CC_308000</t>
  </si>
  <si>
    <t>CC_309000</t>
  </si>
  <si>
    <t xml:space="preserve">Highlands     </t>
  </si>
  <si>
    <t>CC_310000</t>
  </si>
  <si>
    <t xml:space="preserve">Manatee </t>
  </si>
  <si>
    <t xml:space="preserve">Sarasota       </t>
  </si>
  <si>
    <t>CC_311000</t>
  </si>
  <si>
    <t xml:space="preserve">Palm Beach    </t>
  </si>
  <si>
    <t>CC_313000</t>
  </si>
  <si>
    <t>CC_314000</t>
  </si>
  <si>
    <t xml:space="preserve">Marion       </t>
  </si>
  <si>
    <t>CC_315000</t>
  </si>
  <si>
    <t>CC_316000</t>
  </si>
  <si>
    <t>Est Tax</t>
  </si>
  <si>
    <t>44</t>
  </si>
  <si>
    <t>All</t>
  </si>
  <si>
    <t>CC_PC01001</t>
  </si>
  <si>
    <t>Payable Entry</t>
  </si>
  <si>
    <t>A_2360604</t>
  </si>
  <si>
    <t>001 / 01 - DADE - BROWARD / 10500</t>
  </si>
  <si>
    <t>10500 - Future Use</t>
  </si>
  <si>
    <t>001 / 02 - TAMPA / 10500</t>
  </si>
  <si>
    <t>001 / 90 - CORPORATE / 11500</t>
  </si>
  <si>
    <t>11501 - PGS Acq Adj (Reserve)</t>
  </si>
  <si>
    <t>001 / 01 - DADE - BROWARD / 30100</t>
  </si>
  <si>
    <t>30100 - Organization</t>
  </si>
  <si>
    <t>001 / 03 - ST PETERSBURG / 30100</t>
  </si>
  <si>
    <t>001 / 14 - PANAMA CITY / 30100</t>
  </si>
  <si>
    <t>001 / 15 - OCALA / 30100</t>
  </si>
  <si>
    <t>001 / 90 - CORPORATE / 30100</t>
  </si>
  <si>
    <t>001 / 01 - DADE - BROWARD / 30200</t>
  </si>
  <si>
    <t>30200 - Franchise &amp; Consents</t>
  </si>
  <si>
    <t>001 / 03 - ST PETERSBURG / 30200</t>
  </si>
  <si>
    <t>001 / 05 - TRIANGLE / 30200</t>
  </si>
  <si>
    <t>001 / 09 - DAYTONA / 30200</t>
  </si>
  <si>
    <t>001 / 14 - PANAMA CITY / 30200</t>
  </si>
  <si>
    <t>001 / 15 - OCALA / 30200</t>
  </si>
  <si>
    <t>001 / 90 - CORPORATE / 30200</t>
  </si>
  <si>
    <t>001 / 14 - PANAMA CITY / 30300</t>
  </si>
  <si>
    <t>30300 - Misc Intangible Plant</t>
  </si>
  <si>
    <t>001 / 15 - OCALA / 30300</t>
  </si>
  <si>
    <t>001 / 01 - DADE - BROWARD / 30301</t>
  </si>
  <si>
    <t>30301 - Custom Intangible Plant</t>
  </si>
  <si>
    <t>001 / 02 - TAMPA / 30301</t>
  </si>
  <si>
    <t>001 / 03 - ST PETERSBURG / 30301</t>
  </si>
  <si>
    <t>001 / 04 - ORLANDO / 30301</t>
  </si>
  <si>
    <t>001 / 05 - TRIANGLE / 30301</t>
  </si>
  <si>
    <t>001 / 06 - JACKSONVILLE / 30301</t>
  </si>
  <si>
    <t>001 / 08 - LAKELAND / 30301</t>
  </si>
  <si>
    <t>001 / 10 - HIGHLANDS / 30301</t>
  </si>
  <si>
    <t>001 / 11 - SARASOTA / 30301</t>
  </si>
  <si>
    <t>001 / 13 - PALM BEACH / 30301</t>
  </si>
  <si>
    <t>001 / 14 - PANAMA CITY / 30301</t>
  </si>
  <si>
    <t>001 / 55 - CALL CENTER / 30301</t>
  </si>
  <si>
    <t>001 / 90 - CORPORATE / 30301</t>
  </si>
  <si>
    <t>001 / 90 - CORPORATE / 30302</t>
  </si>
  <si>
    <t>30302 - SAP Intangible Plant</t>
  </si>
  <si>
    <t>001 / 01 - DADE - BROWARD / 37400</t>
  </si>
  <si>
    <t>37400 - Land Distribution</t>
  </si>
  <si>
    <t>001 / 02 - TAMPA / 37400</t>
  </si>
  <si>
    <t>001 / 03 - ST PETERSBURG / 37400</t>
  </si>
  <si>
    <t>001 / 04 - ORLANDO / 37400</t>
  </si>
  <si>
    <t>001 / 05 - TRIANGLE / 37400</t>
  </si>
  <si>
    <t>001 / 06 - JACKSONVILLE / 37400</t>
  </si>
  <si>
    <t>001 / 08 - LAKELAND / 37400</t>
  </si>
  <si>
    <t>001 / 09 - DAYTONA / 37400</t>
  </si>
  <si>
    <t>001 / 11 - SARASOTA / 37400</t>
  </si>
  <si>
    <t>001 / 13 - PALM BEACH / 37400</t>
  </si>
  <si>
    <t>001 / 14 - PANAMA CITY / 37400</t>
  </si>
  <si>
    <t>001 / 15 - OCALA / 37400</t>
  </si>
  <si>
    <t>001 / 16 - S.W.FL / 37400</t>
  </si>
  <si>
    <t>001 / 90 - CORPORATE / 37400</t>
  </si>
  <si>
    <t>001 / 01 - DADE - BROWARD / 37402</t>
  </si>
  <si>
    <t>37402 - Land Rights</t>
  </si>
  <si>
    <t>001 / 03 - ST PETERSBURG / 37402</t>
  </si>
  <si>
    <t>001 / 04 - ORLANDO / 37402</t>
  </si>
  <si>
    <t>001 / 05 - TRIANGLE / 37402</t>
  </si>
  <si>
    <t>001 / 06 - JACKSONVILLE / 37402</t>
  </si>
  <si>
    <t>001 / 08 - LAKELAND / 37402</t>
  </si>
  <si>
    <t>001 / 09 - DAYTONA / 37402</t>
  </si>
  <si>
    <t>001 / 10 - HIGHLANDS / 37402</t>
  </si>
  <si>
    <t>001 / 11 - SARASOTA / 37402</t>
  </si>
  <si>
    <t>001 / 13 - PALM BEACH / 37402</t>
  </si>
  <si>
    <t>001 / 15 - OCALA / 37402</t>
  </si>
  <si>
    <t>001 / 16 - S.W.FL / 37402</t>
  </si>
  <si>
    <t>001 / 90 - CORPORATE / 37402</t>
  </si>
  <si>
    <t>001 / 01 - DADE - BROWARD / 37500</t>
  </si>
  <si>
    <t>37500 - Structures &amp; Improvements</t>
  </si>
  <si>
    <t>001 / 02 - TAMPA / 37500</t>
  </si>
  <si>
    <t>001 / 03 - ST PETERSBURG / 37500</t>
  </si>
  <si>
    <t>001 / 04 - ORLANDO / 37500</t>
  </si>
  <si>
    <t>001 / 05 - TRIANGLE / 37500</t>
  </si>
  <si>
    <t>001 / 06 - JACKSONVILLE / 37500</t>
  </si>
  <si>
    <t>001 / 07 - MIAMI / 37500</t>
  </si>
  <si>
    <t>001 / 08 - LAKELAND / 37500</t>
  </si>
  <si>
    <t>001 / 09 - DAYTONA / 37500</t>
  </si>
  <si>
    <t>001 / 10 - HIGHLANDS / 37500</t>
  </si>
  <si>
    <t>001 / 11 - SARASOTA / 37500</t>
  </si>
  <si>
    <t>001 / 13 - PALM BEACH / 37500</t>
  </si>
  <si>
    <t>001 / 14 - PANAMA CITY / 37500</t>
  </si>
  <si>
    <t>001 / 15 - OCALA / 37500</t>
  </si>
  <si>
    <t>001 / 16 - S.W.FL / 37500</t>
  </si>
  <si>
    <t>001 / 55 - CALL CENTER / 37500</t>
  </si>
  <si>
    <t>001 / 90 - CORPORATE / 37500</t>
  </si>
  <si>
    <t>001 / 01 - DADE - BROWARD / 37600</t>
  </si>
  <si>
    <t>37600 - Mains Steel</t>
  </si>
  <si>
    <t>001 / 02 - TAMPA / 37600</t>
  </si>
  <si>
    <t>001 / 03 - ST PETERSBURG / 37600</t>
  </si>
  <si>
    <t>001 / 04 - ORLANDO / 37600</t>
  </si>
  <si>
    <t>001 / 05 - TRIANGLE / 37600</t>
  </si>
  <si>
    <t>001 / 06 - JACKSONVILLE / 37600</t>
  </si>
  <si>
    <t>001 / 07 - MIAMI / 37600</t>
  </si>
  <si>
    <t>001 / 08 - LAKELAND / 37600</t>
  </si>
  <si>
    <t>001 / 09 - DAYTONA / 37600</t>
  </si>
  <si>
    <t>001 / 10 - HIGHLANDS / 37600</t>
  </si>
  <si>
    <t>001 / 11 - SARASOTA / 37600</t>
  </si>
  <si>
    <t>001 / 13 - PALM BEACH / 37600</t>
  </si>
  <si>
    <t>001 / 14 - PANAMA CITY / 37600</t>
  </si>
  <si>
    <t>001 / 15 - OCALA / 37600</t>
  </si>
  <si>
    <t>001 / 16 - S.W.FL / 37600</t>
  </si>
  <si>
    <t>001 / 90 - CORPORATE / 37600</t>
  </si>
  <si>
    <t>001 / 01 - DADE - BROWARD / 37602</t>
  </si>
  <si>
    <t>37602 - Mains Plastic</t>
  </si>
  <si>
    <t>001 / 01 - DADE - BROWARD / 37602S</t>
  </si>
  <si>
    <t>001 / 02 - TAMPA / 37602</t>
  </si>
  <si>
    <t>001 / 02 - TAMPA / 37602D</t>
  </si>
  <si>
    <t>001 / 02 - TAMPA / 37602S</t>
  </si>
  <si>
    <t>001 / 03 - ST PETERSBURG / 37602</t>
  </si>
  <si>
    <t>001 / 03 - ST PETERSBURG / 37602D</t>
  </si>
  <si>
    <t>001 / 03 - ST PETERSBURG / 37602S</t>
  </si>
  <si>
    <t>001 / 04 - ORLANDO / 37602</t>
  </si>
  <si>
    <t>001 / 04 - ORLANDO / 37602D</t>
  </si>
  <si>
    <t>001 / 04 - ORLANDO / 37602S</t>
  </si>
  <si>
    <t>001 / 05 - TRIANGLE / 37602</t>
  </si>
  <si>
    <t>001 / 05 - TRIANGLE / 37602D</t>
  </si>
  <si>
    <t>001 / 06 - JACKSONVILLE / 37602</t>
  </si>
  <si>
    <t>001 / 06 - JACKSONVILLE / 37602D</t>
  </si>
  <si>
    <t>001 / 06 - JACKSONVILLE / 37602S</t>
  </si>
  <si>
    <t>001 / 07 - MIAMI / 37602</t>
  </si>
  <si>
    <t>001 / 08 - LAKELAND / 37602</t>
  </si>
  <si>
    <t>001 / 08 - LAKELAND / 37602S</t>
  </si>
  <si>
    <t>001 / 09 - DAYTONA / 37602</t>
  </si>
  <si>
    <t>001 / 10 - HIGHLANDS / 37602</t>
  </si>
  <si>
    <t>001 / 11 - SARASOTA / 37602</t>
  </si>
  <si>
    <t>001 / 11 - SARASOTA / 37602D</t>
  </si>
  <si>
    <t>001 / 11 - SARASOTA / 37602S</t>
  </si>
  <si>
    <t>001 / 13 - PALM BEACH / 37602</t>
  </si>
  <si>
    <t>001 / 13 - PALM BEACH / 37602D</t>
  </si>
  <si>
    <t>001 / 13 - PALM BEACH / 37602S</t>
  </si>
  <si>
    <t>001 / 14 - PANAMA CITY / 37602</t>
  </si>
  <si>
    <t>001 / 14 - PANAMA CITY / 37602D</t>
  </si>
  <si>
    <t>001 / 14 - PANAMA CITY / 37602S</t>
  </si>
  <si>
    <t>001 / 15 - OCALA / 37602</t>
  </si>
  <si>
    <t>001 / 15 - OCALA / 37602D</t>
  </si>
  <si>
    <t>001 / 16 - S.W.FL / 37602</t>
  </si>
  <si>
    <t>001 / 16 - S.W.FL / 37602D</t>
  </si>
  <si>
    <t>001 / 16 - S.W.FL / 37602S</t>
  </si>
  <si>
    <t>001 / 01 - DADE - BROWARD / 37800</t>
  </si>
  <si>
    <t>37800 - Meas &amp; Reg Station Eqp Gen</t>
  </si>
  <si>
    <t>001 / 02 - TAMPA / 37800</t>
  </si>
  <si>
    <t>001 / 03 - ST PETERSBURG / 37800</t>
  </si>
  <si>
    <t>001 / 04 - ORLANDO / 37800</t>
  </si>
  <si>
    <t>001 / 05 - TRIANGLE / 37800</t>
  </si>
  <si>
    <t>001 / 06 - JACKSONVILLE / 37800</t>
  </si>
  <si>
    <t>001 / 07 - MIAMI / 37800</t>
  </si>
  <si>
    <t>001 / 08 - LAKELAND / 37800</t>
  </si>
  <si>
    <t>001 / 09 - DAYTONA / 37800</t>
  </si>
  <si>
    <t>001 / 10 - HIGHLANDS / 37800</t>
  </si>
  <si>
    <t>001 / 11 - SARASOTA / 37800</t>
  </si>
  <si>
    <t>001 / 13 - PALM BEACH / 37800</t>
  </si>
  <si>
    <t>001 / 14 - PANAMA CITY / 37800</t>
  </si>
  <si>
    <t>001 / 14 - PANAMA CITY / 37801</t>
  </si>
  <si>
    <t>001 / 15 - OCALA / 37800</t>
  </si>
  <si>
    <t>001 / 15 - OCALA / 37801</t>
  </si>
  <si>
    <t>001 / 16 - S.W.FL / 37800</t>
  </si>
  <si>
    <t>001 / 90 - CORPORATE / 37800</t>
  </si>
  <si>
    <t>001 / 01 - DADE - BROWARD / 37900</t>
  </si>
  <si>
    <t>37900 - Meas &amp; Reg Station Eqp City</t>
  </si>
  <si>
    <t>001 / 02 - TAMPA / 37900</t>
  </si>
  <si>
    <t>001 / 03 - ST PETERSBURG / 37900</t>
  </si>
  <si>
    <t>001 / 04 - ORLANDO / 37900</t>
  </si>
  <si>
    <t>001 / 05 - TRIANGLE / 37900</t>
  </si>
  <si>
    <t>001 / 06 - JACKSONVILLE / 37900</t>
  </si>
  <si>
    <t>001 / 08 - LAKELAND / 37900</t>
  </si>
  <si>
    <t>001 / 09 - DAYTONA / 37900</t>
  </si>
  <si>
    <t>001 / 10 - HIGHLANDS / 37900</t>
  </si>
  <si>
    <t>001 / 11 - SARASOTA / 37900</t>
  </si>
  <si>
    <t>001 / 13 - PALM BEACH / 37900</t>
  </si>
  <si>
    <t>001 / 14 - PANAMA CITY / 37900</t>
  </si>
  <si>
    <t>001 / 14 - PANAMA CITY / 37901</t>
  </si>
  <si>
    <t>001 / 15 - OCALA / 37900</t>
  </si>
  <si>
    <t>001 / 15 - OCALA / 37901</t>
  </si>
  <si>
    <t>001 / 16 - S.W.FL / 37900</t>
  </si>
  <si>
    <t>001 / 90 - CORPORATE / 37900</t>
  </si>
  <si>
    <t>001 / 01 - DADE - BROWARD / 38000</t>
  </si>
  <si>
    <t>38000 - Services Steel</t>
  </si>
  <si>
    <t>001 / 02 - TAMPA / 38000</t>
  </si>
  <si>
    <t>001 / 03 - ST PETERSBURG / 38000</t>
  </si>
  <si>
    <t>001 / 04 - ORLANDO / 38000</t>
  </si>
  <si>
    <t>001 / 05 - TRIANGLE / 38000</t>
  </si>
  <si>
    <t>001 / 06 - JACKSONVILLE / 38000</t>
  </si>
  <si>
    <t>001 / 08 - LAKELAND / 38000</t>
  </si>
  <si>
    <t>001 / 09 - DAYTONA / 38000</t>
  </si>
  <si>
    <t>001 / 10 - HIGHLANDS / 38000</t>
  </si>
  <si>
    <t>001 / 11 - SARASOTA / 38000</t>
  </si>
  <si>
    <t>001 / 13 - PALM BEACH / 38000</t>
  </si>
  <si>
    <t>001 / 14 - PANAMA CITY / 38000</t>
  </si>
  <si>
    <t>001 / 15 - OCALA / 38000</t>
  </si>
  <si>
    <t>001 / 16 - S.W.FL / 38000</t>
  </si>
  <si>
    <t>001 / 01 - DADE - BROWARD / 38002</t>
  </si>
  <si>
    <t>38002 - Services Plastic</t>
  </si>
  <si>
    <t>001 / 02 - TAMPA / 38002</t>
  </si>
  <si>
    <t>001 / 03 - ST PETERSBURG / 38002</t>
  </si>
  <si>
    <t>001 / 04 - ORLANDO / 38002</t>
  </si>
  <si>
    <t>001 / 05 - TRIANGLE / 38002</t>
  </si>
  <si>
    <t>001 / 06 - JACKSONVILLE / 38002</t>
  </si>
  <si>
    <t>001 / 08 - LAKELAND / 38002</t>
  </si>
  <si>
    <t>001 / 09 - DAYTONA / 38002</t>
  </si>
  <si>
    <t>001 / 10 - HIGHLANDS / 38002</t>
  </si>
  <si>
    <t>001 / 11 - SARASOTA / 38002</t>
  </si>
  <si>
    <t>001 / 13 - PALM BEACH / 38002</t>
  </si>
  <si>
    <t>001 / 14 - PANAMA CITY / 38002</t>
  </si>
  <si>
    <t>001 / 15 - OCALA / 38002</t>
  </si>
  <si>
    <t>001 / 16 - S.W.FL / 38002</t>
  </si>
  <si>
    <t>001 / 14 - PANAMA CITY / 38100</t>
  </si>
  <si>
    <t>38100 - Meters</t>
  </si>
  <si>
    <t>001 / 15 - OCALA / 38100</t>
  </si>
  <si>
    <t>001 / 15 - OCALA / 38101</t>
  </si>
  <si>
    <t>001 / 90 - CORPORATE / 38100</t>
  </si>
  <si>
    <t>001 / 01 - DADE - BROWARD / 38200</t>
  </si>
  <si>
    <t>38200 - Meter Installations</t>
  </si>
  <si>
    <t>001 / 02 - TAMPA / 38200</t>
  </si>
  <si>
    <t>001 / 03 - ST PETERSBURG / 38200</t>
  </si>
  <si>
    <t>001 / 04 - ORLANDO / 38200</t>
  </si>
  <si>
    <t>001 / 05 - TRIANGLE / 38200</t>
  </si>
  <si>
    <t>001 / 06 - JACKSONVILLE / 38200</t>
  </si>
  <si>
    <t>001 / 08 - LAKELAND / 38200</t>
  </si>
  <si>
    <t>001 / 09 - DAYTONA / 38200</t>
  </si>
  <si>
    <t>001 / 10 - HIGHLANDS / 38200</t>
  </si>
  <si>
    <t>001 / 11 - SARASOTA / 38200</t>
  </si>
  <si>
    <t>001 / 13 - PALM BEACH / 38200</t>
  </si>
  <si>
    <t>001 / 14 - PANAMA CITY / 38200</t>
  </si>
  <si>
    <t>001 / 15 - OCALA / 38200</t>
  </si>
  <si>
    <t>001 / 16 - S.W.FL / 38200</t>
  </si>
  <si>
    <t>001 / 01 - DADE - BROWARD / 38300</t>
  </si>
  <si>
    <t>38300 - House Regulators</t>
  </si>
  <si>
    <t>001 / 02 - TAMPA / 38300</t>
  </si>
  <si>
    <t>001 / 03 - ST PETERSBURG / 38300</t>
  </si>
  <si>
    <t>001 / 04 - ORLANDO / 38300</t>
  </si>
  <si>
    <t>001 / 05 - TRIANGLE / 38300</t>
  </si>
  <si>
    <t>001 / 06 - JACKSONVILLE / 38300</t>
  </si>
  <si>
    <t>001 / 08 - LAKELAND / 38300</t>
  </si>
  <si>
    <t>001 / 09 - DAYTONA / 38300</t>
  </si>
  <si>
    <t>001 / 10 - HIGHLANDS / 38300</t>
  </si>
  <si>
    <t>001 / 11 - SARASOTA / 38300</t>
  </si>
  <si>
    <t>001 / 13 - PALM BEACH / 38300</t>
  </si>
  <si>
    <t>001 / 14 - PANAMA CITY / 38300</t>
  </si>
  <si>
    <t>001 / 15 - OCALA / 38300</t>
  </si>
  <si>
    <t>001 / 16 - S.W.FL / 38300</t>
  </si>
  <si>
    <t>001 / 90 - CORPORATE / 38300</t>
  </si>
  <si>
    <t>001 / 01 - DADE - BROWARD / 38400</t>
  </si>
  <si>
    <t>38400 - House Regulator Installs</t>
  </si>
  <si>
    <t>001 / 02 - TAMPA / 38400</t>
  </si>
  <si>
    <t>001 / 03 - ST PETERSBURG / 38400</t>
  </si>
  <si>
    <t>001 / 04 - ORLANDO / 38400</t>
  </si>
  <si>
    <t>001 / 05 - TRIANGLE / 38400</t>
  </si>
  <si>
    <t>001 / 06 - JACKSONVILLE / 38400</t>
  </si>
  <si>
    <t>001 / 08 - LAKELAND / 38400</t>
  </si>
  <si>
    <t>001 / 09 - DAYTONA / 38400</t>
  </si>
  <si>
    <t>001 / 10 - HIGHLANDS / 38400</t>
  </si>
  <si>
    <t>001 / 11 - SARASOTA / 38400</t>
  </si>
  <si>
    <t>001 / 13 - PALM BEACH / 38400</t>
  </si>
  <si>
    <t>001 / 14 - PANAMA CITY / 38400</t>
  </si>
  <si>
    <t>001 / 15 - OCALA / 38400</t>
  </si>
  <si>
    <t>001 / 16 - S.W.FL / 38400</t>
  </si>
  <si>
    <t>001 / 01 - DADE - BROWARD / 38500</t>
  </si>
  <si>
    <t>38500 - Meas &amp; Reg Station Eqp Ind</t>
  </si>
  <si>
    <t>001 / 02 - TAMPA / 38500</t>
  </si>
  <si>
    <t>001 / 03 - ST PETERSBURG / 38500</t>
  </si>
  <si>
    <t>001 / 04 - ORLANDO / 38500</t>
  </si>
  <si>
    <t>001 / 05 - TRIANGLE / 38500</t>
  </si>
  <si>
    <t>001 / 06 - JACKSONVILLE / 38500</t>
  </si>
  <si>
    <t>001 / 08 - LAKELAND / 38500</t>
  </si>
  <si>
    <t>001 / 09 - DAYTONA / 38500</t>
  </si>
  <si>
    <t>001 / 10 - HIGHLANDS / 38500</t>
  </si>
  <si>
    <t>001 / 11 - SARASOTA / 38500</t>
  </si>
  <si>
    <t>001 / 13 - PALM BEACH / 38500</t>
  </si>
  <si>
    <t>001 / 14 - PANAMA CITY / 38500</t>
  </si>
  <si>
    <t>001 / 15 - OCALA / 38500</t>
  </si>
  <si>
    <t>001 / 16 - S.W.FL / 38500</t>
  </si>
  <si>
    <t>001 / 90 - CORPORATE / 38500</t>
  </si>
  <si>
    <t>001 / 90 - CORPORATE / 38602</t>
  </si>
  <si>
    <t>38600 - Other Property Cust Premise</t>
  </si>
  <si>
    <t>001 / 90 - CORPORATE / 38608</t>
  </si>
  <si>
    <t>001 / 01 - DADE - BROWARD / 38700</t>
  </si>
  <si>
    <t>38700 - Other Equipment</t>
  </si>
  <si>
    <t>001 / 02 - TAMPA / 38700</t>
  </si>
  <si>
    <t>001 / 03 - ST PETERSBURG / 38700</t>
  </si>
  <si>
    <t>001 / 04 - ORLANDO / 38700</t>
  </si>
  <si>
    <t>001 / 05 - TRIANGLE / 38700</t>
  </si>
  <si>
    <t>001 / 06 - JACKSONVILLE / 38700</t>
  </si>
  <si>
    <t>001 / 08 - LAKELAND / 38700</t>
  </si>
  <si>
    <t>001 / 09 - DAYTONA / 38700</t>
  </si>
  <si>
    <t>001 / 10 - HIGHLANDS / 38700</t>
  </si>
  <si>
    <t>001 / 11 - SARASOTA / 38700</t>
  </si>
  <si>
    <t>001 / 13 - PALM BEACH / 38700</t>
  </si>
  <si>
    <t>001 / 14 - PANAMA CITY / 38700</t>
  </si>
  <si>
    <t>001 / 15 - OCALA / 38700</t>
  </si>
  <si>
    <t>001 / 16 - S.W.FL / 38700</t>
  </si>
  <si>
    <t>001 / 90 - CORPORATE / 38700</t>
  </si>
  <si>
    <t>001 / 01 - DADE - BROWARD / 39000</t>
  </si>
  <si>
    <t>39000 - Structures &amp; Improvements</t>
  </si>
  <si>
    <t>001 / 05 - TRIANGLE / 39000</t>
  </si>
  <si>
    <t>001 / 06 - JACKSONVILLE / 39000</t>
  </si>
  <si>
    <t>001 / 13 - PALM BEACH / 39000</t>
  </si>
  <si>
    <t>001 / 14 - PANAMA CITY / 39000</t>
  </si>
  <si>
    <t>001 / 15 - OCALA / 39000</t>
  </si>
  <si>
    <t>001 / 01 - DADE - BROWARD / 39002</t>
  </si>
  <si>
    <t>39002 - Structur &amp; Improv Leasehold</t>
  </si>
  <si>
    <t>001 / 04 - ORLANDO / 39002</t>
  </si>
  <si>
    <t>001 / 09 - DAYTONA / 39002</t>
  </si>
  <si>
    <t>001 / 10 - HIGHLANDS / 39002</t>
  </si>
  <si>
    <t>001 / 13 - PALM BEACH / 39002</t>
  </si>
  <si>
    <t>001 / 90 - CORPORATE / 39002</t>
  </si>
  <si>
    <t>001 / 01 - DADE - BROWARD / 39100</t>
  </si>
  <si>
    <t>39100 - Office Furniture</t>
  </si>
  <si>
    <t>001 / 02 - TAMPA / 39100</t>
  </si>
  <si>
    <t>001 / 03 - ST PETERSBURG / 39100</t>
  </si>
  <si>
    <t>001 / 04 - ORLANDO / 39100</t>
  </si>
  <si>
    <t>001 / 05 - TRIANGLE / 39100</t>
  </si>
  <si>
    <t>001 / 06 - JACKSONVILLE / 39100</t>
  </si>
  <si>
    <t>001 / 08 - LAKELAND / 39100</t>
  </si>
  <si>
    <t>001 / 09 - DAYTONA / 39100</t>
  </si>
  <si>
    <t>001 / 10 - HIGHLANDS / 39100</t>
  </si>
  <si>
    <t>001 / 11 - SARASOTA / 39100</t>
  </si>
  <si>
    <t>001 / 13 - PALM BEACH / 39100</t>
  </si>
  <si>
    <t>001 / 14 - PANAMA CITY / 39100</t>
  </si>
  <si>
    <t>001 / 15 - OCALA / 39100</t>
  </si>
  <si>
    <t>001 / 16 - S.W.FL / 39100</t>
  </si>
  <si>
    <t>001 / 55 - CALL CENTER / 39100</t>
  </si>
  <si>
    <t>001 / 90 - CORPORATE / 39100</t>
  </si>
  <si>
    <t>001 / 01 - DADE - BROWARD / 39101</t>
  </si>
  <si>
    <t>39101 - Computer Equipment</t>
  </si>
  <si>
    <t>001 / 02 - TAMPA / 39101</t>
  </si>
  <si>
    <t>001 / 03 - ST PETERSBURG / 39101</t>
  </si>
  <si>
    <t>001 / 04 - ORLANDO / 39101</t>
  </si>
  <si>
    <t>001 / 05 - TRIANGLE / 39101</t>
  </si>
  <si>
    <t>001 / 06 - JACKSONVILLE / 39101</t>
  </si>
  <si>
    <t>001 / 08 - LAKELAND / 39101</t>
  </si>
  <si>
    <t>001 / 09 - DAYTONA / 39101</t>
  </si>
  <si>
    <t>001 / 10 - HIGHLANDS / 39101</t>
  </si>
  <si>
    <t>001 / 11 - SARASOTA / 39101</t>
  </si>
  <si>
    <t>001 / 13 - PALM BEACH / 39101</t>
  </si>
  <si>
    <t>001 / 14 - PANAMA CITY / 39101</t>
  </si>
  <si>
    <t>001 / 15 - OCALA / 39101</t>
  </si>
  <si>
    <t>001 / 16 - S.W.FL / 39101</t>
  </si>
  <si>
    <t>001 / 55 - CALL CENTER / 39101</t>
  </si>
  <si>
    <t>001 / 90 - CORPORATE / 39101</t>
  </si>
  <si>
    <t>001 / 01 - DADE - BROWARD / 39102</t>
  </si>
  <si>
    <t>39102 - Office Equipment</t>
  </si>
  <si>
    <t>001 / 02 - TAMPA / 39102</t>
  </si>
  <si>
    <t>001 / 03 - ST PETERSBURG / 39102</t>
  </si>
  <si>
    <t>001 / 04 - ORLANDO / 39102</t>
  </si>
  <si>
    <t>001 / 05 - TRIANGLE / 39102</t>
  </si>
  <si>
    <t>001 / 06 - JACKSONVILLE / 39102</t>
  </si>
  <si>
    <t>001 / 08 - LAKELAND / 39102</t>
  </si>
  <si>
    <t>001 / 09 - DAYTONA / 39102</t>
  </si>
  <si>
    <t>001 / 10 - HIGHLANDS / 39102</t>
  </si>
  <si>
    <t>001 / 11 - SARASOTA / 39102</t>
  </si>
  <si>
    <t>001 / 13 - PALM BEACH / 39102</t>
  </si>
  <si>
    <t>001 / 14 - PANAMA CITY / 39102</t>
  </si>
  <si>
    <t>001 / 15 - OCALA / 39102</t>
  </si>
  <si>
    <t>001 / 16 - S.W.FL / 39102</t>
  </si>
  <si>
    <t>001 / 55 - CALL CENTER / 39102</t>
  </si>
  <si>
    <t>001 / 90 - CORPORATE / 39102</t>
  </si>
  <si>
    <t>001 / 14 - PANAMA CITY / 39103</t>
  </si>
  <si>
    <t>39103 - Office Furniture</t>
  </si>
  <si>
    <t>001 / 15 - OCALA / 39103</t>
  </si>
  <si>
    <t>001 / 01 - DADE - BROWARD / 39201</t>
  </si>
  <si>
    <t>39201 - Vehicles up to 1/2 Tons</t>
  </si>
  <si>
    <t>001 / 02 - TAMPA / 39201</t>
  </si>
  <si>
    <t>001 / 03 - ST PETERSBURG / 39201</t>
  </si>
  <si>
    <t>001 / 04 - ORLANDO / 39201</t>
  </si>
  <si>
    <t>001 / 05 - TRIANGLE / 39201</t>
  </si>
  <si>
    <t>001 / 06 - JACKSONVILLE / 39201</t>
  </si>
  <si>
    <t>001 / 08 - LAKELAND / 39201</t>
  </si>
  <si>
    <t>001 / 09 - DAYTONA / 39201</t>
  </si>
  <si>
    <t>001 / 10 - HIGHLANDS / 39201</t>
  </si>
  <si>
    <t>001 / 11 - SARASOTA / 39201</t>
  </si>
  <si>
    <t>001 / 13 - PALM BEACH / 39201</t>
  </si>
  <si>
    <t>001 / 14 - PANAMA CITY / 39201</t>
  </si>
  <si>
    <t>001 / 15 - OCALA / 39201</t>
  </si>
  <si>
    <t>001 / 16 - S.W.FL / 39201</t>
  </si>
  <si>
    <t>001 / 90 - CORPORATE / 39201</t>
  </si>
  <si>
    <t>001 / 01 - DADE - BROWARD / 39202</t>
  </si>
  <si>
    <t>39202 - Vehicles from 1/2 - 1 Tons</t>
  </si>
  <si>
    <t>001 / 02 - TAMPA / 39202</t>
  </si>
  <si>
    <t>001 / 03 - ST PETERSBURG / 39202</t>
  </si>
  <si>
    <t>001 / 04 - ORLANDO / 39202</t>
  </si>
  <si>
    <t>001 / 05 - TRIANGLE / 39202</t>
  </si>
  <si>
    <t>001 / 06 - JACKSONVILLE / 39202</t>
  </si>
  <si>
    <t>001 / 08 - LAKELAND / 39202</t>
  </si>
  <si>
    <t>001 / 09 - DAYTONA / 39202</t>
  </si>
  <si>
    <t>001 / 10 - HIGHLANDS / 39202</t>
  </si>
  <si>
    <t>001 / 11 - SARASOTA / 39202</t>
  </si>
  <si>
    <t>001 / 13 - PALM BEACH / 39202</t>
  </si>
  <si>
    <t>001 / 14 - PANAMA CITY / 39202</t>
  </si>
  <si>
    <t>001 / 15 - OCALA / 39202</t>
  </si>
  <si>
    <t>001 / 16 - S.W.FL / 39202</t>
  </si>
  <si>
    <t>001 / 90 - CORPORATE / 39202</t>
  </si>
  <si>
    <t>001 / 90 - CORPORATE / 39203</t>
  </si>
  <si>
    <t>39203 - Airplane</t>
  </si>
  <si>
    <t>001 / 01 - DADE - BROWARD / 39204</t>
  </si>
  <si>
    <t>39204 - Trailers &amp; Other</t>
  </si>
  <si>
    <t>001 / 02 - TAMPA / 39204</t>
  </si>
  <si>
    <t>001 / 03 - ST PETERSBURG / 39204</t>
  </si>
  <si>
    <t>001 / 04 - ORLANDO / 39204</t>
  </si>
  <si>
    <t>001 / 05 - TRIANGLE / 39204</t>
  </si>
  <si>
    <t>001 / 06 - JACKSONVILLE / 39204</t>
  </si>
  <si>
    <t>001 / 08 - LAKELAND / 39204</t>
  </si>
  <si>
    <t>001 / 09 - DAYTONA / 39204</t>
  </si>
  <si>
    <t>001 / 10 - HIGHLANDS / 39204</t>
  </si>
  <si>
    <t>001 / 11 - SARASOTA / 39204</t>
  </si>
  <si>
    <t>001 / 13 - PALM BEACH / 39204</t>
  </si>
  <si>
    <t>001 / 14 - PANAMA CITY / 39204</t>
  </si>
  <si>
    <t>001 / 15 - OCALA / 39204</t>
  </si>
  <si>
    <t>001 / 16 - S.W.FL / 39204</t>
  </si>
  <si>
    <t>001 / 90 - CORPORATE / 39204</t>
  </si>
  <si>
    <t>001 / 01 - DADE - BROWARD / 39205</t>
  </si>
  <si>
    <t>39205 - Vehicles over 1 Ton</t>
  </si>
  <si>
    <t>001 / 02 - TAMPA / 39205</t>
  </si>
  <si>
    <t>001 / 03 - ST PETERSBURG / 39205</t>
  </si>
  <si>
    <t>001 / 04 - ORLANDO / 39205</t>
  </si>
  <si>
    <t>001 / 05 - TRIANGLE / 39205</t>
  </si>
  <si>
    <t>001 / 06 - JACKSONVILLE / 39205</t>
  </si>
  <si>
    <t>001 / 08 - LAKELAND / 39205</t>
  </si>
  <si>
    <t>001 / 09 - DAYTONA / 39205</t>
  </si>
  <si>
    <t>001 / 13 - PALM BEACH / 39205</t>
  </si>
  <si>
    <t>001 / 14 - PANAMA CITY / 39205</t>
  </si>
  <si>
    <t>001 / 15 - OCALA / 39205</t>
  </si>
  <si>
    <t>001 / 16 - S.W.FL / 39205</t>
  </si>
  <si>
    <t>001 / 90 - CORPORATE / 39205</t>
  </si>
  <si>
    <t>001 / 01 - DADE - BROWARD / 39300</t>
  </si>
  <si>
    <t xml:space="preserve">39300 - Stores Equipment </t>
  </si>
  <si>
    <t>001 / 02 - TAMPA / 39300</t>
  </si>
  <si>
    <t>001 / 03 - ST PETERSBURG / 39300</t>
  </si>
  <si>
    <t>001 / 04 - ORLANDO / 39300</t>
  </si>
  <si>
    <t>001 / 05 - TRIANGLE / 39300</t>
  </si>
  <si>
    <t>001 / 06 - JACKSONVILLE / 39300</t>
  </si>
  <si>
    <t>001 / 08 - LAKELAND / 39300</t>
  </si>
  <si>
    <t>001 / 13 - PALM BEACH / 39300</t>
  </si>
  <si>
    <t>001 / 16 - S.W.FL / 39300</t>
  </si>
  <si>
    <t>001 / 01 - DADE - BROWARD / 39400</t>
  </si>
  <si>
    <t>39400 - Tools, Shop &amp; Garage Equip</t>
  </si>
  <si>
    <t>001 / 02 - TAMPA / 39400</t>
  </si>
  <si>
    <t>001 / 03 - ST PETERSBURG / 39400</t>
  </si>
  <si>
    <t>001 / 04 - ORLANDO / 39400</t>
  </si>
  <si>
    <t>001 / 05 - TRIANGLE / 39400</t>
  </si>
  <si>
    <t>001 / 06 - JACKSONVILLE / 39400</t>
  </si>
  <si>
    <t>001 / 08 - LAKELAND / 39400</t>
  </si>
  <si>
    <t>001 / 09 - DAYTONA / 39400</t>
  </si>
  <si>
    <t>001 / 10 - HIGHLANDS / 39400</t>
  </si>
  <si>
    <t>001 / 11 - SARASOTA / 39400</t>
  </si>
  <si>
    <t>001 / 13 - PALM BEACH / 39400</t>
  </si>
  <si>
    <t>001 / 14 - PANAMA CITY / 39400</t>
  </si>
  <si>
    <t>001 / 14 - PANAMA CITY / 39401</t>
  </si>
  <si>
    <t>001 / 15 - OCALA / 39400</t>
  </si>
  <si>
    <t>001 / 15 - OCALA / 39401</t>
  </si>
  <si>
    <t>001 / 16 - S.W.FL / 39400</t>
  </si>
  <si>
    <t>001 / 90 - CORPORATE / 39400</t>
  </si>
  <si>
    <t>001 / 01 - DADE - BROWARD / 39500</t>
  </si>
  <si>
    <t>39500 - Laboratory Equipment</t>
  </si>
  <si>
    <t>001 / 02 - TAMPA / 39500</t>
  </si>
  <si>
    <t>001 / 14 - PANAMA CITY / 39500</t>
  </si>
  <si>
    <t>001 / 90 - CORPORATE / 39500</t>
  </si>
  <si>
    <t>001 / 01 - DADE - BROWARD / 39600</t>
  </si>
  <si>
    <t>39600 - Power Operated Equipment</t>
  </si>
  <si>
    <t>001 / 02 - TAMPA / 39600</t>
  </si>
  <si>
    <t>001 / 03 - ST PETERSBURG / 39600</t>
  </si>
  <si>
    <t>001 / 04 - ORLANDO / 39600</t>
  </si>
  <si>
    <t>001 / 05 - TRIANGLE / 39600</t>
  </si>
  <si>
    <t>001 / 06 - JACKSONVILLE / 39600</t>
  </si>
  <si>
    <t>001 / 08 - LAKELAND / 39600</t>
  </si>
  <si>
    <t>001 / 09 - DAYTONA / 39600</t>
  </si>
  <si>
    <t>001 / 10 - HIGHLANDS / 39600</t>
  </si>
  <si>
    <t>001 / 11 - SARASOTA / 39600</t>
  </si>
  <si>
    <t>001 / 13 - PALM BEACH / 39600</t>
  </si>
  <si>
    <t>001 / 14 - PANAMA CITY / 39600</t>
  </si>
  <si>
    <t>001 / 15 - OCALA / 39600</t>
  </si>
  <si>
    <t>001 / 16 - S.W.FL / 39600</t>
  </si>
  <si>
    <t>001 / 90 - CORPORATE / 39600</t>
  </si>
  <si>
    <t>001 / 01 - DADE - BROWARD / 39700</t>
  </si>
  <si>
    <t>39700 - Communication Equipment</t>
  </si>
  <si>
    <t>001 / 02 - TAMPA / 39700</t>
  </si>
  <si>
    <t>001 / 03 - ST PETERSBURG / 39700</t>
  </si>
  <si>
    <t>001 / 04 - ORLANDO / 39700</t>
  </si>
  <si>
    <t>001 / 05 - TRIANGLE / 39700</t>
  </si>
  <si>
    <t>001 / 06 - JACKSONVILLE / 39700</t>
  </si>
  <si>
    <t>001 / 08 - LAKELAND / 39700</t>
  </si>
  <si>
    <t>001 / 09 - DAYTONA / 39700</t>
  </si>
  <si>
    <t>001 / 10 - HIGHLANDS / 39700</t>
  </si>
  <si>
    <t>001 / 11 - SARASOTA / 39700</t>
  </si>
  <si>
    <t>001 / 13 - PALM BEACH / 39700</t>
  </si>
  <si>
    <t>001 / 14 - PANAMA CITY / 39700</t>
  </si>
  <si>
    <t>001 / 15 - OCALA / 39700</t>
  </si>
  <si>
    <t>001 / 16 - S.W.FL / 39700</t>
  </si>
  <si>
    <t>001 / 55 - CALL CENTER / 39700</t>
  </si>
  <si>
    <t>001 / 90 - CORPORATE / 39700</t>
  </si>
  <si>
    <t>001 / 01 - DADE - BROWARD / 39800</t>
  </si>
  <si>
    <t>39800 - Miscellaneous Equipment</t>
  </si>
  <si>
    <t>001 / 02 - TAMPA / 39800</t>
  </si>
  <si>
    <t>001 / 03 - ST PETERSBURG / 39800</t>
  </si>
  <si>
    <t>001 / 04 - ORLANDO / 39800</t>
  </si>
  <si>
    <t>001 / 05 - TRIANGLE / 39800</t>
  </si>
  <si>
    <t>001 / 06 - JACKSONVILLE / 39800</t>
  </si>
  <si>
    <t>001 / 08 - LAKELAND / 39800</t>
  </si>
  <si>
    <t>001 / 09 - DAYTONA / 39800</t>
  </si>
  <si>
    <t>001 / 10 - HIGHLANDS / 39800</t>
  </si>
  <si>
    <t>001 / 11 - SARASOTA / 39800</t>
  </si>
  <si>
    <t>001 / 13 - PALM BEACH / 39800</t>
  </si>
  <si>
    <t>001 / 14 - PANAMA CITY / 39800</t>
  </si>
  <si>
    <t>001 / 15 - OCALA / 39800</t>
  </si>
  <si>
    <t>001 / 16 - S.W.FL / 39800</t>
  </si>
  <si>
    <t>001 / 90 - CORPORATE / 39800</t>
  </si>
  <si>
    <t>2014 Actual</t>
  </si>
  <si>
    <t>2013 Actual</t>
  </si>
  <si>
    <t>FMV Factor</t>
  </si>
  <si>
    <t>FMV FACTOR</t>
  </si>
  <si>
    <t>Filed</t>
  </si>
  <si>
    <t>2015 Actual</t>
  </si>
  <si>
    <t>COUNTY</t>
  </si>
  <si>
    <t>ALLOC FACTOR</t>
  </si>
  <si>
    <t>001 / 04 - ORLANDO / 39401 - 104</t>
  </si>
  <si>
    <t>39401 - CNG Station Equipment</t>
  </si>
  <si>
    <t>001 / 06-JACKSONVILLE / 39401 - 104</t>
  </si>
  <si>
    <t>001 / 15 - OCALA / 30301</t>
  </si>
  <si>
    <t>001 / 08 - LAKELAND / 39000</t>
  </si>
  <si>
    <t>001 / 11 - SARASOTA / 39300</t>
  </si>
  <si>
    <t>001 / 01 - DADE - BROWARD / 39401</t>
  </si>
  <si>
    <t>001 / 04 - ORLANDO / 39401</t>
  </si>
  <si>
    <t>001 / 90 - CORPORATE / 39401</t>
  </si>
  <si>
    <t>Property Accounts (101,104,105,106,114, 18679)</t>
  </si>
  <si>
    <t>added acct 104 orlando</t>
  </si>
  <si>
    <t>added acct 104 jax to this line</t>
  </si>
  <si>
    <t>Utility Plant in Service (101, 104, 106, 18679)</t>
  </si>
  <si>
    <t>2016 Actual</t>
  </si>
  <si>
    <t>2017 Actual</t>
  </si>
  <si>
    <t>001 / 06 - JACKSONVILLE / 39401</t>
  </si>
  <si>
    <t>39401 - C</t>
  </si>
  <si>
    <t>added acct 104 St Augistin</t>
  </si>
  <si>
    <t>n/a see hills appraisal</t>
  </si>
  <si>
    <t>33600 - Hillsborough County RNG</t>
  </si>
  <si>
    <t>Hills CO RNG</t>
  </si>
  <si>
    <t>Gas Heat Pump Initiative</t>
  </si>
  <si>
    <t>TPP Est</t>
  </si>
  <si>
    <t>CWIP</t>
  </si>
  <si>
    <t xml:space="preserve">2019 Property Tax Return </t>
  </si>
  <si>
    <t>ORIGINAL COST 12/31/18</t>
  </si>
  <si>
    <t>FMV 12/31/18</t>
  </si>
  <si>
    <t>2018 Actual</t>
  </si>
  <si>
    <t>Est Real Est</t>
  </si>
  <si>
    <t>THIS PAGE N/A FOR 2021 BUDGET APPRAISAL</t>
  </si>
  <si>
    <t>sum of 105 and 115</t>
  </si>
  <si>
    <t>Forecasted Net Operating Income - December 31, 2020</t>
  </si>
  <si>
    <t>2021 Property Tax Budget</t>
  </si>
  <si>
    <t>Summary of Property</t>
  </si>
  <si>
    <t>Compressor Station Equip</t>
  </si>
  <si>
    <t>Mils TPP</t>
  </si>
  <si>
    <t>Mils Real Property</t>
  </si>
  <si>
    <t>Assessed</t>
  </si>
  <si>
    <t>Gross Plant Balances</t>
  </si>
  <si>
    <t>Orig Cost</t>
  </si>
  <si>
    <t>Depr</t>
  </si>
  <si>
    <t>FERC Description</t>
  </si>
  <si>
    <t>39900 - Other Tangible Property</t>
  </si>
  <si>
    <t>101 + 106</t>
  </si>
  <si>
    <t>Check to SOP Worksheet</t>
  </si>
  <si>
    <t>PHFFU</t>
  </si>
  <si>
    <t>Acquisition Adjustment</t>
  </si>
  <si>
    <t>Organization &amp; Frachise Costs</t>
  </si>
  <si>
    <t>Distribution</t>
  </si>
  <si>
    <t>General Plant</t>
  </si>
  <si>
    <t>303 (01,02)</t>
  </si>
  <si>
    <t>INTANGIBLE SOFTWARE</t>
  </si>
  <si>
    <t>LAND AND LAND RIGHTS</t>
  </si>
  <si>
    <t>STRUCTURES AND IMPROVEMENTS</t>
  </si>
  <si>
    <t>STRUCTURES AND IMPROVEMENTS &amp; LEASEHOLD</t>
  </si>
  <si>
    <t>391 (00,01,02,03)</t>
  </si>
  <si>
    <t>COMPUTER EQUIPMENT</t>
  </si>
  <si>
    <t>LNG Plant</t>
  </si>
  <si>
    <t>11% is the expected high point in the new range of allowed ROE following rate case settlement in Oct 2020</t>
  </si>
  <si>
    <t>filed vs</t>
  </si>
  <si>
    <t>assessed factor</t>
  </si>
  <si>
    <t>38602 - Other Property Cust Premise</t>
  </si>
  <si>
    <t>38608 - Other Property Cust Premise</t>
  </si>
  <si>
    <t>2019 Actual</t>
  </si>
  <si>
    <t>2020 Actual</t>
  </si>
  <si>
    <t>37700 - Compressor Equipment</t>
  </si>
  <si>
    <t xml:space="preserve">TPP TRIM </t>
  </si>
  <si>
    <t>2021 Actual</t>
  </si>
  <si>
    <t>2022 Forecast</t>
  </si>
  <si>
    <t>2020 Through 2023 N.O.I.  - Dollars In Thousands</t>
  </si>
  <si>
    <t>Actual TPP</t>
  </si>
  <si>
    <t>Filed TPP</t>
  </si>
  <si>
    <t>ACTUAL</t>
  </si>
  <si>
    <t>RealAssessed</t>
  </si>
  <si>
    <t>TAX ACTUAL</t>
  </si>
  <si>
    <t>2023 Forecast</t>
  </si>
  <si>
    <t>33600-Renewable Natural Gas (RNG)</t>
  </si>
  <si>
    <t>36400-Liquified Natural Gas (LNG)</t>
  </si>
  <si>
    <t>10400a</t>
  </si>
  <si>
    <t>Depreciation Credit</t>
  </si>
  <si>
    <t>PLANT BALANCES - SURVEILLANCE</t>
  </si>
  <si>
    <t xml:space="preserve">2017 Budget </t>
  </si>
  <si>
    <t xml:space="preserve">2017 1+11 </t>
  </si>
  <si>
    <t xml:space="preserve">2017 2+10 </t>
  </si>
  <si>
    <t xml:space="preserve">2017 3+9 </t>
  </si>
  <si>
    <t>Variance vs. Budget</t>
  </si>
  <si>
    <t>YTD Variance vs. Budget</t>
  </si>
  <si>
    <t>Depr Tax Rate  3.12%</t>
  </si>
  <si>
    <t>_____12/31/2021_____</t>
  </si>
  <si>
    <t>_____22 v. 21_____</t>
  </si>
  <si>
    <t>2024 TPP</t>
  </si>
  <si>
    <t>2024 Tax</t>
  </si>
  <si>
    <t>Total 2024</t>
  </si>
  <si>
    <t>2024 Estimated Tax</t>
  </si>
  <si>
    <t>2023 Budget - Tax</t>
  </si>
  <si>
    <t>Dec 31, 2023</t>
  </si>
  <si>
    <t>_____12/31/2023 _____</t>
  </si>
  <si>
    <t>Plant In Service, Depreciation and Amortization 12/31/2023</t>
  </si>
  <si>
    <t>2024 Property Tax</t>
  </si>
  <si>
    <t>January 1, 2024</t>
  </si>
  <si>
    <t>Forecast Balance</t>
  </si>
  <si>
    <t xml:space="preserve">Peoples Gas System 2024 BUDGET Property Tax Appraisal </t>
  </si>
  <si>
    <t xml:space="preserve">Peoples Gas System 2024 BUDGET Property Tax Return </t>
  </si>
  <si>
    <t>2024 Appraisal NOI</t>
  </si>
  <si>
    <t>2023 forecast</t>
  </si>
  <si>
    <t>2022 forecast</t>
  </si>
  <si>
    <t>2024 Appraisal</t>
  </si>
  <si>
    <t>Determine 2024 Net Operating Income to Capitalize</t>
  </si>
  <si>
    <t>2024 Est</t>
  </si>
  <si>
    <t>12/31/23 LTD Balance</t>
  </si>
  <si>
    <t>2023 Interest on LTD</t>
  </si>
  <si>
    <t>weighted cost of debt</t>
  </si>
  <si>
    <t>1/1/23 LTD Balance</t>
  </si>
  <si>
    <t>2023 YE Forecast totals below</t>
  </si>
  <si>
    <t>Forecast for Plant In Service, Depreciation and Amortization December 31, 2023</t>
  </si>
  <si>
    <t>2024 Property Tax Budget</t>
  </si>
  <si>
    <t>--------ORIGINAL COST 12/31/21--------</t>
  </si>
  <si>
    <t>Factors below were from 2022 Appraisal - most current allocation factors available for use at time of 2024 budget</t>
  </si>
  <si>
    <t>updated Summary 2023 LTD for 2024 PTAX BUDGET APPRAISAL</t>
  </si>
  <si>
    <t>Assumed 2024 Effective Tax Rate - TPP</t>
  </si>
  <si>
    <t xml:space="preserve">Assumed 2024 Effective Tax Rate - Real </t>
  </si>
  <si>
    <t>2022 TPP TAX</t>
  </si>
  <si>
    <t>2022 TPP</t>
  </si>
  <si>
    <t xml:space="preserve">2022 REAL EST </t>
  </si>
  <si>
    <t>2021 Effective</t>
  </si>
  <si>
    <t>Summary of 2023 Forecast values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</si>
</sst>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0.0%"/>
    <numFmt numFmtId="168" formatCode="[$-409]mmmm\ d\,\ yyyy;@"/>
    <numFmt numFmtId="169" formatCode="0_);\(0\)"/>
    <numFmt numFmtId="170" formatCode="0.00000%"/>
    <numFmt numFmtId="171" formatCode="_(&quot;$&quot;* #,##0.000_);_(&quot;$&quot;* \(#,##0.000\);_(&quot;$&quot;* &quot;-&quot;???_);_(@_)"/>
    <numFmt numFmtId="172" formatCode="0.0000%"/>
    <numFmt numFmtId="173" formatCode="[$-F800]dddd\,\ mmmm\ dd\,\ yyyy"/>
    <numFmt numFmtId="174" formatCode="mm/dd/yy;@"/>
    <numFmt numFmtId="175" formatCode="0.0000000%"/>
    <numFmt numFmtId="176" formatCode="_(* #,##0.000000_);_(* \(#,##0.000000\);_(* &quot;-&quot;??_);_(@_)"/>
    <numFmt numFmtId="177" formatCode="0.000000"/>
    <numFmt numFmtId="178" formatCode="0.000"/>
  </numFmts>
  <fonts count="1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sz val="14"/>
      <name val="Times New Roman"/>
      <family val="1"/>
    </font>
    <font>
      <sz val="12"/>
      <color indexed="59"/>
      <name val="Times New Roman"/>
      <family val="1"/>
    </font>
    <font>
      <sz val="14"/>
      <color indexed="8"/>
      <name val="Times New Roman"/>
      <family val="1"/>
    </font>
    <font>
      <i/>
      <sz val="10"/>
      <color indexed="8"/>
      <name val="Times New Roman"/>
      <family val="1"/>
    </font>
    <font>
      <sz val="9"/>
      <color indexed="12"/>
      <name val="Times New Roman"/>
      <family val="1"/>
    </font>
    <font>
      <u/>
      <sz val="9"/>
      <color indexed="8"/>
      <name val="Times New Roman"/>
      <family val="1"/>
    </font>
    <font>
      <i/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sz val="12"/>
      <color indexed="12"/>
      <name val="Times New Roman"/>
      <family val="1"/>
    </font>
    <font>
      <i/>
      <sz val="12"/>
      <name val="Times New Roman"/>
      <family val="1"/>
    </font>
    <font>
      <i/>
      <u/>
      <sz val="12"/>
      <name val="Times New Roman"/>
      <family val="1"/>
    </font>
    <font>
      <u/>
      <sz val="14"/>
      <name val="Times New Roman"/>
      <family val="1"/>
    </font>
    <font>
      <sz val="14"/>
      <color indexed="59"/>
      <name val="Times New Roman"/>
      <family val="1"/>
    </font>
    <font>
      <b/>
      <sz val="14"/>
      <name val="Times New Roman"/>
      <family val="1"/>
    </font>
    <font>
      <sz val="12"/>
      <name val="SWISS"/>
    </font>
    <font>
      <b/>
      <sz val="12"/>
      <color theme="5" tint="-0.499984740745262"/>
      <name val="Times New Roman"/>
      <family val="1"/>
    </font>
    <font>
      <b/>
      <u/>
      <sz val="12"/>
      <color theme="5" tint="-0.499984740745262"/>
      <name val="Times New Roman"/>
      <family val="1"/>
    </font>
    <font>
      <b/>
      <sz val="12"/>
      <color rgb="FF7030A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rgb="FF0000CC"/>
      <name val="Times New Roman"/>
      <family val="1"/>
    </font>
    <font>
      <b/>
      <sz val="12"/>
      <color rgb="FF003300"/>
      <name val="Times New Roman"/>
      <family val="1"/>
    </font>
    <font>
      <u/>
      <sz val="14"/>
      <color indexed="59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rgb="FF3B0D18"/>
      <name val="Times New Roman"/>
      <family val="1"/>
    </font>
    <font>
      <b/>
      <u/>
      <sz val="12"/>
      <name val="Times New Roman"/>
      <family val="1"/>
    </font>
    <font>
      <b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12"/>
      <color indexed="12"/>
      <name val="Times New Roman"/>
      <family val="1"/>
    </font>
    <font>
      <b/>
      <sz val="9"/>
      <color indexed="1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10"/>
      <name val="Times New Roman"/>
      <family val="1"/>
    </font>
    <font>
      <i/>
      <sz val="9"/>
      <name val="Times New Roman"/>
      <family val="1"/>
    </font>
    <font>
      <sz val="10"/>
      <color theme="1"/>
      <name val="Times New Roman"/>
      <family val="1"/>
    </font>
    <font>
      <i/>
      <sz val="8"/>
      <name val="Times New Roman"/>
      <family val="1"/>
    </font>
    <font>
      <b/>
      <sz val="10"/>
      <color theme="1"/>
      <name val="Times New Roman"/>
      <family val="1"/>
    </font>
    <font>
      <b/>
      <i/>
      <u/>
      <sz val="10"/>
      <name val="Times New Roman"/>
      <family val="1"/>
    </font>
    <font>
      <sz val="10"/>
      <color indexed="0"/>
      <name val="Times New Roman"/>
      <family val="1"/>
    </font>
    <font>
      <sz val="10"/>
      <color indexed="0"/>
      <name val="Tahoma"/>
      <family val="2"/>
    </font>
    <font>
      <sz val="10"/>
      <color indexed="10"/>
      <name val="Times New Roman"/>
      <family val="1"/>
    </font>
    <font>
      <sz val="10"/>
      <color rgb="FF7030A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3300"/>
      <name val="Times New Roman"/>
      <family val="1"/>
    </font>
    <font>
      <sz val="16"/>
      <name val="Times New Roman"/>
      <family val="1"/>
    </font>
    <font>
      <b/>
      <sz val="14"/>
      <color indexed="8"/>
      <name val="Times New Roman"/>
      <family val="1"/>
    </font>
    <font>
      <u val="singleAccounting"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9"/>
      <color indexed="59"/>
      <name val="Times New Roman"/>
      <family val="1"/>
    </font>
    <font>
      <u/>
      <sz val="9"/>
      <color indexed="59"/>
      <name val="Times New Roman"/>
      <family val="1"/>
    </font>
    <font>
      <u/>
      <sz val="9"/>
      <name val="Times New Roman"/>
      <family val="1"/>
    </font>
    <font>
      <sz val="9"/>
      <name val="Arial"/>
      <family val="2"/>
    </font>
    <font>
      <u val="singleAccounting"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b/>
      <sz val="11"/>
      <color rgb="FF3B0D18"/>
      <name val="Times New Roman"/>
      <family val="1"/>
    </font>
    <font>
      <b/>
      <sz val="11"/>
      <color rgb="FF0000CC"/>
      <name val="Times New Roman"/>
      <family val="1"/>
    </font>
    <font>
      <u/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b/>
      <u val="singleAccounting"/>
      <sz val="14"/>
      <name val="Times New Roman"/>
      <family val="1"/>
    </font>
    <font>
      <b/>
      <u/>
      <sz val="12"/>
      <color indexed="59"/>
      <name val="Times New Roman"/>
      <family val="1"/>
    </font>
    <font>
      <b/>
      <u/>
      <sz val="14"/>
      <color indexed="59"/>
      <name val="Times New Roman"/>
      <family val="1"/>
    </font>
    <font>
      <b/>
      <sz val="14"/>
      <color indexed="59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 val="singleAccounting"/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  <xf numFmtId="0" fontId="64" fillId="0" borderId="0"/>
    <xf numFmtId="0" fontId="1" fillId="0" borderId="0"/>
    <xf numFmtId="0" fontId="71" fillId="0" borderId="0"/>
  </cellStyleXfs>
  <cellXfs count="76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2" fontId="9" fillId="0" borderId="0" xfId="0" applyNumberFormat="1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2" fontId="5" fillId="0" borderId="0" xfId="0" applyNumberFormat="1" applyFont="1"/>
    <xf numFmtId="0" fontId="9" fillId="0" borderId="0" xfId="0" applyFont="1" applyAlignment="1">
      <alignment horizontal="centerContinuous"/>
    </xf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165" fontId="9" fillId="0" borderId="0" xfId="3" applyNumberFormat="1" applyFont="1" applyFill="1" applyBorder="1"/>
    <xf numFmtId="166" fontId="9" fillId="0" borderId="0" xfId="2" applyNumberFormat="1" applyFont="1" applyBorder="1"/>
    <xf numFmtId="0" fontId="12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37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10" fontId="18" fillId="2" borderId="0" xfId="3" applyNumberFormat="1" applyFont="1" applyFill="1" applyBorder="1" applyAlignment="1">
      <alignment horizontal="left"/>
    </xf>
    <xf numFmtId="167" fontId="5" fillId="0" borderId="0" xfId="0" applyNumberFormat="1" applyFont="1"/>
    <xf numFmtId="167" fontId="18" fillId="0" borderId="0" xfId="0" applyNumberFormat="1" applyFont="1"/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left"/>
    </xf>
    <xf numFmtId="0" fontId="18" fillId="0" borderId="0" xfId="0" applyFont="1"/>
    <xf numFmtId="10" fontId="18" fillId="2" borderId="0" xfId="3" applyNumberFormat="1" applyFont="1" applyFill="1" applyBorder="1" applyAlignment="1"/>
    <xf numFmtId="0" fontId="13" fillId="0" borderId="0" xfId="0" applyFont="1" applyAlignment="1">
      <alignment horizontal="centerContinuous"/>
    </xf>
    <xf numFmtId="0" fontId="12" fillId="0" borderId="0" xfId="0" applyFont="1"/>
    <xf numFmtId="0" fontId="20" fillId="0" borderId="0" xfId="0" applyFont="1" applyAlignment="1" applyProtection="1">
      <alignment horizontal="centerContinuous"/>
      <protection locked="0"/>
    </xf>
    <xf numFmtId="0" fontId="13" fillId="0" borderId="0" xfId="0" applyFont="1" applyAlignment="1" applyProtection="1">
      <alignment horizontal="centerContinuous"/>
      <protection locked="0"/>
    </xf>
    <xf numFmtId="0" fontId="14" fillId="0" borderId="0" xfId="0" applyFont="1"/>
    <xf numFmtId="0" fontId="7" fillId="0" borderId="0" xfId="0" applyFont="1" applyAlignment="1">
      <alignment horizontal="center"/>
    </xf>
    <xf numFmtId="0" fontId="13" fillId="0" borderId="0" xfId="0" applyFont="1"/>
    <xf numFmtId="164" fontId="12" fillId="0" borderId="0" xfId="1" applyNumberFormat="1" applyFont="1" applyBorder="1"/>
    <xf numFmtId="37" fontId="15" fillId="0" borderId="0" xfId="0" applyNumberFormat="1" applyFont="1"/>
    <xf numFmtId="0" fontId="21" fillId="0" borderId="0" xfId="0" applyFont="1" applyAlignment="1">
      <alignment horizontal="centerContinuous"/>
    </xf>
    <xf numFmtId="0" fontId="3" fillId="0" borderId="0" xfId="0" applyFont="1"/>
    <xf numFmtId="0" fontId="1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37" fontId="14" fillId="0" borderId="1" xfId="2" applyNumberFormat="1" applyFont="1" applyBorder="1" applyProtection="1">
      <protection locked="0"/>
    </xf>
    <xf numFmtId="10" fontId="9" fillId="0" borderId="1" xfId="3" applyNumberFormat="1" applyFont="1" applyBorder="1"/>
    <xf numFmtId="5" fontId="14" fillId="0" borderId="0" xfId="0" applyNumberFormat="1" applyFont="1"/>
    <xf numFmtId="0" fontId="23" fillId="0" borderId="0" xfId="0" applyFont="1" applyAlignment="1">
      <alignment horizontal="center"/>
    </xf>
    <xf numFmtId="10" fontId="14" fillId="0" borderId="0" xfId="0" applyNumberFormat="1" applyFont="1"/>
    <xf numFmtId="164" fontId="14" fillId="0" borderId="0" xfId="1" applyNumberFormat="1" applyFont="1" applyBorder="1"/>
    <xf numFmtId="9" fontId="14" fillId="0" borderId="0" xfId="3" applyFont="1" applyBorder="1"/>
    <xf numFmtId="0" fontId="14" fillId="0" borderId="0" xfId="0" applyFont="1" applyAlignment="1" applyProtection="1">
      <alignment horizontal="centerContinuous"/>
      <protection locked="0"/>
    </xf>
    <xf numFmtId="0" fontId="9" fillId="0" borderId="0" xfId="0" applyFont="1" applyAlignment="1">
      <alignment horizontal="right"/>
    </xf>
    <xf numFmtId="0" fontId="23" fillId="0" borderId="0" xfId="0" applyFont="1" applyAlignment="1">
      <alignment horizontal="centerContinuous"/>
    </xf>
    <xf numFmtId="0" fontId="9" fillId="0" borderId="0" xfId="0" quotePrefix="1" applyFont="1" applyAlignment="1">
      <alignment horizontal="center"/>
    </xf>
    <xf numFmtId="0" fontId="24" fillId="0" borderId="0" xfId="0" applyFont="1" applyAlignment="1" applyProtection="1">
      <alignment horizontal="centerContinuous"/>
      <protection locked="0"/>
    </xf>
    <xf numFmtId="42" fontId="10" fillId="0" borderId="0" xfId="0" applyNumberFormat="1" applyFont="1"/>
    <xf numFmtId="0" fontId="16" fillId="0" borderId="0" xfId="0" applyFont="1" applyAlignment="1">
      <alignment horizontal="centerContinuous"/>
    </xf>
    <xf numFmtId="0" fontId="16" fillId="0" borderId="0" xfId="0" applyFont="1"/>
    <xf numFmtId="10" fontId="9" fillId="0" borderId="0" xfId="0" applyNumberFormat="1" applyFont="1"/>
    <xf numFmtId="0" fontId="25" fillId="0" borderId="0" xfId="0" applyFont="1"/>
    <xf numFmtId="15" fontId="16" fillId="0" borderId="0" xfId="0" quotePrefix="1" applyNumberFormat="1" applyFont="1" applyAlignment="1">
      <alignment horizontal="centerContinuous"/>
    </xf>
    <xf numFmtId="0" fontId="9" fillId="0" borderId="0" xfId="0" quotePrefix="1" applyFont="1"/>
    <xf numFmtId="14" fontId="8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left"/>
    </xf>
    <xf numFmtId="37" fontId="17" fillId="0" borderId="0" xfId="0" applyNumberFormat="1" applyFont="1" applyProtection="1">
      <protection locked="0"/>
    </xf>
    <xf numFmtId="0" fontId="9" fillId="0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Border="1"/>
    <xf numFmtId="164" fontId="5" fillId="0" borderId="0" xfId="0" applyNumberFormat="1" applyFont="1"/>
    <xf numFmtId="0" fontId="26" fillId="0" borderId="0" xfId="0" applyFont="1" applyAlignment="1">
      <alignment horizontal="left"/>
    </xf>
    <xf numFmtId="5" fontId="14" fillId="0" borderId="0" xfId="3" applyNumberFormat="1" applyFont="1" applyBorder="1"/>
    <xf numFmtId="44" fontId="5" fillId="0" borderId="0" xfId="0" applyNumberFormat="1" applyFont="1"/>
    <xf numFmtId="42" fontId="14" fillId="0" borderId="0" xfId="2" applyNumberFormat="1" applyFont="1" applyBorder="1" applyProtection="1">
      <protection locked="0"/>
    </xf>
    <xf numFmtId="42" fontId="14" fillId="0" borderId="0" xfId="0" applyNumberFormat="1" applyFont="1"/>
    <xf numFmtId="168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right"/>
    </xf>
    <xf numFmtId="166" fontId="16" fillId="0" borderId="0" xfId="2" applyNumberFormat="1" applyFont="1"/>
    <xf numFmtId="166" fontId="16" fillId="0" borderId="0" xfId="2" applyNumberFormat="1" applyFont="1" applyBorder="1"/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center"/>
    </xf>
    <xf numFmtId="164" fontId="16" fillId="0" borderId="0" xfId="1" applyNumberFormat="1" applyFont="1" applyBorder="1"/>
    <xf numFmtId="42" fontId="16" fillId="0" borderId="0" xfId="0" applyNumberFormat="1" applyFont="1"/>
    <xf numFmtId="164" fontId="16" fillId="0" borderId="0" xfId="0" applyNumberFormat="1" applyFont="1"/>
    <xf numFmtId="41" fontId="16" fillId="0" borderId="0" xfId="1" applyNumberFormat="1" applyFont="1" applyBorder="1"/>
    <xf numFmtId="164" fontId="16" fillId="0" borderId="0" xfId="0" applyNumberFormat="1" applyFont="1" applyAlignment="1">
      <alignment horizontal="right"/>
    </xf>
    <xf numFmtId="41" fontId="14" fillId="0" borderId="1" xfId="2" applyNumberFormat="1" applyFont="1" applyBorder="1" applyProtection="1">
      <protection locked="0"/>
    </xf>
    <xf numFmtId="41" fontId="14" fillId="3" borderId="0" xfId="2" applyNumberFormat="1" applyFont="1" applyFill="1" applyBorder="1"/>
    <xf numFmtId="41" fontId="14" fillId="3" borderId="1" xfId="2" applyNumberFormat="1" applyFont="1" applyFill="1" applyBorder="1"/>
    <xf numFmtId="42" fontId="14" fillId="0" borderId="4" xfId="2" applyNumberFormat="1" applyFont="1" applyBorder="1" applyProtection="1">
      <protection locked="0"/>
    </xf>
    <xf numFmtId="42" fontId="14" fillId="2" borderId="0" xfId="2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left"/>
    </xf>
    <xf numFmtId="166" fontId="16" fillId="0" borderId="3" xfId="0" applyNumberFormat="1" applyFont="1" applyBorder="1"/>
    <xf numFmtId="166" fontId="16" fillId="0" borderId="2" xfId="0" applyNumberFormat="1" applyFont="1" applyBorder="1"/>
    <xf numFmtId="10" fontId="16" fillId="5" borderId="0" xfId="3" applyNumberFormat="1" applyFont="1" applyFill="1"/>
    <xf numFmtId="167" fontId="16" fillId="0" borderId="0" xfId="0" applyNumberFormat="1" applyFont="1"/>
    <xf numFmtId="0" fontId="29" fillId="0" borderId="0" xfId="0" applyFont="1" applyAlignment="1">
      <alignment horizontal="left"/>
    </xf>
    <xf numFmtId="0" fontId="4" fillId="0" borderId="0" xfId="0" applyFont="1"/>
    <xf numFmtId="42" fontId="4" fillId="0" borderId="0" xfId="0" applyNumberFormat="1" applyFont="1"/>
    <xf numFmtId="0" fontId="35" fillId="0" borderId="0" xfId="0" applyFont="1" applyAlignment="1">
      <alignment horizontal="left"/>
    </xf>
    <xf numFmtId="0" fontId="35" fillId="0" borderId="0" xfId="0" applyFont="1"/>
    <xf numFmtId="42" fontId="35" fillId="0" borderId="0" xfId="0" applyNumberFormat="1" applyFont="1"/>
    <xf numFmtId="0" fontId="35" fillId="0" borderId="0" xfId="0" applyFont="1" applyAlignment="1">
      <alignment horizontal="center"/>
    </xf>
    <xf numFmtId="41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center" wrapText="1"/>
    </xf>
    <xf numFmtId="0" fontId="11" fillId="0" borderId="0" xfId="0" applyFont="1"/>
    <xf numFmtId="14" fontId="11" fillId="0" borderId="0" xfId="0" applyNumberFormat="1" applyFont="1" applyAlignment="1">
      <alignment horizontal="centerContinuous"/>
    </xf>
    <xf numFmtId="42" fontId="35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167" fontId="35" fillId="0" borderId="0" xfId="0" applyNumberFormat="1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right"/>
    </xf>
    <xf numFmtId="0" fontId="36" fillId="0" borderId="0" xfId="0" applyFont="1" applyAlignment="1">
      <alignment wrapText="1"/>
    </xf>
    <xf numFmtId="42" fontId="37" fillId="0" borderId="0" xfId="0" applyNumberFormat="1" applyFont="1" applyAlignment="1">
      <alignment horizontal="center"/>
    </xf>
    <xf numFmtId="42" fontId="36" fillId="0" borderId="0" xfId="0" applyNumberFormat="1" applyFont="1"/>
    <xf numFmtId="42" fontId="36" fillId="0" borderId="0" xfId="0" applyNumberFormat="1" applyFont="1" applyAlignment="1">
      <alignment horizontal="right"/>
    </xf>
    <xf numFmtId="41" fontId="36" fillId="0" borderId="0" xfId="0" applyNumberFormat="1" applyFont="1" applyAlignment="1">
      <alignment horizontal="right"/>
    </xf>
    <xf numFmtId="42" fontId="36" fillId="0" borderId="3" xfId="0" applyNumberFormat="1" applyFont="1" applyBorder="1"/>
    <xf numFmtId="41" fontId="36" fillId="0" borderId="0" xfId="0" applyNumberFormat="1" applyFont="1"/>
    <xf numFmtId="41" fontId="36" fillId="0" borderId="0" xfId="0" applyNumberFormat="1" applyFont="1" applyAlignment="1">
      <alignment horizontal="right" wrapText="1"/>
    </xf>
    <xf numFmtId="42" fontId="36" fillId="0" borderId="3" xfId="0" applyNumberFormat="1" applyFont="1" applyBorder="1" applyAlignment="1">
      <alignment horizontal="right"/>
    </xf>
    <xf numFmtId="42" fontId="36" fillId="0" borderId="5" xfId="0" applyNumberFormat="1" applyFont="1" applyBorder="1" applyAlignment="1">
      <alignment horizontal="right"/>
    </xf>
    <xf numFmtId="42" fontId="36" fillId="0" borderId="6" xfId="0" applyNumberFormat="1" applyFont="1" applyBorder="1" applyAlignment="1">
      <alignment horizontal="right"/>
    </xf>
    <xf numFmtId="42" fontId="36" fillId="0" borderId="7" xfId="0" applyNumberFormat="1" applyFont="1" applyBorder="1"/>
    <xf numFmtId="167" fontId="34" fillId="0" borderId="0" xfId="0" applyNumberFormat="1" applyFont="1" applyAlignment="1">
      <alignment horizontal="right"/>
    </xf>
    <xf numFmtId="41" fontId="16" fillId="0" borderId="0" xfId="0" applyNumberFormat="1" applyFont="1"/>
    <xf numFmtId="0" fontId="6" fillId="0" borderId="0" xfId="0" applyFont="1"/>
    <xf numFmtId="10" fontId="35" fillId="0" borderId="0" xfId="0" applyNumberFormat="1" applyFont="1"/>
    <xf numFmtId="41" fontId="12" fillId="0" borderId="0" xfId="0" applyNumberFormat="1" applyFont="1"/>
    <xf numFmtId="41" fontId="12" fillId="0" borderId="0" xfId="1" applyNumberFormat="1" applyFont="1"/>
    <xf numFmtId="41" fontId="40" fillId="0" borderId="0" xfId="0" applyNumberFormat="1" applyFont="1" applyAlignment="1">
      <alignment horizontal="right"/>
    </xf>
    <xf numFmtId="42" fontId="40" fillId="0" borderId="0" xfId="0" applyNumberFormat="1" applyFont="1"/>
    <xf numFmtId="41" fontId="14" fillId="0" borderId="1" xfId="1" applyNumberFormat="1" applyFont="1" applyBorder="1"/>
    <xf numFmtId="42" fontId="9" fillId="0" borderId="0" xfId="3" applyNumberFormat="1" applyFont="1" applyFill="1" applyBorder="1"/>
    <xf numFmtId="42" fontId="16" fillId="0" borderId="0" xfId="1" applyNumberFormat="1" applyFont="1" applyBorder="1"/>
    <xf numFmtId="41" fontId="5" fillId="0" borderId="0" xfId="0" applyNumberFormat="1" applyFont="1"/>
    <xf numFmtId="42" fontId="5" fillId="0" borderId="3" xfId="0" applyNumberFormat="1" applyFont="1" applyBorder="1"/>
    <xf numFmtId="42" fontId="5" fillId="0" borderId="3" xfId="1" applyNumberFormat="1" applyFont="1" applyBorder="1"/>
    <xf numFmtId="42" fontId="5" fillId="0" borderId="2" xfId="0" applyNumberFormat="1" applyFont="1" applyBorder="1"/>
    <xf numFmtId="0" fontId="5" fillId="0" borderId="0" xfId="0" applyFont="1" applyAlignment="1">
      <alignment horizontal="left"/>
    </xf>
    <xf numFmtId="166" fontId="5" fillId="0" borderId="0" xfId="2" applyNumberFormat="1" applyFont="1" applyBorder="1" applyAlignment="1">
      <alignment horizontal="center"/>
    </xf>
    <xf numFmtId="166" fontId="5" fillId="0" borderId="0" xfId="0" applyNumberFormat="1" applyFont="1"/>
    <xf numFmtId="166" fontId="9" fillId="0" borderId="0" xfId="2" applyNumberFormat="1" applyFont="1" applyBorder="1" applyAlignment="1">
      <alignment horizontal="center"/>
    </xf>
    <xf numFmtId="42" fontId="16" fillId="0" borderId="0" xfId="0" applyNumberFormat="1" applyFont="1" applyAlignment="1">
      <alignment horizontal="centerContinuous"/>
    </xf>
    <xf numFmtId="42" fontId="9" fillId="0" borderId="0" xfId="0" quotePrefix="1" applyNumberFormat="1" applyFont="1" applyAlignment="1">
      <alignment horizontal="center"/>
    </xf>
    <xf numFmtId="42" fontId="9" fillId="0" borderId="0" xfId="0" applyNumberFormat="1" applyFont="1" applyAlignment="1">
      <alignment horizontal="centerContinuous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Continuous"/>
    </xf>
    <xf numFmtId="0" fontId="42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10" fontId="16" fillId="0" borderId="0" xfId="3" applyNumberFormat="1" applyFont="1" applyBorder="1"/>
    <xf numFmtId="42" fontId="39" fillId="0" borderId="0" xfId="0" applyNumberFormat="1" applyFont="1"/>
    <xf numFmtId="5" fontId="14" fillId="0" borderId="0" xfId="3" applyNumberFormat="1" applyFont="1" applyBorder="1" applyAlignment="1">
      <alignment horizontal="centerContinuous"/>
    </xf>
    <xf numFmtId="0" fontId="14" fillId="0" borderId="0" xfId="0" applyFont="1" applyAlignment="1">
      <alignment horizontal="center"/>
    </xf>
    <xf numFmtId="37" fontId="43" fillId="0" borderId="0" xfId="0" applyNumberFormat="1" applyFont="1"/>
    <xf numFmtId="41" fontId="9" fillId="0" borderId="1" xfId="0" applyNumberFormat="1" applyFont="1" applyBorder="1"/>
    <xf numFmtId="41" fontId="14" fillId="0" borderId="0" xfId="0" applyNumberFormat="1" applyFont="1"/>
    <xf numFmtId="42" fontId="14" fillId="0" borderId="3" xfId="0" applyNumberFormat="1" applyFont="1" applyBorder="1" applyProtection="1">
      <protection locked="0"/>
    </xf>
    <xf numFmtId="10" fontId="9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4" fillId="0" borderId="0" xfId="0" applyFont="1"/>
    <xf numFmtId="0" fontId="45" fillId="0" borderId="0" xfId="0" applyFont="1"/>
    <xf numFmtId="42" fontId="44" fillId="0" borderId="0" xfId="0" applyNumberFormat="1" applyFont="1"/>
    <xf numFmtId="10" fontId="16" fillId="0" borderId="0" xfId="3" applyNumberFormat="1" applyFont="1"/>
    <xf numFmtId="164" fontId="16" fillId="0" borderId="0" xfId="1" applyNumberFormat="1" applyFont="1"/>
    <xf numFmtId="166" fontId="16" fillId="0" borderId="3" xfId="2" applyNumberFormat="1" applyFont="1" applyBorder="1"/>
    <xf numFmtId="164" fontId="16" fillId="0" borderId="1" xfId="1" applyNumberFormat="1" applyFont="1" applyBorder="1"/>
    <xf numFmtId="9" fontId="16" fillId="0" borderId="0" xfId="3" applyFont="1" applyBorder="1" applyAlignment="1">
      <alignment horizontal="center"/>
    </xf>
    <xf numFmtId="9" fontId="16" fillId="0" borderId="0" xfId="3" applyFont="1" applyBorder="1"/>
    <xf numFmtId="10" fontId="16" fillId="0" borderId="0" xfId="3" applyNumberFormat="1" applyFont="1" applyFill="1" applyBorder="1"/>
    <xf numFmtId="0" fontId="16" fillId="0" borderId="0" xfId="0" quotePrefix="1" applyFont="1" applyAlignment="1">
      <alignment horizontal="center"/>
    </xf>
    <xf numFmtId="0" fontId="5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166" fontId="29" fillId="0" borderId="0" xfId="2" applyNumberFormat="1" applyFont="1"/>
    <xf numFmtId="166" fontId="46" fillId="0" borderId="2" xfId="0" applyNumberFormat="1" applyFont="1" applyBorder="1"/>
    <xf numFmtId="42" fontId="9" fillId="0" borderId="5" xfId="0" applyNumberFormat="1" applyFont="1" applyBorder="1"/>
    <xf numFmtId="0" fontId="47" fillId="0" borderId="0" xfId="0" quotePrefix="1" applyFont="1" applyAlignment="1">
      <alignment horizontal="left"/>
    </xf>
    <xf numFmtId="0" fontId="34" fillId="0" borderId="0" xfId="0" applyFont="1"/>
    <xf numFmtId="10" fontId="4" fillId="0" borderId="0" xfId="0" applyNumberFormat="1" applyFont="1" applyAlignment="1">
      <alignment horizontal="center"/>
    </xf>
    <xf numFmtId="170" fontId="34" fillId="0" borderId="0" xfId="0" applyNumberFormat="1" applyFont="1" applyAlignment="1">
      <alignment horizontal="center"/>
    </xf>
    <xf numFmtId="42" fontId="34" fillId="0" borderId="0" xfId="0" applyNumberFormat="1" applyFont="1"/>
    <xf numFmtId="0" fontId="34" fillId="0" borderId="0" xfId="0" applyFont="1" applyAlignment="1">
      <alignment horizontal="center"/>
    </xf>
    <xf numFmtId="41" fontId="4" fillId="0" borderId="1" xfId="0" applyNumberFormat="1" applyFont="1" applyBorder="1"/>
    <xf numFmtId="41" fontId="4" fillId="0" borderId="0" xfId="0" applyNumberFormat="1" applyFont="1"/>
    <xf numFmtId="41" fontId="34" fillId="0" borderId="0" xfId="0" applyNumberFormat="1" applyFont="1"/>
    <xf numFmtId="41" fontId="44" fillId="0" borderId="0" xfId="0" applyNumberFormat="1" applyFont="1"/>
    <xf numFmtId="0" fontId="4" fillId="0" borderId="0" xfId="0" quotePrefix="1" applyFont="1" applyAlignment="1">
      <alignment horizontal="right"/>
    </xf>
    <xf numFmtId="37" fontId="48" fillId="0" borderId="0" xfId="0" applyNumberFormat="1" applyFont="1" applyProtection="1">
      <protection locked="0"/>
    </xf>
    <xf numFmtId="42" fontId="44" fillId="0" borderId="3" xfId="0" applyNumberFormat="1" applyFont="1" applyBorder="1" applyProtection="1">
      <protection locked="0"/>
    </xf>
    <xf numFmtId="10" fontId="16" fillId="0" borderId="3" xfId="3" applyNumberFormat="1" applyFont="1" applyBorder="1"/>
    <xf numFmtId="164" fontId="23" fillId="0" borderId="0" xfId="1" applyNumberFormat="1" applyFont="1" applyBorder="1" applyAlignment="1">
      <alignment horizontal="right"/>
    </xf>
    <xf numFmtId="0" fontId="5" fillId="0" borderId="0" xfId="0" quotePrefix="1" applyFont="1" applyAlignment="1">
      <alignment horizontal="center"/>
    </xf>
    <xf numFmtId="15" fontId="18" fillId="0" borderId="0" xfId="0" applyNumberFormat="1" applyFont="1" applyAlignment="1">
      <alignment horizontal="centerContinuous"/>
    </xf>
    <xf numFmtId="41" fontId="16" fillId="0" borderId="0" xfId="2" applyNumberFormat="1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2" fontId="16" fillId="0" borderId="0" xfId="1" applyNumberFormat="1" applyFont="1"/>
    <xf numFmtId="10" fontId="14" fillId="0" borderId="0" xfId="3" applyNumberFormat="1" applyFont="1" applyBorder="1"/>
    <xf numFmtId="164" fontId="5" fillId="0" borderId="0" xfId="1" applyNumberFormat="1" applyFont="1"/>
    <xf numFmtId="0" fontId="5" fillId="5" borderId="0" xfId="0" applyFont="1" applyFill="1"/>
    <xf numFmtId="164" fontId="5" fillId="5" borderId="0" xfId="1" applyNumberFormat="1" applyFont="1" applyFill="1"/>
    <xf numFmtId="41" fontId="7" fillId="0" borderId="0" xfId="0" applyNumberFormat="1" applyFont="1" applyAlignment="1">
      <alignment horizontal="center" wrapText="1"/>
    </xf>
    <xf numFmtId="41" fontId="5" fillId="0" borderId="0" xfId="1" applyNumberFormat="1" applyFont="1"/>
    <xf numFmtId="0" fontId="34" fillId="0" borderId="0" xfId="0" applyFont="1" applyAlignment="1">
      <alignment horizontal="right"/>
    </xf>
    <xf numFmtId="41" fontId="5" fillId="0" borderId="4" xfId="1" applyNumberFormat="1" applyFont="1" applyBorder="1"/>
    <xf numFmtId="41" fontId="34" fillId="0" borderId="0" xfId="1" applyNumberFormat="1" applyFont="1" applyBorder="1"/>
    <xf numFmtId="41" fontId="5" fillId="0" borderId="0" xfId="1" applyNumberFormat="1" applyFont="1" applyBorder="1"/>
    <xf numFmtId="41" fontId="34" fillId="0" borderId="2" xfId="1" applyNumberFormat="1" applyFont="1" applyBorder="1"/>
    <xf numFmtId="41" fontId="5" fillId="0" borderId="0" xfId="0" applyNumberFormat="1" applyFont="1" applyAlignment="1">
      <alignment horizontal="right"/>
    </xf>
    <xf numFmtId="0" fontId="51" fillId="0" borderId="0" xfId="0" applyFont="1"/>
    <xf numFmtId="0" fontId="49" fillId="0" borderId="0" xfId="0" applyFont="1"/>
    <xf numFmtId="0" fontId="49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14" fontId="52" fillId="0" borderId="0" xfId="0" applyNumberFormat="1" applyFont="1" applyAlignment="1">
      <alignment horizontal="left"/>
    </xf>
    <xf numFmtId="172" fontId="5" fillId="0" borderId="0" xfId="3" applyNumberFormat="1" applyFont="1" applyAlignment="1">
      <alignment horizontal="center"/>
    </xf>
    <xf numFmtId="0" fontId="53" fillId="0" borderId="0" xfId="0" applyFont="1" applyAlignment="1">
      <alignment horizontal="left"/>
    </xf>
    <xf numFmtId="0" fontId="54" fillId="0" borderId="1" xfId="0" applyFont="1" applyBorder="1"/>
    <xf numFmtId="41" fontId="5" fillId="0" borderId="1" xfId="0" applyNumberFormat="1" applyFont="1" applyBorder="1"/>
    <xf numFmtId="0" fontId="34" fillId="0" borderId="1" xfId="0" applyFont="1" applyBorder="1"/>
    <xf numFmtId="0" fontId="34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4" fillId="7" borderId="1" xfId="0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2" fillId="7" borderId="1" xfId="0" applyFont="1" applyFill="1" applyBorder="1"/>
    <xf numFmtId="41" fontId="5" fillId="0" borderId="0" xfId="0" applyNumberFormat="1" applyFont="1" applyAlignment="1">
      <alignment horizontal="center"/>
    </xf>
    <xf numFmtId="41" fontId="5" fillId="0" borderId="0" xfId="1" applyNumberFormat="1" applyFont="1" applyFill="1" applyBorder="1" applyAlignment="1">
      <alignment horizontal="center"/>
    </xf>
    <xf numFmtId="172" fontId="5" fillId="0" borderId="0" xfId="3" applyNumberFormat="1" applyFont="1" applyFill="1"/>
    <xf numFmtId="41" fontId="5" fillId="0" borderId="2" xfId="0" applyNumberFormat="1" applyFont="1" applyBorder="1"/>
    <xf numFmtId="172" fontId="5" fillId="0" borderId="2" xfId="0" applyNumberFormat="1" applyFont="1" applyBorder="1"/>
    <xf numFmtId="0" fontId="12" fillId="8" borderId="1" xfId="0" applyFont="1" applyFill="1" applyBorder="1"/>
    <xf numFmtId="41" fontId="5" fillId="0" borderId="0" xfId="1" applyNumberFormat="1" applyFont="1" applyAlignment="1">
      <alignment horizontal="center"/>
    </xf>
    <xf numFmtId="0" fontId="12" fillId="9" borderId="1" xfId="0" applyFont="1" applyFill="1" applyBorder="1"/>
    <xf numFmtId="43" fontId="12" fillId="0" borderId="0" xfId="1" applyFont="1"/>
    <xf numFmtId="43" fontId="5" fillId="0" borderId="0" xfId="1" applyFont="1"/>
    <xf numFmtId="41" fontId="53" fillId="0" borderId="0" xfId="0" applyNumberFormat="1" applyFont="1" applyAlignment="1">
      <alignment horizontal="center"/>
    </xf>
    <xf numFmtId="0" fontId="34" fillId="8" borderId="1" xfId="0" applyFont="1" applyFill="1" applyBorder="1" applyAlignment="1">
      <alignment horizontal="center"/>
    </xf>
    <xf numFmtId="41" fontId="34" fillId="8" borderId="1" xfId="0" applyNumberFormat="1" applyFont="1" applyFill="1" applyBorder="1" applyAlignment="1">
      <alignment horizontal="center"/>
    </xf>
    <xf numFmtId="0" fontId="12" fillId="10" borderId="1" xfId="0" applyFont="1" applyFill="1" applyBorder="1"/>
    <xf numFmtId="41" fontId="48" fillId="0" borderId="0" xfId="0" applyNumberFormat="1" applyFont="1" applyAlignment="1">
      <alignment horizontal="center"/>
    </xf>
    <xf numFmtId="172" fontId="5" fillId="0" borderId="2" xfId="3" applyNumberFormat="1" applyFont="1" applyBorder="1"/>
    <xf numFmtId="43" fontId="5" fillId="0" borderId="0" xfId="0" applyNumberFormat="1" applyFont="1" applyAlignment="1">
      <alignment horizontal="center"/>
    </xf>
    <xf numFmtId="0" fontId="12" fillId="11" borderId="1" xfId="0" applyFont="1" applyFill="1" applyBorder="1"/>
    <xf numFmtId="0" fontId="12" fillId="12" borderId="1" xfId="0" applyFont="1" applyFill="1" applyBorder="1"/>
    <xf numFmtId="172" fontId="5" fillId="0" borderId="0" xfId="3" applyNumberFormat="1" applyFont="1"/>
    <xf numFmtId="0" fontId="34" fillId="9" borderId="1" xfId="0" applyFont="1" applyFill="1" applyBorder="1" applyAlignment="1">
      <alignment horizontal="center"/>
    </xf>
    <xf numFmtId="41" fontId="34" fillId="9" borderId="1" xfId="0" applyNumberFormat="1" applyFont="1" applyFill="1" applyBorder="1" applyAlignment="1">
      <alignment horizontal="center"/>
    </xf>
    <xf numFmtId="0" fontId="12" fillId="13" borderId="1" xfId="0" applyFont="1" applyFill="1" applyBorder="1"/>
    <xf numFmtId="43" fontId="34" fillId="0" borderId="0" xfId="1" applyFont="1" applyBorder="1"/>
    <xf numFmtId="0" fontId="12" fillId="14" borderId="1" xfId="0" applyFont="1" applyFill="1" applyBorder="1"/>
    <xf numFmtId="0" fontId="5" fillId="14" borderId="1" xfId="0" applyFont="1" applyFill="1" applyBorder="1"/>
    <xf numFmtId="0" fontId="34" fillId="10" borderId="1" xfId="0" applyFont="1" applyFill="1" applyBorder="1" applyAlignment="1">
      <alignment horizontal="center"/>
    </xf>
    <xf numFmtId="41" fontId="34" fillId="10" borderId="1" xfId="0" applyNumberFormat="1" applyFont="1" applyFill="1" applyBorder="1" applyAlignment="1">
      <alignment horizontal="center"/>
    </xf>
    <xf numFmtId="10" fontId="5" fillId="0" borderId="0" xfId="3" applyNumberFormat="1" applyFont="1" applyFill="1"/>
    <xf numFmtId="43" fontId="34" fillId="0" borderId="0" xfId="1" applyFont="1" applyBorder="1" applyAlignment="1">
      <alignment horizontal="center"/>
    </xf>
    <xf numFmtId="41" fontId="34" fillId="0" borderId="2" xfId="1" applyNumberFormat="1" applyFont="1" applyBorder="1" applyAlignment="1">
      <alignment horizontal="center"/>
    </xf>
    <xf numFmtId="0" fontId="34" fillId="11" borderId="1" xfId="0" applyFont="1" applyFill="1" applyBorder="1" applyAlignment="1">
      <alignment horizontal="center"/>
    </xf>
    <xf numFmtId="41" fontId="34" fillId="11" borderId="1" xfId="0" applyNumberFormat="1" applyFont="1" applyFill="1" applyBorder="1" applyAlignment="1">
      <alignment horizontal="center"/>
    </xf>
    <xf numFmtId="41" fontId="34" fillId="0" borderId="0" xfId="1" applyNumberFormat="1" applyFont="1" applyBorder="1" applyAlignment="1">
      <alignment horizontal="center"/>
    </xf>
    <xf numFmtId="0" fontId="34" fillId="12" borderId="1" xfId="0" applyFont="1" applyFill="1" applyBorder="1" applyAlignment="1">
      <alignment horizontal="center"/>
    </xf>
    <xf numFmtId="41" fontId="34" fillId="12" borderId="1" xfId="0" applyNumberFormat="1" applyFont="1" applyFill="1" applyBorder="1" applyAlignment="1">
      <alignment horizontal="center"/>
    </xf>
    <xf numFmtId="0" fontId="34" fillId="13" borderId="1" xfId="0" applyFont="1" applyFill="1" applyBorder="1" applyAlignment="1">
      <alignment horizontal="center"/>
    </xf>
    <xf numFmtId="41" fontId="34" fillId="13" borderId="1" xfId="0" applyNumberFormat="1" applyFont="1" applyFill="1" applyBorder="1" applyAlignment="1">
      <alignment horizontal="center"/>
    </xf>
    <xf numFmtId="0" fontId="34" fillId="14" borderId="1" xfId="0" applyFont="1" applyFill="1" applyBorder="1" applyAlignment="1">
      <alignment horizontal="center"/>
    </xf>
    <xf numFmtId="41" fontId="34" fillId="14" borderId="1" xfId="0" applyNumberFormat="1" applyFont="1" applyFill="1" applyBorder="1" applyAlignment="1">
      <alignment horizontal="center"/>
    </xf>
    <xf numFmtId="10" fontId="5" fillId="0" borderId="0" xfId="3" applyNumberFormat="1" applyFont="1" applyAlignment="1">
      <alignment horizontal="center"/>
    </xf>
    <xf numFmtId="0" fontId="36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36" fillId="0" borderId="0" xfId="1" applyFont="1" applyFill="1" applyBorder="1" applyAlignment="1">
      <alignment horizontal="center"/>
    </xf>
    <xf numFmtId="41" fontId="34" fillId="0" borderId="2" xfId="0" applyNumberFormat="1" applyFont="1" applyBorder="1"/>
    <xf numFmtId="41" fontId="34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41" fontId="49" fillId="0" borderId="0" xfId="0" applyNumberFormat="1" applyFont="1" applyAlignment="1">
      <alignment horizontal="center"/>
    </xf>
    <xf numFmtId="3" fontId="5" fillId="0" borderId="0" xfId="0" applyNumberFormat="1" applyFont="1"/>
    <xf numFmtId="172" fontId="5" fillId="0" borderId="0" xfId="0" applyNumberFormat="1" applyFont="1"/>
    <xf numFmtId="3" fontId="5" fillId="0" borderId="2" xfId="0" applyNumberFormat="1" applyFont="1" applyBorder="1"/>
    <xf numFmtId="41" fontId="7" fillId="0" borderId="0" xfId="0" applyNumberFormat="1" applyFont="1" applyAlignment="1">
      <alignment horizontal="center"/>
    </xf>
    <xf numFmtId="165" fontId="9" fillId="0" borderId="0" xfId="3" applyNumberFormat="1" applyFont="1" applyFill="1"/>
    <xf numFmtId="41" fontId="9" fillId="0" borderId="0" xfId="0" applyNumberFormat="1" applyFont="1"/>
    <xf numFmtId="41" fontId="9" fillId="0" borderId="0" xfId="1" applyNumberFormat="1" applyFont="1"/>
    <xf numFmtId="165" fontId="5" fillId="0" borderId="2" xfId="3" applyNumberFormat="1" applyFont="1" applyBorder="1"/>
    <xf numFmtId="0" fontId="55" fillId="0" borderId="0" xfId="0" applyFont="1"/>
    <xf numFmtId="0" fontId="53" fillId="0" borderId="0" xfId="0" applyFont="1" applyAlignment="1">
      <alignment horizontal="right"/>
    </xf>
    <xf numFmtId="0" fontId="53" fillId="0" borderId="0" xfId="0" applyFont="1"/>
    <xf numFmtId="14" fontId="50" fillId="0" borderId="0" xfId="0" applyNumberFormat="1" applyFont="1" applyAlignment="1">
      <alignment horizontal="left"/>
    </xf>
    <xf numFmtId="0" fontId="56" fillId="0" borderId="1" xfId="0" applyFont="1" applyBorder="1"/>
    <xf numFmtId="0" fontId="55" fillId="0" borderId="1" xfId="0" applyFont="1" applyBorder="1"/>
    <xf numFmtId="0" fontId="5" fillId="0" borderId="1" xfId="0" applyFont="1" applyBorder="1"/>
    <xf numFmtId="0" fontId="57" fillId="0" borderId="1" xfId="0" applyFont="1" applyBorder="1" applyAlignment="1">
      <alignment horizontal="center"/>
    </xf>
    <xf numFmtId="0" fontId="5" fillId="7" borderId="1" xfId="0" applyFont="1" applyFill="1" applyBorder="1"/>
    <xf numFmtId="3" fontId="55" fillId="0" borderId="0" xfId="0" applyNumberFormat="1" applyFont="1"/>
    <xf numFmtId="3" fontId="43" fillId="0" borderId="0" xfId="0" applyNumberFormat="1" applyFont="1"/>
    <xf numFmtId="0" fontId="3" fillId="0" borderId="0" xfId="0" applyFont="1" applyAlignment="1">
      <alignment horizontal="left"/>
    </xf>
    <xf numFmtId="0" fontId="5" fillId="8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172" fontId="5" fillId="0" borderId="0" xfId="3" applyNumberFormat="1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37" fontId="3" fillId="0" borderId="0" xfId="0" applyNumberFormat="1" applyFont="1"/>
    <xf numFmtId="3" fontId="55" fillId="0" borderId="2" xfId="0" applyNumberFormat="1" applyFont="1" applyBorder="1"/>
    <xf numFmtId="0" fontId="58" fillId="0" borderId="0" xfId="0" applyFont="1"/>
    <xf numFmtId="164" fontId="55" fillId="0" borderId="0" xfId="1" applyNumberFormat="1" applyFont="1"/>
    <xf numFmtId="0" fontId="59" fillId="0" borderId="0" xfId="0" applyFont="1" applyAlignment="1">
      <alignment horizontal="left" vertical="top"/>
    </xf>
    <xf numFmtId="1" fontId="60" fillId="0" borderId="0" xfId="0" applyNumberFormat="1" applyFont="1" applyAlignment="1">
      <alignment horizontal="right" vertical="top"/>
    </xf>
    <xf numFmtId="0" fontId="60" fillId="0" borderId="0" xfId="0" applyFont="1" applyAlignment="1">
      <alignment horizontal="left" vertical="top"/>
    </xf>
    <xf numFmtId="164" fontId="55" fillId="0" borderId="4" xfId="1" applyNumberFormat="1" applyFont="1" applyBorder="1"/>
    <xf numFmtId="172" fontId="5" fillId="0" borderId="4" xfId="3" applyNumberFormat="1" applyFont="1" applyBorder="1"/>
    <xf numFmtId="10" fontId="5" fillId="0" borderId="2" xfId="3" applyNumberFormat="1" applyFont="1" applyBorder="1"/>
    <xf numFmtId="10" fontId="5" fillId="0" borderId="0" xfId="3" applyNumberFormat="1" applyFont="1" applyBorder="1"/>
    <xf numFmtId="0" fontId="61" fillId="0" borderId="0" xfId="0" applyFont="1"/>
    <xf numFmtId="165" fontId="5" fillId="0" borderId="0" xfId="3" applyNumberFormat="1" applyFont="1" applyBorder="1"/>
    <xf numFmtId="164" fontId="55" fillId="0" borderId="2" xfId="1" applyNumberFormat="1" applyFont="1" applyBorder="1"/>
    <xf numFmtId="0" fontId="43" fillId="0" borderId="0" xfId="0" applyFont="1"/>
    <xf numFmtId="165" fontId="5" fillId="0" borderId="4" xfId="0" applyNumberFormat="1" applyFont="1" applyBorder="1"/>
    <xf numFmtId="10" fontId="5" fillId="0" borderId="0" xfId="0" applyNumberFormat="1" applyFont="1"/>
    <xf numFmtId="165" fontId="5" fillId="0" borderId="0" xfId="0" applyNumberFormat="1" applyFont="1"/>
    <xf numFmtId="10" fontId="5" fillId="0" borderId="2" xfId="0" applyNumberFormat="1" applyFont="1" applyBorder="1"/>
    <xf numFmtId="0" fontId="5" fillId="0" borderId="0" xfId="0" quotePrefix="1" applyFont="1"/>
    <xf numFmtId="164" fontId="55" fillId="0" borderId="0" xfId="1" applyNumberFormat="1" applyFont="1" applyBorder="1"/>
    <xf numFmtId="172" fontId="5" fillId="0" borderId="4" xfId="0" applyNumberFormat="1" applyFont="1" applyBorder="1"/>
    <xf numFmtId="164" fontId="62" fillId="0" borderId="0" xfId="1" applyNumberFormat="1" applyFont="1" applyBorder="1"/>
    <xf numFmtId="164" fontId="55" fillId="0" borderId="4" xfId="0" applyNumberFormat="1" applyFont="1" applyBorder="1"/>
    <xf numFmtId="10" fontId="43" fillId="0" borderId="2" xfId="3" applyNumberFormat="1" applyFont="1" applyBorder="1"/>
    <xf numFmtId="10" fontId="5" fillId="0" borderId="4" xfId="0" applyNumberFormat="1" applyFont="1" applyBorder="1"/>
    <xf numFmtId="164" fontId="55" fillId="0" borderId="0" xfId="1" applyNumberFormat="1" applyFont="1" applyFill="1"/>
    <xf numFmtId="164" fontId="62" fillId="0" borderId="0" xfId="0" applyNumberFormat="1" applyFont="1"/>
    <xf numFmtId="37" fontId="55" fillId="0" borderId="0" xfId="0" applyNumberFormat="1" applyFont="1"/>
    <xf numFmtId="0" fontId="55" fillId="0" borderId="4" xfId="0" applyFont="1" applyBorder="1"/>
    <xf numFmtId="164" fontId="55" fillId="0" borderId="2" xfId="0" applyNumberFormat="1" applyFont="1" applyBorder="1"/>
    <xf numFmtId="10" fontId="5" fillId="0" borderId="0" xfId="3" applyNumberFormat="1" applyFont="1"/>
    <xf numFmtId="37" fontId="5" fillId="0" borderId="0" xfId="0" applyNumberFormat="1" applyFont="1"/>
    <xf numFmtId="41" fontId="62" fillId="0" borderId="0" xfId="0" applyNumberFormat="1" applyFont="1"/>
    <xf numFmtId="0" fontId="55" fillId="0" borderId="2" xfId="0" applyFont="1" applyBorder="1"/>
    <xf numFmtId="10" fontId="5" fillId="0" borderId="4" xfId="3" applyNumberFormat="1" applyFont="1" applyBorder="1"/>
    <xf numFmtId="164" fontId="62" fillId="0" borderId="0" xfId="1" applyNumberFormat="1" applyFont="1"/>
    <xf numFmtId="41" fontId="9" fillId="0" borderId="2" xfId="1" applyNumberFormat="1" applyFont="1" applyBorder="1"/>
    <xf numFmtId="41" fontId="9" fillId="0" borderId="0" xfId="1" applyNumberFormat="1" applyFont="1" applyBorder="1"/>
    <xf numFmtId="41" fontId="9" fillId="0" borderId="4" xfId="1" applyNumberFormat="1" applyFont="1" applyBorder="1"/>
    <xf numFmtId="170" fontId="5" fillId="0" borderId="2" xfId="0" applyNumberFormat="1" applyFont="1" applyBorder="1"/>
    <xf numFmtId="0" fontId="38" fillId="0" borderId="0" xfId="0" applyFont="1"/>
    <xf numFmtId="37" fontId="18" fillId="0" borderId="0" xfId="0" applyNumberFormat="1" applyFont="1" applyAlignment="1" applyProtection="1">
      <alignment horizontal="left"/>
      <protection locked="0"/>
    </xf>
    <xf numFmtId="37" fontId="18" fillId="0" borderId="0" xfId="0" quotePrefix="1" applyNumberFormat="1" applyFont="1" applyAlignment="1" applyProtection="1">
      <alignment horizontal="left"/>
      <protection locked="0"/>
    </xf>
    <xf numFmtId="37" fontId="18" fillId="4" borderId="0" xfId="0" applyNumberFormat="1" applyFont="1" applyFill="1" applyProtection="1">
      <protection locked="0"/>
    </xf>
    <xf numFmtId="42" fontId="16" fillId="0" borderId="3" xfId="0" applyNumberFormat="1" applyFont="1" applyBorder="1"/>
    <xf numFmtId="0" fontId="1" fillId="0" borderId="0" xfId="0" quotePrefix="1" applyFont="1" applyAlignment="1">
      <alignment horizontal="center"/>
    </xf>
    <xf numFmtId="165" fontId="16" fillId="0" borderId="0" xfId="0" applyNumberFormat="1" applyFont="1"/>
    <xf numFmtId="165" fontId="16" fillId="0" borderId="3" xfId="0" applyNumberFormat="1" applyFont="1" applyBorder="1"/>
    <xf numFmtId="164" fontId="0" fillId="0" borderId="0" xfId="0" applyNumberFormat="1"/>
    <xf numFmtId="1" fontId="5" fillId="0" borderId="0" xfId="0" applyNumberFormat="1" applyFont="1"/>
    <xf numFmtId="1" fontId="55" fillId="0" borderId="0" xfId="0" applyNumberFormat="1" applyFont="1"/>
    <xf numFmtId="164" fontId="55" fillId="0" borderId="3" xfId="1" applyNumberFormat="1" applyFont="1" applyBorder="1"/>
    <xf numFmtId="172" fontId="5" fillId="0" borderId="3" xfId="0" applyNumberFormat="1" applyFont="1" applyBorder="1"/>
    <xf numFmtId="164" fontId="55" fillId="0" borderId="0" xfId="0" applyNumberFormat="1" applyFont="1"/>
    <xf numFmtId="0" fontId="12" fillId="15" borderId="1" xfId="0" applyFont="1" applyFill="1" applyBorder="1"/>
    <xf numFmtId="0" fontId="34" fillId="15" borderId="1" xfId="0" applyFont="1" applyFill="1" applyBorder="1" applyAlignment="1">
      <alignment horizontal="center"/>
    </xf>
    <xf numFmtId="41" fontId="10" fillId="0" borderId="0" xfId="1" applyNumberFormat="1" applyFont="1"/>
    <xf numFmtId="41" fontId="10" fillId="0" borderId="0" xfId="0" applyNumberFormat="1" applyFont="1"/>
    <xf numFmtId="0" fontId="64" fillId="0" borderId="0" xfId="5"/>
    <xf numFmtId="0" fontId="9" fillId="0" borderId="0" xfId="5" applyFont="1"/>
    <xf numFmtId="0" fontId="65" fillId="0" borderId="0" xfId="5" applyFont="1"/>
    <xf numFmtId="42" fontId="9" fillId="0" borderId="0" xfId="5" applyNumberFormat="1" applyFont="1"/>
    <xf numFmtId="0" fontId="9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37" fontId="9" fillId="0" borderId="0" xfId="5" quotePrefix="1" applyNumberFormat="1" applyFont="1" applyAlignment="1">
      <alignment horizontal="center"/>
    </xf>
    <xf numFmtId="37" fontId="9" fillId="0" borderId="0" xfId="5" quotePrefix="1" applyNumberFormat="1" applyFont="1" applyAlignment="1">
      <alignment horizontal="left"/>
    </xf>
    <xf numFmtId="41" fontId="9" fillId="0" borderId="0" xfId="5" applyNumberFormat="1" applyFont="1"/>
    <xf numFmtId="42" fontId="9" fillId="0" borderId="2" xfId="5" applyNumberFormat="1" applyFont="1" applyBorder="1"/>
    <xf numFmtId="41" fontId="16" fillId="0" borderId="3" xfId="0" applyNumberFormat="1" applyFont="1" applyBorder="1"/>
    <xf numFmtId="0" fontId="66" fillId="0" borderId="0" xfId="5" applyFont="1"/>
    <xf numFmtId="42" fontId="66" fillId="0" borderId="0" xfId="5" applyNumberFormat="1" applyFont="1"/>
    <xf numFmtId="41" fontId="5" fillId="0" borderId="3" xfId="0" applyNumberFormat="1" applyFont="1" applyBorder="1"/>
    <xf numFmtId="164" fontId="5" fillId="0" borderId="3" xfId="0" applyNumberFormat="1" applyFont="1" applyBorder="1"/>
    <xf numFmtId="164" fontId="5" fillId="5" borderId="3" xfId="1" applyNumberFormat="1" applyFont="1" applyFill="1" applyBorder="1"/>
    <xf numFmtId="164" fontId="5" fillId="5" borderId="2" xfId="1" applyNumberFormat="1" applyFont="1" applyFill="1" applyBorder="1"/>
    <xf numFmtId="164" fontId="5" fillId="0" borderId="2" xfId="1" applyNumberFormat="1" applyFont="1" applyBorder="1"/>
    <xf numFmtId="0" fontId="7" fillId="5" borderId="0" xfId="0" applyFont="1" applyFill="1" applyAlignment="1">
      <alignment horizontal="center"/>
    </xf>
    <xf numFmtId="164" fontId="7" fillId="5" borderId="0" xfId="1" applyNumberFormat="1" applyFont="1" applyFill="1" applyAlignment="1">
      <alignment horizontal="center"/>
    </xf>
    <xf numFmtId="0" fontId="27" fillId="0" borderId="0" xfId="0" applyFont="1" applyAlignment="1">
      <alignment horizontal="right"/>
    </xf>
    <xf numFmtId="42" fontId="5" fillId="0" borderId="0" xfId="1" applyNumberFormat="1" applyFont="1"/>
    <xf numFmtId="42" fontId="5" fillId="16" borderId="0" xfId="1" applyNumberFormat="1" applyFont="1" applyFill="1"/>
    <xf numFmtId="41" fontId="9" fillId="0" borderId="0" xfId="1" applyNumberFormat="1" applyFont="1" applyAlignment="1">
      <alignment horizontal="centerContinuous"/>
    </xf>
    <xf numFmtId="41" fontId="8" fillId="0" borderId="0" xfId="0" applyNumberFormat="1" applyFont="1" applyAlignment="1">
      <alignment horizontal="centerContinuous"/>
    </xf>
    <xf numFmtId="41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left"/>
    </xf>
    <xf numFmtId="41" fontId="64" fillId="0" borderId="0" xfId="5" applyNumberFormat="1"/>
    <xf numFmtId="41" fontId="5" fillId="0" borderId="2" xfId="1" applyNumberFormat="1" applyFont="1" applyBorder="1"/>
    <xf numFmtId="42" fontId="9" fillId="0" borderId="2" xfId="0" applyNumberFormat="1" applyFont="1" applyBorder="1"/>
    <xf numFmtId="41" fontId="16" fillId="0" borderId="0" xfId="1" applyNumberFormat="1" applyFont="1"/>
    <xf numFmtId="0" fontId="36" fillId="0" borderId="0" xfId="0" applyFont="1" applyAlignment="1">
      <alignment horizontal="left"/>
    </xf>
    <xf numFmtId="42" fontId="67" fillId="0" borderId="0" xfId="0" applyNumberFormat="1" applyFont="1"/>
    <xf numFmtId="42" fontId="44" fillId="0" borderId="0" xfId="3" applyNumberFormat="1" applyFont="1" applyBorder="1"/>
    <xf numFmtId="166" fontId="29" fillId="0" borderId="2" xfId="0" applyNumberFormat="1" applyFont="1" applyBorder="1"/>
    <xf numFmtId="10" fontId="29" fillId="5" borderId="6" xfId="3" applyNumberFormat="1" applyFont="1" applyFill="1" applyBorder="1"/>
    <xf numFmtId="166" fontId="29" fillId="0" borderId="0" xfId="2" applyNumberFormat="1" applyFont="1" applyFill="1" applyBorder="1"/>
    <xf numFmtId="166" fontId="29" fillId="0" borderId="0" xfId="0" applyNumberFormat="1" applyFont="1"/>
    <xf numFmtId="166" fontId="29" fillId="0" borderId="2" xfId="2" applyNumberFormat="1" applyFont="1" applyBorder="1"/>
    <xf numFmtId="166" fontId="29" fillId="0" borderId="3" xfId="2" applyNumberFormat="1" applyFont="1" applyBorder="1"/>
    <xf numFmtId="0" fontId="29" fillId="0" borderId="0" xfId="0" applyFont="1" applyAlignment="1">
      <alignment horizontal="right"/>
    </xf>
    <xf numFmtId="0" fontId="27" fillId="0" borderId="0" xfId="0" applyFont="1"/>
    <xf numFmtId="42" fontId="9" fillId="0" borderId="0" xfId="1" applyNumberFormat="1" applyFont="1"/>
    <xf numFmtId="42" fontId="9" fillId="0" borderId="2" xfId="1" applyNumberFormat="1" applyFont="1" applyBorder="1"/>
    <xf numFmtId="42" fontId="9" fillId="0" borderId="0" xfId="1" applyNumberFormat="1" applyFont="1" applyBorder="1"/>
    <xf numFmtId="42" fontId="68" fillId="0" borderId="0" xfId="1" applyNumberFormat="1" applyFont="1" applyBorder="1" applyAlignment="1">
      <alignment horizontal="center"/>
    </xf>
    <xf numFmtId="42" fontId="12" fillId="0" borderId="0" xfId="0" applyNumberFormat="1" applyFont="1"/>
    <xf numFmtId="42" fontId="12" fillId="0" borderId="3" xfId="0" applyNumberFormat="1" applyFont="1" applyBorder="1"/>
    <xf numFmtId="42" fontId="12" fillId="0" borderId="4" xfId="0" applyNumberFormat="1" applyFont="1" applyBorder="1"/>
    <xf numFmtId="0" fontId="9" fillId="6" borderId="0" xfId="0" applyFont="1" applyFill="1"/>
    <xf numFmtId="42" fontId="9" fillId="6" borderId="0" xfId="1" applyNumberFormat="1" applyFont="1" applyFill="1"/>
    <xf numFmtId="42" fontId="64" fillId="0" borderId="0" xfId="5" applyNumberFormat="1"/>
    <xf numFmtId="43" fontId="9" fillId="0" borderId="0" xfId="0" applyNumberFormat="1" applyFont="1"/>
    <xf numFmtId="164" fontId="34" fillId="0" borderId="0" xfId="1" applyNumberFormat="1" applyFont="1"/>
    <xf numFmtId="42" fontId="12" fillId="0" borderId="0" xfId="0" applyNumberFormat="1" applyFont="1" applyAlignment="1">
      <alignment horizontal="centerContinuous"/>
    </xf>
    <xf numFmtId="42" fontId="12" fillId="0" borderId="0" xfId="0" quotePrefix="1" applyNumberFormat="1" applyFont="1" applyAlignment="1">
      <alignment horizontal="center"/>
    </xf>
    <xf numFmtId="0" fontId="72" fillId="0" borderId="0" xfId="0" applyFont="1" applyAlignment="1">
      <alignment horizontal="center"/>
    </xf>
    <xf numFmtId="0" fontId="72" fillId="0" borderId="0" xfId="0" applyFont="1" applyAlignment="1">
      <alignment horizontal="centerContinuous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166" fontId="12" fillId="0" borderId="0" xfId="2" applyNumberFormat="1" applyFont="1" applyBorder="1"/>
    <xf numFmtId="9" fontId="12" fillId="0" borderId="0" xfId="0" applyNumberFormat="1" applyFont="1" applyAlignment="1">
      <alignment horizontal="right"/>
    </xf>
    <xf numFmtId="9" fontId="12" fillId="0" borderId="0" xfId="0" applyNumberFormat="1" applyFont="1" applyAlignment="1">
      <alignment horizontal="center"/>
    </xf>
    <xf numFmtId="0" fontId="75" fillId="0" borderId="0" xfId="0" applyFont="1"/>
    <xf numFmtId="0" fontId="12" fillId="0" borderId="0" xfId="0" applyFont="1" applyAlignment="1">
      <alignment horizontal="right"/>
    </xf>
    <xf numFmtId="42" fontId="76" fillId="0" borderId="0" xfId="0" applyNumberFormat="1" applyFont="1" applyAlignment="1">
      <alignment horizontal="center"/>
    </xf>
    <xf numFmtId="0" fontId="73" fillId="0" borderId="0" xfId="0" applyFont="1" applyAlignment="1">
      <alignment horizontal="centerContinuous"/>
    </xf>
    <xf numFmtId="0" fontId="77" fillId="5" borderId="0" xfId="0" applyFont="1" applyFill="1" applyAlignment="1">
      <alignment horizontal="center"/>
    </xf>
    <xf numFmtId="0" fontId="36" fillId="0" borderId="0" xfId="0" applyFont="1" applyAlignment="1">
      <alignment horizontal="centerContinuous"/>
    </xf>
    <xf numFmtId="166" fontId="36" fillId="0" borderId="0" xfId="0" applyNumberFormat="1" applyFont="1"/>
    <xf numFmtId="10" fontId="12" fillId="0" borderId="0" xfId="3" applyNumberFormat="1" applyFont="1" applyBorder="1"/>
    <xf numFmtId="166" fontId="36" fillId="0" borderId="0" xfId="2" applyNumberFormat="1" applyFont="1" applyFill="1" applyBorder="1"/>
    <xf numFmtId="0" fontId="79" fillId="0" borderId="0" xfId="0" applyFont="1"/>
    <xf numFmtId="10" fontId="5" fillId="5" borderId="0" xfId="3" applyNumberFormat="1" applyFont="1" applyFill="1"/>
    <xf numFmtId="0" fontId="66" fillId="0" borderId="0" xfId="0" quotePrefix="1" applyFont="1" applyAlignment="1">
      <alignment horizontal="centerContinuous"/>
    </xf>
    <xf numFmtId="0" fontId="66" fillId="0" borderId="0" xfId="0" applyFont="1" applyAlignment="1">
      <alignment horizontal="centerContinuous"/>
    </xf>
    <xf numFmtId="166" fontId="4" fillId="0" borderId="0" xfId="0" applyNumberFormat="1" applyFont="1"/>
    <xf numFmtId="0" fontId="0" fillId="0" borderId="0" xfId="0" applyAlignment="1">
      <alignment horizontal="center"/>
    </xf>
    <xf numFmtId="0" fontId="81" fillId="0" borderId="0" xfId="0" applyFont="1"/>
    <xf numFmtId="0" fontId="84" fillId="0" borderId="0" xfId="0" applyFont="1"/>
    <xf numFmtId="0" fontId="85" fillId="0" borderId="0" xfId="0" applyFont="1"/>
    <xf numFmtId="9" fontId="29" fillId="0" borderId="0" xfId="3" applyFont="1" applyBorder="1" applyAlignment="1">
      <alignment horizontal="center"/>
    </xf>
    <xf numFmtId="0" fontId="1" fillId="0" borderId="0" xfId="0" applyFont="1"/>
    <xf numFmtId="0" fontId="86" fillId="0" borderId="0" xfId="0" applyFont="1"/>
    <xf numFmtId="0" fontId="47" fillId="0" borderId="0" xfId="0" applyFont="1"/>
    <xf numFmtId="41" fontId="5" fillId="16" borderId="4" xfId="1" applyNumberFormat="1" applyFont="1" applyFill="1" applyBorder="1"/>
    <xf numFmtId="0" fontId="5" fillId="16" borderId="0" xfId="0" applyFont="1" applyFill="1"/>
    <xf numFmtId="14" fontId="0" fillId="0" borderId="0" xfId="0" applyNumberFormat="1"/>
    <xf numFmtId="0" fontId="87" fillId="0" borderId="0" xfId="0" applyFont="1"/>
    <xf numFmtId="0" fontId="88" fillId="0" borderId="0" xfId="0" applyFont="1"/>
    <xf numFmtId="42" fontId="89" fillId="0" borderId="0" xfId="0" applyNumberFormat="1" applyFont="1"/>
    <xf numFmtId="42" fontId="87" fillId="0" borderId="0" xfId="0" applyNumberFormat="1" applyFont="1"/>
    <xf numFmtId="41" fontId="87" fillId="0" borderId="0" xfId="0" applyNumberFormat="1" applyFont="1"/>
    <xf numFmtId="42" fontId="87" fillId="0" borderId="2" xfId="0" applyNumberFormat="1" applyFont="1" applyBorder="1"/>
    <xf numFmtId="43" fontId="9" fillId="16" borderId="0" xfId="0" applyNumberFormat="1" applyFont="1" applyFill="1"/>
    <xf numFmtId="0" fontId="9" fillId="5" borderId="0" xfId="0" applyFont="1" applyFill="1" applyAlignment="1">
      <alignment horizontal="centerContinuous"/>
    </xf>
    <xf numFmtId="41" fontId="9" fillId="5" borderId="0" xfId="0" applyNumberFormat="1" applyFont="1" applyFill="1" applyAlignment="1">
      <alignment horizontal="centerContinuous"/>
    </xf>
    <xf numFmtId="0" fontId="9" fillId="5" borderId="0" xfId="0" applyFont="1" applyFill="1"/>
    <xf numFmtId="41" fontId="9" fillId="5" borderId="0" xfId="0" applyNumberFormat="1" applyFont="1" applyFill="1"/>
    <xf numFmtId="0" fontId="9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41" fontId="8" fillId="5" borderId="0" xfId="0" applyNumberFormat="1" applyFont="1" applyFill="1" applyAlignment="1">
      <alignment horizontal="center"/>
    </xf>
    <xf numFmtId="0" fontId="9" fillId="5" borderId="0" xfId="0" quotePrefix="1" applyFont="1" applyFill="1" applyAlignment="1">
      <alignment horizontal="center"/>
    </xf>
    <xf numFmtId="165" fontId="9" fillId="5" borderId="0" xfId="3" applyNumberFormat="1" applyFont="1" applyFill="1"/>
    <xf numFmtId="42" fontId="9" fillId="5" borderId="0" xfId="2" applyNumberFormat="1" applyFont="1" applyFill="1"/>
    <xf numFmtId="41" fontId="9" fillId="5" borderId="0" xfId="2" applyNumberFormat="1" applyFont="1" applyFill="1"/>
    <xf numFmtId="41" fontId="9" fillId="5" borderId="0" xfId="1" applyNumberFormat="1" applyFont="1" applyFill="1"/>
    <xf numFmtId="165" fontId="9" fillId="5" borderId="2" xfId="3" applyNumberFormat="1" applyFont="1" applyFill="1" applyBorder="1"/>
    <xf numFmtId="42" fontId="9" fillId="5" borderId="2" xfId="2" applyNumberFormat="1" applyFont="1" applyFill="1" applyBorder="1"/>
    <xf numFmtId="42" fontId="9" fillId="5" borderId="0" xfId="0" applyNumberFormat="1" applyFont="1" applyFill="1"/>
    <xf numFmtId="49" fontId="9" fillId="5" borderId="1" xfId="0" applyNumberFormat="1" applyFont="1" applyFill="1" applyBorder="1" applyAlignment="1">
      <alignment horizontal="center"/>
    </xf>
    <xf numFmtId="49" fontId="9" fillId="5" borderId="1" xfId="2" applyNumberFormat="1" applyFont="1" applyFill="1" applyBorder="1" applyAlignment="1">
      <alignment horizontal="center"/>
    </xf>
    <xf numFmtId="1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right"/>
    </xf>
    <xf numFmtId="42" fontId="9" fillId="5" borderId="3" xfId="2" applyNumberFormat="1" applyFont="1" applyFill="1" applyBorder="1"/>
    <xf numFmtId="42" fontId="9" fillId="5" borderId="0" xfId="2" applyNumberFormat="1" applyFont="1" applyFill="1" applyBorder="1"/>
    <xf numFmtId="41" fontId="9" fillId="5" borderId="0" xfId="0" quotePrefix="1" applyNumberFormat="1" applyFont="1" applyFill="1" applyAlignment="1">
      <alignment horizontal="left"/>
    </xf>
    <xf numFmtId="0" fontId="9" fillId="5" borderId="0" xfId="0" applyFont="1" applyFill="1" applyAlignment="1">
      <alignment horizontal="left" vertical="center"/>
    </xf>
    <xf numFmtId="42" fontId="39" fillId="0" borderId="0" xfId="0" applyNumberFormat="1" applyFont="1" applyAlignment="1">
      <alignment horizontal="centerContinuous"/>
    </xf>
    <xf numFmtId="0" fontId="39" fillId="0" borderId="0" xfId="0" applyFont="1" applyAlignment="1">
      <alignment horizontal="centerContinuous"/>
    </xf>
    <xf numFmtId="42" fontId="55" fillId="0" borderId="0" xfId="0" applyNumberFormat="1" applyFont="1" applyAlignment="1">
      <alignment horizontal="centerContinuous"/>
    </xf>
    <xf numFmtId="10" fontId="87" fillId="0" borderId="0" xfId="0" applyNumberFormat="1" applyFont="1"/>
    <xf numFmtId="42" fontId="39" fillId="0" borderId="0" xfId="0" quotePrefix="1" applyNumberFormat="1" applyFont="1" applyAlignment="1">
      <alignment horizontal="centerContinuous"/>
    </xf>
    <xf numFmtId="173" fontId="90" fillId="0" borderId="0" xfId="0" quotePrefix="1" applyNumberFormat="1" applyFont="1"/>
    <xf numFmtId="174" fontId="91" fillId="0" borderId="0" xfId="0" quotePrefix="1" applyNumberFormat="1" applyFont="1" applyAlignment="1">
      <alignment horizontal="center"/>
    </xf>
    <xf numFmtId="42" fontId="55" fillId="0" borderId="0" xfId="0" applyNumberFormat="1" applyFont="1"/>
    <xf numFmtId="37" fontId="55" fillId="0" borderId="0" xfId="0" applyNumberFormat="1" applyFont="1" applyAlignment="1">
      <alignment horizontal="centerContinuous"/>
    </xf>
    <xf numFmtId="37" fontId="39" fillId="0" borderId="0" xfId="0" applyNumberFormat="1" applyFont="1" applyAlignment="1">
      <alignment horizontal="center"/>
    </xf>
    <xf numFmtId="37" fontId="92" fillId="0" borderId="0" xfId="0" applyNumberFormat="1" applyFont="1" applyAlignment="1">
      <alignment horizontal="center"/>
    </xf>
    <xf numFmtId="37" fontId="92" fillId="0" borderId="0" xfId="0" applyNumberFormat="1" applyFont="1" applyAlignment="1">
      <alignment horizontal="left"/>
    </xf>
    <xf numFmtId="37" fontId="93" fillId="0" borderId="0" xfId="0" applyNumberFormat="1" applyFont="1" applyAlignment="1">
      <alignment horizontal="center"/>
    </xf>
    <xf numFmtId="37" fontId="92" fillId="0" borderId="0" xfId="0" applyNumberFormat="1" applyFont="1" applyAlignment="1">
      <alignment horizontal="centerContinuous"/>
    </xf>
    <xf numFmtId="10" fontId="88" fillId="0" borderId="0" xfId="0" applyNumberFormat="1" applyFont="1" applyAlignment="1">
      <alignment horizontal="center"/>
    </xf>
    <xf numFmtId="37" fontId="55" fillId="0" borderId="0" xfId="0" quotePrefix="1" applyNumberFormat="1" applyFont="1" applyAlignment="1">
      <alignment horizontal="center"/>
    </xf>
    <xf numFmtId="37" fontId="94" fillId="0" borderId="0" xfId="0" quotePrefix="1" applyNumberFormat="1" applyFont="1" applyAlignment="1">
      <alignment horizontal="left"/>
    </xf>
    <xf numFmtId="42" fontId="63" fillId="0" borderId="0" xfId="0" applyNumberFormat="1" applyFont="1" applyAlignment="1">
      <alignment horizontal="centerContinuous"/>
    </xf>
    <xf numFmtId="42" fontId="95" fillId="0" borderId="0" xfId="0" applyNumberFormat="1" applyFont="1" applyAlignment="1">
      <alignment horizontal="center"/>
    </xf>
    <xf numFmtId="42" fontId="95" fillId="0" borderId="0" xfId="0" applyNumberFormat="1" applyFont="1"/>
    <xf numFmtId="37" fontId="38" fillId="0" borderId="0" xfId="0" applyNumberFormat="1" applyFont="1" applyAlignment="1">
      <alignment horizontal="center"/>
    </xf>
    <xf numFmtId="37" fontId="55" fillId="0" borderId="0" xfId="0" quotePrefix="1" applyNumberFormat="1" applyFont="1" applyAlignment="1" applyProtection="1">
      <alignment horizontal="left"/>
      <protection locked="0"/>
    </xf>
    <xf numFmtId="37" fontId="94" fillId="0" borderId="0" xfId="0" applyNumberFormat="1" applyFont="1" applyAlignment="1">
      <alignment horizontal="center"/>
    </xf>
    <xf numFmtId="42" fontId="85" fillId="0" borderId="0" xfId="0" applyNumberFormat="1" applyFont="1"/>
    <xf numFmtId="37" fontId="96" fillId="0" borderId="0" xfId="0" applyNumberFormat="1" applyFont="1" applyAlignment="1">
      <alignment horizontal="center"/>
    </xf>
    <xf numFmtId="42" fontId="38" fillId="0" borderId="0" xfId="0" applyNumberFormat="1" applyFont="1"/>
    <xf numFmtId="37" fontId="55" fillId="0" borderId="0" xfId="0" applyNumberFormat="1" applyFont="1" applyAlignment="1" applyProtection="1">
      <alignment horizontal="left"/>
      <protection locked="0"/>
    </xf>
    <xf numFmtId="0" fontId="55" fillId="0" borderId="0" xfId="0" applyFont="1" applyAlignment="1">
      <alignment horizontal="left"/>
    </xf>
    <xf numFmtId="42" fontId="55" fillId="0" borderId="2" xfId="0" applyNumberFormat="1" applyFont="1" applyBorder="1"/>
    <xf numFmtId="37" fontId="57" fillId="0" borderId="0" xfId="0" applyNumberFormat="1" applyFont="1" applyAlignment="1">
      <alignment horizontal="center"/>
    </xf>
    <xf numFmtId="42" fontId="38" fillId="0" borderId="2" xfId="0" applyNumberFormat="1" applyFont="1" applyBorder="1"/>
    <xf numFmtId="0" fontId="57" fillId="0" borderId="0" xfId="0" applyFont="1"/>
    <xf numFmtId="10" fontId="38" fillId="0" borderId="0" xfId="0" applyNumberFormat="1" applyFont="1"/>
    <xf numFmtId="0" fontId="97" fillId="0" borderId="0" xfId="0" applyFont="1"/>
    <xf numFmtId="3" fontId="0" fillId="0" borderId="0" xfId="0" applyNumberFormat="1"/>
    <xf numFmtId="3" fontId="86" fillId="0" borderId="0" xfId="0" applyNumberFormat="1" applyFont="1"/>
    <xf numFmtId="44" fontId="36" fillId="0" borderId="0" xfId="0" applyNumberFormat="1" applyFont="1"/>
    <xf numFmtId="43" fontId="0" fillId="0" borderId="0" xfId="0" applyNumberFormat="1"/>
    <xf numFmtId="43" fontId="86" fillId="0" borderId="0" xfId="0" applyNumberFormat="1" applyFont="1"/>
    <xf numFmtId="3" fontId="1" fillId="0" borderId="0" xfId="0" applyNumberFormat="1" applyFont="1"/>
    <xf numFmtId="0" fontId="5" fillId="5" borderId="0" xfId="0" applyFont="1" applyFill="1" applyAlignment="1">
      <alignment horizontal="center"/>
    </xf>
    <xf numFmtId="41" fontId="5" fillId="5" borderId="0" xfId="0" applyNumberFormat="1" applyFont="1" applyFill="1"/>
    <xf numFmtId="164" fontId="5" fillId="5" borderId="0" xfId="0" applyNumberFormat="1" applyFont="1" applyFill="1"/>
    <xf numFmtId="42" fontId="40" fillId="5" borderId="0" xfId="0" applyNumberFormat="1" applyFont="1" applyFill="1"/>
    <xf numFmtId="41" fontId="40" fillId="5" borderId="0" xfId="0" applyNumberFormat="1" applyFont="1" applyFill="1"/>
    <xf numFmtId="167" fontId="4" fillId="0" borderId="0" xfId="0" applyNumberFormat="1" applyFont="1" applyAlignment="1">
      <alignment horizontal="center"/>
    </xf>
    <xf numFmtId="167" fontId="34" fillId="0" borderId="0" xfId="0" applyNumberFormat="1" applyFont="1" applyAlignment="1">
      <alignment horizontal="center"/>
    </xf>
    <xf numFmtId="167" fontId="41" fillId="0" borderId="0" xfId="0" applyNumberFormat="1" applyFont="1" applyAlignment="1">
      <alignment horizontal="center"/>
    </xf>
    <xf numFmtId="42" fontId="35" fillId="0" borderId="0" xfId="0" applyNumberFormat="1" applyFont="1" applyAlignment="1">
      <alignment horizontal="center"/>
    </xf>
    <xf numFmtId="43" fontId="12" fillId="0" borderId="0" xfId="0" applyNumberFormat="1" applyFont="1" applyAlignment="1">
      <alignment horizontal="right"/>
    </xf>
    <xf numFmtId="43" fontId="78" fillId="5" borderId="0" xfId="0" applyNumberFormat="1" applyFont="1" applyFill="1" applyAlignment="1">
      <alignment horizontal="center"/>
    </xf>
    <xf numFmtId="43" fontId="36" fillId="0" borderId="0" xfId="0" applyNumberFormat="1" applyFont="1" applyAlignment="1">
      <alignment horizontal="right"/>
    </xf>
    <xf numFmtId="42" fontId="98" fillId="0" borderId="0" xfId="0" applyNumberFormat="1" applyFont="1" applyAlignment="1">
      <alignment horizontal="center"/>
    </xf>
    <xf numFmtId="42" fontId="96" fillId="0" borderId="0" xfId="0" applyNumberFormat="1" applyFont="1"/>
    <xf numFmtId="169" fontId="4" fillId="0" borderId="0" xfId="0" applyNumberFormat="1" applyFont="1" applyAlignment="1">
      <alignment horizontal="center"/>
    </xf>
    <xf numFmtId="42" fontId="99" fillId="0" borderId="0" xfId="0" applyNumberFormat="1" applyFont="1" applyAlignment="1">
      <alignment horizontal="center"/>
    </xf>
    <xf numFmtId="167" fontId="100" fillId="0" borderId="0" xfId="0" quotePrefix="1" applyNumberFormat="1" applyFont="1" applyAlignment="1">
      <alignment horizontal="center"/>
    </xf>
    <xf numFmtId="0" fontId="101" fillId="0" borderId="0" xfId="0" applyFont="1" applyAlignment="1">
      <alignment horizontal="centerContinuous"/>
    </xf>
    <xf numFmtId="0" fontId="96" fillId="0" borderId="0" xfId="0" applyFont="1" applyAlignment="1">
      <alignment horizontal="center"/>
    </xf>
    <xf numFmtId="167" fontId="96" fillId="0" borderId="0" xfId="0" applyNumberFormat="1" applyFont="1" applyAlignment="1">
      <alignment horizontal="center"/>
    </xf>
    <xf numFmtId="0" fontId="102" fillId="0" borderId="0" xfId="0" applyFont="1" applyAlignment="1">
      <alignment horizontal="centerContinuous"/>
    </xf>
    <xf numFmtId="10" fontId="29" fillId="0" borderId="0" xfId="3" applyNumberFormat="1" applyFont="1" applyBorder="1"/>
    <xf numFmtId="0" fontId="103" fillId="0" borderId="0" xfId="0" applyFont="1" applyAlignment="1">
      <alignment horizontal="left"/>
    </xf>
    <xf numFmtId="41" fontId="0" fillId="0" borderId="0" xfId="0" applyNumberFormat="1"/>
    <xf numFmtId="41" fontId="86" fillId="0" borderId="0" xfId="0" applyNumberFormat="1" applyFont="1"/>
    <xf numFmtId="43" fontId="5" fillId="0" borderId="0" xfId="1" applyFont="1" applyAlignment="1">
      <alignment horizontal="right"/>
    </xf>
    <xf numFmtId="0" fontId="106" fillId="0" borderId="0" xfId="0" applyFont="1"/>
    <xf numFmtId="166" fontId="16" fillId="0" borderId="0" xfId="0" applyNumberFormat="1" applyFont="1"/>
    <xf numFmtId="41" fontId="12" fillId="0" borderId="0" xfId="0" applyNumberFormat="1" applyFont="1" applyAlignment="1">
      <alignment horizontal="right"/>
    </xf>
    <xf numFmtId="41" fontId="77" fillId="0" borderId="0" xfId="0" applyNumberFormat="1" applyFont="1" applyAlignment="1">
      <alignment horizontal="right"/>
    </xf>
    <xf numFmtId="41" fontId="78" fillId="5" borderId="0" xfId="0" applyNumberFormat="1" applyFont="1" applyFill="1" applyAlignment="1">
      <alignment horizontal="right"/>
    </xf>
    <xf numFmtId="166" fontId="16" fillId="0" borderId="1" xfId="2" applyNumberFormat="1" applyFont="1" applyBorder="1"/>
    <xf numFmtId="0" fontId="86" fillId="0" borderId="0" xfId="0" applyFont="1" applyAlignment="1">
      <alignment horizontal="center"/>
    </xf>
    <xf numFmtId="172" fontId="86" fillId="0" borderId="0" xfId="0" applyNumberFormat="1" applyFont="1"/>
    <xf numFmtId="0" fontId="1" fillId="16" borderId="0" xfId="0" applyFont="1" applyFill="1"/>
    <xf numFmtId="43" fontId="0" fillId="0" borderId="0" xfId="1" applyFont="1"/>
    <xf numFmtId="0" fontId="86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86" fillId="0" borderId="0" xfId="1" applyNumberFormat="1" applyFont="1" applyFill="1" applyAlignment="1">
      <alignment horizontal="center"/>
    </xf>
    <xf numFmtId="164" fontId="86" fillId="17" borderId="0" xfId="1" applyNumberFormat="1" applyFont="1" applyFill="1" applyAlignment="1">
      <alignment horizontal="center"/>
    </xf>
    <xf numFmtId="164" fontId="1" fillId="17" borderId="0" xfId="1" applyNumberFormat="1" applyFont="1" applyFill="1" applyAlignment="1"/>
    <xf numFmtId="43" fontId="86" fillId="0" borderId="0" xfId="1" applyFont="1" applyFill="1" applyAlignment="1">
      <alignment horizontal="left"/>
    </xf>
    <xf numFmtId="43" fontId="86" fillId="0" borderId="0" xfId="1" quotePrefix="1" applyFont="1" applyFill="1" applyAlignment="1">
      <alignment horizontal="right"/>
    </xf>
    <xf numFmtId="164" fontId="86" fillId="0" borderId="0" xfId="1" quotePrefix="1" applyNumberFormat="1" applyFont="1" applyFill="1" applyAlignment="1">
      <alignment horizontal="right"/>
    </xf>
    <xf numFmtId="0" fontId="86" fillId="0" borderId="0" xfId="1" quotePrefix="1" applyNumberFormat="1" applyFont="1" applyFill="1" applyAlignment="1"/>
    <xf numFmtId="43" fontId="106" fillId="0" borderId="0" xfId="1" applyFont="1" applyFill="1" applyAlignment="1">
      <alignment horizontal="left"/>
    </xf>
    <xf numFmtId="43" fontId="86" fillId="0" borderId="0" xfId="1" quotePrefix="1" applyFont="1" applyFill="1" applyAlignment="1">
      <alignment horizontal="left"/>
    </xf>
    <xf numFmtId="43" fontId="86" fillId="0" borderId="0" xfId="1" applyFont="1"/>
    <xf numFmtId="43" fontId="5" fillId="0" borderId="0" xfId="0" applyNumberFormat="1" applyFont="1"/>
    <xf numFmtId="3" fontId="86" fillId="16" borderId="0" xfId="0" applyNumberFormat="1" applyFont="1" applyFill="1"/>
    <xf numFmtId="0" fontId="0" fillId="16" borderId="0" xfId="0" applyFill="1"/>
    <xf numFmtId="3" fontId="0" fillId="16" borderId="0" xfId="0" applyNumberFormat="1" applyFill="1"/>
    <xf numFmtId="43" fontId="16" fillId="0" borderId="0" xfId="1" applyFont="1"/>
    <xf numFmtId="43" fontId="16" fillId="0" borderId="0" xfId="0" applyNumberFormat="1" applyFont="1"/>
    <xf numFmtId="175" fontId="86" fillId="0" borderId="0" xfId="0" applyNumberFormat="1" applyFont="1"/>
    <xf numFmtId="43" fontId="1" fillId="0" borderId="0" xfId="1" applyFont="1" applyFill="1"/>
    <xf numFmtId="0" fontId="86" fillId="16" borderId="0" xfId="0" applyFont="1" applyFill="1" applyAlignment="1">
      <alignment horizontal="center"/>
    </xf>
    <xf numFmtId="43" fontId="1" fillId="16" borderId="0" xfId="1" applyFont="1" applyFill="1"/>
    <xf numFmtId="43" fontId="86" fillId="0" borderId="0" xfId="1" applyFont="1" applyFill="1"/>
    <xf numFmtId="172" fontId="0" fillId="0" borderId="0" xfId="0" applyNumberFormat="1"/>
    <xf numFmtId="41" fontId="0" fillId="16" borderId="0" xfId="0" applyNumberFormat="1" applyFill="1"/>
    <xf numFmtId="41" fontId="1" fillId="0" borderId="0" xfId="0" applyNumberFormat="1" applyFont="1"/>
    <xf numFmtId="0" fontId="106" fillId="18" borderId="0" xfId="0" applyFont="1" applyFill="1"/>
    <xf numFmtId="0" fontId="86" fillId="16" borderId="0" xfId="0" applyFont="1" applyFill="1"/>
    <xf numFmtId="43" fontId="4" fillId="0" borderId="0" xfId="1" applyFont="1" applyAlignment="1"/>
    <xf numFmtId="43" fontId="35" fillId="0" borderId="0" xfId="1" applyFont="1" applyAlignment="1"/>
    <xf numFmtId="43" fontId="9" fillId="0" borderId="0" xfId="1" applyFont="1" applyFill="1"/>
    <xf numFmtId="43" fontId="5" fillId="0" borderId="0" xfId="1" applyFont="1" applyFill="1"/>
    <xf numFmtId="0" fontId="80" fillId="0" borderId="0" xfId="0" applyFont="1" applyAlignment="1">
      <alignment horizontal="center"/>
    </xf>
    <xf numFmtId="43" fontId="80" fillId="0" borderId="0" xfId="0" applyNumberFormat="1" applyFont="1" applyAlignment="1">
      <alignment horizontal="center"/>
    </xf>
    <xf numFmtId="0" fontId="81" fillId="0" borderId="0" xfId="0" applyFont="1" applyAlignment="1">
      <alignment horizontal="center"/>
    </xf>
    <xf numFmtId="14" fontId="82" fillId="0" borderId="0" xfId="0" applyNumberFormat="1" applyFont="1" applyAlignment="1">
      <alignment horizontal="center"/>
    </xf>
    <xf numFmtId="0" fontId="82" fillId="0" borderId="0" xfId="0" applyFont="1" applyAlignment="1">
      <alignment horizontal="center"/>
    </xf>
    <xf numFmtId="166" fontId="83" fillId="0" borderId="0" xfId="2" applyNumberFormat="1" applyFont="1" applyFill="1"/>
    <xf numFmtId="0" fontId="83" fillId="0" borderId="0" xfId="0" applyFont="1" applyAlignment="1">
      <alignment horizontal="center"/>
    </xf>
    <xf numFmtId="166" fontId="0" fillId="0" borderId="0" xfId="2" applyNumberFormat="1" applyFont="1" applyFill="1"/>
    <xf numFmtId="166" fontId="0" fillId="0" borderId="0" xfId="0" applyNumberFormat="1"/>
    <xf numFmtId="10" fontId="0" fillId="0" borderId="0" xfId="3" applyNumberFormat="1" applyFont="1" applyFill="1"/>
    <xf numFmtId="164" fontId="83" fillId="0" borderId="0" xfId="1" applyNumberFormat="1" applyFont="1" applyFill="1"/>
    <xf numFmtId="164" fontId="0" fillId="0" borderId="0" xfId="1" applyNumberFormat="1" applyFont="1" applyFill="1"/>
    <xf numFmtId="164" fontId="83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0" fontId="0" fillId="0" borderId="0" xfId="3" applyNumberFormat="1" applyFont="1" applyFill="1" applyAlignment="1">
      <alignment horizontal="center"/>
    </xf>
    <xf numFmtId="14" fontId="83" fillId="0" borderId="0" xfId="0" applyNumberFormat="1" applyFont="1" applyAlignment="1">
      <alignment horizontal="center"/>
    </xf>
    <xf numFmtId="10" fontId="0" fillId="0" borderId="0" xfId="0" applyNumberFormat="1"/>
    <xf numFmtId="43" fontId="0" fillId="0" borderId="0" xfId="1" applyFont="1" applyFill="1"/>
    <xf numFmtId="0" fontId="104" fillId="0" borderId="0" xfId="0" applyFont="1"/>
    <xf numFmtId="43" fontId="105" fillId="0" borderId="0" xfId="0" applyNumberFormat="1" applyFont="1"/>
    <xf numFmtId="0" fontId="105" fillId="0" borderId="0" xfId="0" applyFont="1"/>
    <xf numFmtId="41" fontId="105" fillId="0" borderId="0" xfId="0" applyNumberFormat="1" applyFont="1"/>
    <xf numFmtId="10" fontId="105" fillId="0" borderId="0" xfId="0" applyNumberFormat="1" applyFont="1"/>
    <xf numFmtId="10" fontId="86" fillId="0" borderId="0" xfId="0" applyNumberFormat="1" applyFont="1"/>
    <xf numFmtId="43" fontId="86" fillId="0" borderId="2" xfId="1" applyFont="1" applyFill="1" applyBorder="1"/>
    <xf numFmtId="43" fontId="1" fillId="0" borderId="0" xfId="1" applyFont="1" applyFill="1" applyAlignment="1"/>
    <xf numFmtId="43" fontId="1" fillId="0" borderId="0" xfId="1" quotePrefix="1" applyFont="1" applyFill="1" applyAlignment="1">
      <alignment horizontal="left"/>
    </xf>
    <xf numFmtId="0" fontId="1" fillId="18" borderId="0" xfId="0" applyFont="1" applyFill="1"/>
    <xf numFmtId="43" fontId="86" fillId="0" borderId="0" xfId="1" applyFont="1" applyFill="1" applyBorder="1"/>
    <xf numFmtId="0" fontId="86" fillId="0" borderId="1" xfId="0" applyFont="1" applyBorder="1"/>
    <xf numFmtId="4" fontId="5" fillId="0" borderId="0" xfId="0" applyNumberFormat="1" applyFont="1"/>
    <xf numFmtId="0" fontId="46" fillId="0" borderId="0" xfId="0" applyFont="1" applyAlignment="1">
      <alignment horizontal="left"/>
    </xf>
    <xf numFmtId="164" fontId="0" fillId="0" borderId="0" xfId="1" applyNumberFormat="1" applyFont="1"/>
    <xf numFmtId="0" fontId="0" fillId="0" borderId="0" xfId="0" applyAlignment="1">
      <alignment horizontal="left"/>
    </xf>
    <xf numFmtId="0" fontId="86" fillId="0" borderId="1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86" fillId="19" borderId="0" xfId="0" applyFont="1" applyFill="1" applyAlignment="1">
      <alignment horizontal="center"/>
    </xf>
    <xf numFmtId="0" fontId="86" fillId="18" borderId="0" xfId="0" applyFont="1" applyFill="1" applyAlignment="1">
      <alignment horizontal="center"/>
    </xf>
    <xf numFmtId="0" fontId="8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1" fillId="0" borderId="0" xfId="0" applyFont="1" applyAlignment="1">
      <alignment horizontal="right"/>
    </xf>
    <xf numFmtId="10" fontId="29" fillId="0" borderId="0" xfId="3" applyNumberFormat="1" applyFont="1" applyFill="1" applyBorder="1"/>
    <xf numFmtId="42" fontId="9" fillId="5" borderId="0" xfId="0" applyNumberFormat="1" applyFont="1" applyFill="1" applyAlignment="1">
      <alignment horizontal="left"/>
    </xf>
    <xf numFmtId="0" fontId="5" fillId="20" borderId="0" xfId="0" applyFont="1" applyFill="1"/>
    <xf numFmtId="0" fontId="86" fillId="0" borderId="1" xfId="0" applyFont="1" applyBorder="1" applyAlignment="1">
      <alignment horizontal="left"/>
    </xf>
    <xf numFmtId="0" fontId="109" fillId="21" borderId="0" xfId="0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86" fillId="22" borderId="0" xfId="0" applyFont="1" applyFill="1" applyAlignment="1">
      <alignment horizontal="center"/>
    </xf>
    <xf numFmtId="0" fontId="1" fillId="22" borderId="0" xfId="0" applyFont="1" applyFill="1"/>
    <xf numFmtId="0" fontId="86" fillId="0" borderId="2" xfId="0" applyFont="1" applyBorder="1"/>
    <xf numFmtId="0" fontId="1" fillId="23" borderId="0" xfId="0" applyFont="1" applyFill="1"/>
    <xf numFmtId="4" fontId="86" fillId="0" borderId="0" xfId="0" applyNumberFormat="1" applyFont="1" applyAlignment="1">
      <alignment horizontal="center"/>
    </xf>
    <xf numFmtId="0" fontId="86" fillId="0" borderId="0" xfId="0" applyFont="1" applyAlignment="1">
      <alignment horizontal="right"/>
    </xf>
    <xf numFmtId="0" fontId="86" fillId="23" borderId="0" xfId="0" applyFont="1" applyFill="1" applyAlignment="1">
      <alignment horizontal="center"/>
    </xf>
    <xf numFmtId="0" fontId="106" fillId="24" borderId="0" xfId="0" applyFont="1" applyFill="1"/>
    <xf numFmtId="0" fontId="86" fillId="21" borderId="0" xfId="0" applyFont="1" applyFill="1" applyAlignment="1">
      <alignment horizontal="center"/>
    </xf>
    <xf numFmtId="0" fontId="1" fillId="21" borderId="0" xfId="0" applyFont="1" applyFill="1"/>
    <xf numFmtId="0" fontId="31" fillId="0" borderId="0" xfId="0" applyFont="1" applyAlignment="1">
      <alignment horizontal="left"/>
    </xf>
    <xf numFmtId="42" fontId="3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7" fontId="23" fillId="0" borderId="0" xfId="0" quotePrefix="1" applyNumberFormat="1" applyFont="1" applyAlignment="1" applyProtection="1">
      <alignment horizontal="left"/>
      <protection locked="0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18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167" fontId="33" fillId="0" borderId="0" xfId="0" applyNumberFormat="1" applyFont="1" applyAlignment="1">
      <alignment horizontal="right"/>
    </xf>
    <xf numFmtId="166" fontId="31" fillId="0" borderId="0" xfId="0" applyNumberFormat="1" applyFont="1" applyAlignment="1">
      <alignment horizontal="right"/>
    </xf>
    <xf numFmtId="3" fontId="5" fillId="0" borderId="0" xfId="0" quotePrefix="1" applyNumberFormat="1" applyFont="1" applyAlignment="1" applyProtection="1">
      <alignment horizontal="left"/>
      <protection locked="0"/>
    </xf>
    <xf numFmtId="42" fontId="9" fillId="0" borderId="0" xfId="0" applyNumberFormat="1" applyFont="1" applyAlignment="1">
      <alignment horizontal="right"/>
    </xf>
    <xf numFmtId="167" fontId="33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right"/>
    </xf>
    <xf numFmtId="3" fontId="5" fillId="0" borderId="0" xfId="0" applyNumberFormat="1" applyFont="1" applyProtection="1">
      <protection locked="0"/>
    </xf>
    <xf numFmtId="0" fontId="14" fillId="0" borderId="0" xfId="4" applyFont="1" applyAlignment="1">
      <alignment horizontal="center"/>
    </xf>
    <xf numFmtId="0" fontId="10" fillId="0" borderId="0" xfId="0" applyFont="1" applyAlignment="1">
      <alignment horizontal="center"/>
    </xf>
    <xf numFmtId="37" fontId="23" fillId="0" borderId="0" xfId="0" applyNumberFormat="1" applyFont="1" applyProtection="1">
      <protection locked="0"/>
    </xf>
    <xf numFmtId="0" fontId="7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/>
    <xf numFmtId="37" fontId="14" fillId="0" borderId="0" xfId="0" applyNumberFormat="1" applyFont="1" applyAlignment="1" applyProtection="1">
      <alignment horizontal="center"/>
      <protection locked="0"/>
    </xf>
    <xf numFmtId="42" fontId="38" fillId="0" borderId="0" xfId="0" applyNumberFormat="1" applyFont="1" applyAlignment="1">
      <alignment horizontal="right"/>
    </xf>
    <xf numFmtId="37" fontId="14" fillId="0" borderId="0" xfId="0" applyNumberFormat="1" applyFont="1" applyProtection="1">
      <protection locked="0"/>
    </xf>
    <xf numFmtId="5" fontId="38" fillId="0" borderId="0" xfId="0" quotePrefix="1" applyNumberFormat="1" applyFont="1" applyAlignment="1">
      <alignment horizontal="right"/>
    </xf>
    <xf numFmtId="42" fontId="63" fillId="0" borderId="0" xfId="0" quotePrefix="1" applyNumberFormat="1" applyFont="1" applyAlignment="1">
      <alignment horizontal="left"/>
    </xf>
    <xf numFmtId="5" fontId="9" fillId="0" borderId="0" xfId="0" quotePrefix="1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41" fontId="1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78" fontId="9" fillId="0" borderId="0" xfId="6" quotePrefix="1" applyNumberFormat="1" applyFont="1" applyAlignment="1">
      <alignment horizontal="right"/>
    </xf>
    <xf numFmtId="42" fontId="38" fillId="0" borderId="0" xfId="0" quotePrefix="1" applyNumberFormat="1" applyFont="1" applyAlignment="1">
      <alignment horizontal="right"/>
    </xf>
    <xf numFmtId="42" fontId="9" fillId="0" borderId="0" xfId="0" quotePrefix="1" applyNumberFormat="1" applyFont="1" applyAlignment="1">
      <alignment horizontal="right"/>
    </xf>
    <xf numFmtId="176" fontId="9" fillId="0" borderId="0" xfId="0" applyNumberFormat="1" applyFont="1"/>
    <xf numFmtId="177" fontId="9" fillId="0" borderId="0" xfId="0" applyNumberFormat="1" applyFont="1" applyAlignment="1">
      <alignment horizontal="right"/>
    </xf>
    <xf numFmtId="3" fontId="5" fillId="0" borderId="0" xfId="2" applyNumberFormat="1" applyFont="1" applyFill="1" applyBorder="1" applyAlignment="1" applyProtection="1">
      <protection locked="0"/>
    </xf>
    <xf numFmtId="41" fontId="9" fillId="0" borderId="0" xfId="6" quotePrefix="1" applyNumberFormat="1" applyFont="1" applyAlignment="1">
      <alignment horizontal="right"/>
    </xf>
    <xf numFmtId="37" fontId="14" fillId="0" borderId="0" xfId="0" quotePrefix="1" applyNumberFormat="1" applyFont="1" applyAlignment="1" applyProtection="1">
      <alignment horizontal="left"/>
      <protection locked="0"/>
    </xf>
    <xf numFmtId="37" fontId="14" fillId="0" borderId="0" xfId="0" applyNumberFormat="1" applyFont="1" applyAlignment="1" applyProtection="1">
      <alignment horizontal="left"/>
      <protection locked="0"/>
    </xf>
    <xf numFmtId="41" fontId="14" fillId="0" borderId="1" xfId="0" applyNumberFormat="1" applyFont="1" applyBorder="1" applyAlignment="1">
      <alignment horizontal="right"/>
    </xf>
    <xf numFmtId="10" fontId="14" fillId="0" borderId="0" xfId="0" applyNumberFormat="1" applyFont="1" applyAlignment="1">
      <alignment horizontal="right"/>
    </xf>
    <xf numFmtId="42" fontId="14" fillId="0" borderId="3" xfId="0" applyNumberFormat="1" applyFont="1" applyBorder="1" applyAlignment="1">
      <alignment horizontal="right"/>
    </xf>
    <xf numFmtId="42" fontId="38" fillId="0" borderId="3" xfId="0" applyNumberFormat="1" applyFont="1" applyBorder="1" applyAlignment="1">
      <alignment horizontal="right"/>
    </xf>
    <xf numFmtId="42" fontId="14" fillId="0" borderId="0" xfId="0" applyNumberFormat="1" applyFont="1" applyAlignment="1">
      <alignment horizontal="right"/>
    </xf>
    <xf numFmtId="171" fontId="38" fillId="0" borderId="0" xfId="0" quotePrefix="1" applyNumberFormat="1" applyFont="1" applyAlignment="1">
      <alignment horizontal="right"/>
    </xf>
    <xf numFmtId="0" fontId="38" fillId="0" borderId="0" xfId="0" quotePrefix="1" applyFont="1" applyAlignment="1">
      <alignment horizontal="right"/>
    </xf>
    <xf numFmtId="0" fontId="9" fillId="0" borderId="0" xfId="0" quotePrefix="1" applyFont="1" applyAlignment="1">
      <alignment horizontal="right"/>
    </xf>
    <xf numFmtId="5" fontId="14" fillId="0" borderId="0" xfId="0" applyNumberFormat="1" applyFont="1" applyAlignment="1">
      <alignment horizontal="right"/>
    </xf>
    <xf numFmtId="167" fontId="38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41" fontId="38" fillId="0" borderId="0" xfId="0" quotePrefix="1" applyNumberFormat="1" applyFont="1" applyAlignment="1">
      <alignment horizontal="left"/>
    </xf>
    <xf numFmtId="0" fontId="8" fillId="0" borderId="0" xfId="0" quotePrefix="1" applyFont="1" applyAlignment="1">
      <alignment horizontal="left"/>
    </xf>
    <xf numFmtId="3" fontId="9" fillId="0" borderId="0" xfId="0" applyNumberFormat="1" applyFont="1"/>
    <xf numFmtId="0" fontId="5" fillId="25" borderId="0" xfId="0" applyFont="1" applyFill="1"/>
    <xf numFmtId="0" fontId="47" fillId="25" borderId="0" xfId="0" quotePrefix="1" applyFont="1" applyFill="1" applyAlignment="1">
      <alignment horizontal="left"/>
    </xf>
    <xf numFmtId="0" fontId="4" fillId="25" borderId="0" xfId="0" applyFont="1" applyFill="1"/>
    <xf numFmtId="0" fontId="34" fillId="25" borderId="0" xfId="0" applyFont="1" applyFill="1"/>
    <xf numFmtId="0" fontId="44" fillId="25" borderId="0" xfId="0" applyFont="1" applyFill="1"/>
    <xf numFmtId="167" fontId="5" fillId="25" borderId="0" xfId="0" applyNumberFormat="1" applyFont="1" applyFill="1"/>
    <xf numFmtId="0" fontId="11" fillId="25" borderId="0" xfId="0" applyFont="1" applyFill="1" applyAlignment="1">
      <alignment horizontal="right"/>
    </xf>
    <xf numFmtId="10" fontId="4" fillId="25" borderId="0" xfId="0" applyNumberFormat="1" applyFont="1" applyFill="1" applyAlignment="1">
      <alignment horizontal="center"/>
    </xf>
    <xf numFmtId="170" fontId="34" fillId="25" borderId="0" xfId="0" applyNumberFormat="1" applyFont="1" applyFill="1" applyAlignment="1">
      <alignment horizontal="center"/>
    </xf>
    <xf numFmtId="42" fontId="4" fillId="25" borderId="0" xfId="0" applyNumberFormat="1" applyFont="1" applyFill="1"/>
    <xf numFmtId="42" fontId="34" fillId="25" borderId="0" xfId="0" applyNumberFormat="1" applyFont="1" applyFill="1"/>
    <xf numFmtId="42" fontId="44" fillId="25" borderId="0" xfId="0" applyNumberFormat="1" applyFont="1" applyFill="1"/>
    <xf numFmtId="44" fontId="5" fillId="25" borderId="0" xfId="0" applyNumberFormat="1" applyFont="1" applyFill="1"/>
    <xf numFmtId="0" fontId="4" fillId="25" borderId="0" xfId="0" applyFont="1" applyFill="1" applyAlignment="1">
      <alignment horizontal="center"/>
    </xf>
    <xf numFmtId="0" fontId="34" fillId="25" borderId="0" xfId="0" applyFont="1" applyFill="1" applyAlignment="1">
      <alignment horizontal="center"/>
    </xf>
    <xf numFmtId="41" fontId="4" fillId="25" borderId="1" xfId="0" applyNumberFormat="1" applyFont="1" applyFill="1" applyBorder="1"/>
    <xf numFmtId="41" fontId="4" fillId="25" borderId="0" xfId="0" applyNumberFormat="1" applyFont="1" applyFill="1"/>
    <xf numFmtId="41" fontId="34" fillId="25" borderId="0" xfId="0" applyNumberFormat="1" applyFont="1" applyFill="1"/>
    <xf numFmtId="41" fontId="44" fillId="25" borderId="0" xfId="0" applyNumberFormat="1" applyFont="1" applyFill="1"/>
    <xf numFmtId="0" fontId="4" fillId="25" borderId="0" xfId="0" applyFont="1" applyFill="1" applyAlignment="1">
      <alignment horizontal="right"/>
    </xf>
    <xf numFmtId="0" fontId="4" fillId="25" borderId="0" xfId="0" quotePrefix="1" applyFont="1" applyFill="1" applyAlignment="1">
      <alignment horizontal="left"/>
    </xf>
    <xf numFmtId="37" fontId="48" fillId="25" borderId="0" xfId="0" applyNumberFormat="1" applyFont="1" applyFill="1" applyProtection="1">
      <protection locked="0"/>
    </xf>
    <xf numFmtId="42" fontId="44" fillId="25" borderId="3" xfId="0" applyNumberFormat="1" applyFont="1" applyFill="1" applyBorder="1" applyProtection="1">
      <protection locked="0"/>
    </xf>
    <xf numFmtId="0" fontId="9" fillId="25" borderId="0" xfId="0" applyFont="1" applyFill="1"/>
    <xf numFmtId="0" fontId="12" fillId="25" borderId="0" xfId="0" applyFont="1" applyFill="1"/>
    <xf numFmtId="10" fontId="9" fillId="25" borderId="0" xfId="0" applyNumberFormat="1" applyFont="1" applyFill="1" applyAlignment="1">
      <alignment horizontal="center"/>
    </xf>
    <xf numFmtId="42" fontId="9" fillId="25" borderId="0" xfId="0" applyNumberFormat="1" applyFont="1" applyFill="1"/>
    <xf numFmtId="42" fontId="5" fillId="25" borderId="0" xfId="0" applyNumberFormat="1" applyFont="1" applyFill="1"/>
    <xf numFmtId="42" fontId="14" fillId="25" borderId="0" xfId="0" applyNumberFormat="1" applyFont="1" applyFill="1"/>
    <xf numFmtId="41" fontId="9" fillId="25" borderId="1" xfId="0" applyNumberFormat="1" applyFont="1" applyFill="1" applyBorder="1"/>
    <xf numFmtId="41" fontId="5" fillId="25" borderId="0" xfId="0" applyNumberFormat="1" applyFont="1" applyFill="1"/>
    <xf numFmtId="41" fontId="14" fillId="25" borderId="0" xfId="0" applyNumberFormat="1" applyFont="1" applyFill="1"/>
    <xf numFmtId="0" fontId="9" fillId="25" borderId="0" xfId="0" applyFont="1" applyFill="1" applyAlignment="1">
      <alignment horizontal="right"/>
    </xf>
    <xf numFmtId="42" fontId="14" fillId="25" borderId="3" xfId="0" applyNumberFormat="1" applyFont="1" applyFill="1" applyBorder="1" applyProtection="1">
      <protection locked="0"/>
    </xf>
    <xf numFmtId="0" fontId="5" fillId="25" borderId="0" xfId="0" applyFont="1" applyFill="1" applyAlignment="1">
      <alignment horizontal="right"/>
    </xf>
    <xf numFmtId="42" fontId="9" fillId="25" borderId="5" xfId="0" applyNumberFormat="1" applyFont="1" applyFill="1" applyBorder="1"/>
    <xf numFmtId="176" fontId="9" fillId="0" borderId="0" xfId="0" applyNumberFormat="1" applyFont="1" applyAlignment="1">
      <alignment horizontal="centerContinuous"/>
    </xf>
    <xf numFmtId="176" fontId="9" fillId="0" borderId="0" xfId="0" applyNumberFormat="1" applyFont="1" applyAlignment="1">
      <alignment horizontal="right"/>
    </xf>
    <xf numFmtId="42" fontId="9" fillId="0" borderId="0" xfId="0" applyNumberFormat="1" applyFont="1" applyAlignment="1">
      <alignment horizontal="left"/>
    </xf>
    <xf numFmtId="41" fontId="9" fillId="0" borderId="0" xfId="0" applyNumberFormat="1" applyFont="1" applyAlignment="1">
      <alignment horizontal="left"/>
    </xf>
    <xf numFmtId="165" fontId="14" fillId="0" borderId="0" xfId="3" applyNumberFormat="1" applyFont="1" applyAlignment="1">
      <alignment horizontal="right"/>
    </xf>
    <xf numFmtId="0" fontId="9" fillId="20" borderId="0" xfId="0" applyFont="1" applyFill="1" applyAlignment="1">
      <alignment horizontal="right"/>
    </xf>
    <xf numFmtId="0" fontId="9" fillId="20" borderId="0" xfId="0" applyFont="1" applyFill="1" applyAlignment="1">
      <alignment horizontal="center"/>
    </xf>
    <xf numFmtId="0" fontId="8" fillId="20" borderId="0" xfId="0" applyFont="1" applyFill="1" applyAlignment="1">
      <alignment horizontal="right"/>
    </xf>
    <xf numFmtId="0" fontId="8" fillId="20" borderId="0" xfId="0" applyFont="1" applyFill="1" applyAlignment="1">
      <alignment horizontal="center"/>
    </xf>
    <xf numFmtId="42" fontId="9" fillId="20" borderId="0" xfId="0" applyNumberFormat="1" applyFont="1" applyFill="1"/>
    <xf numFmtId="0" fontId="9" fillId="20" borderId="0" xfId="0" applyFont="1" applyFill="1"/>
    <xf numFmtId="3" fontId="14" fillId="20" borderId="0" xfId="0" applyNumberFormat="1" applyFont="1" applyFill="1" applyAlignment="1">
      <alignment horizontal="right"/>
    </xf>
    <xf numFmtId="3" fontId="9" fillId="20" borderId="0" xfId="0" applyNumberFormat="1" applyFont="1" applyFill="1" applyAlignment="1">
      <alignment horizontal="right"/>
    </xf>
    <xf numFmtId="42" fontId="14" fillId="20" borderId="3" xfId="0" applyNumberFormat="1" applyFont="1" applyFill="1" applyBorder="1" applyAlignment="1">
      <alignment horizontal="right"/>
    </xf>
    <xf numFmtId="0" fontId="10" fillId="20" borderId="0" xfId="0" applyFont="1" applyFill="1" applyAlignment="1">
      <alignment horizontal="center"/>
    </xf>
    <xf numFmtId="0" fontId="7" fillId="20" borderId="0" xfId="0" quotePrefix="1" applyFont="1" applyFill="1" applyAlignment="1">
      <alignment horizontal="center"/>
    </xf>
    <xf numFmtId="42" fontId="38" fillId="20" borderId="0" xfId="0" applyNumberFormat="1" applyFont="1" applyFill="1" applyAlignment="1">
      <alignment horizontal="right"/>
    </xf>
    <xf numFmtId="5" fontId="38" fillId="20" borderId="0" xfId="0" quotePrefix="1" applyNumberFormat="1" applyFont="1" applyFill="1" applyAlignment="1">
      <alignment horizontal="right"/>
    </xf>
    <xf numFmtId="178" fontId="9" fillId="20" borderId="0" xfId="6" quotePrefix="1" applyNumberFormat="1" applyFont="1" applyFill="1" applyAlignment="1">
      <alignment horizontal="right"/>
    </xf>
    <xf numFmtId="0" fontId="9" fillId="20" borderId="0" xfId="0" quotePrefix="1" applyFont="1" applyFill="1" applyAlignment="1">
      <alignment horizontal="center"/>
    </xf>
    <xf numFmtId="0" fontId="86" fillId="20" borderId="0" xfId="0" applyFont="1" applyFill="1"/>
    <xf numFmtId="3" fontId="0" fillId="20" borderId="0" xfId="0" applyNumberFormat="1" applyFill="1"/>
    <xf numFmtId="0" fontId="107" fillId="26" borderId="0" xfId="0" applyFont="1" applyFill="1"/>
    <xf numFmtId="0" fontId="108" fillId="26" borderId="0" xfId="0" applyFont="1" applyFill="1"/>
    <xf numFmtId="0" fontId="86" fillId="26" borderId="0" xfId="0" applyFont="1" applyFill="1" applyAlignment="1">
      <alignment horizontal="center"/>
    </xf>
    <xf numFmtId="0" fontId="16" fillId="20" borderId="0" xfId="0" applyFont="1" applyFill="1"/>
    <xf numFmtId="164" fontId="9" fillId="20" borderId="0" xfId="0" applyNumberFormat="1" applyFont="1" applyFill="1" applyAlignment="1">
      <alignment horizontal="right"/>
    </xf>
    <xf numFmtId="165" fontId="9" fillId="20" borderId="0" xfId="3" applyNumberFormat="1" applyFont="1" applyFill="1" applyBorder="1"/>
    <xf numFmtId="43" fontId="5" fillId="20" borderId="0" xfId="1" applyFont="1" applyFill="1" applyBorder="1"/>
    <xf numFmtId="0" fontId="34" fillId="20" borderId="0" xfId="0" applyFont="1" applyFill="1"/>
    <xf numFmtId="43" fontId="34" fillId="20" borderId="0" xfId="1" applyFont="1" applyFill="1" applyBorder="1"/>
    <xf numFmtId="0" fontId="16" fillId="0" borderId="0" xfId="0" applyFont="1" applyAlignment="1">
      <alignment horizontal="center"/>
    </xf>
    <xf numFmtId="0" fontId="80" fillId="0" borderId="0" xfId="0" applyFont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_Recon" xfId="4" xr:uid="{00000000-0005-0000-0000-000006000000}"/>
    <cellStyle name="Percent" xfId="3" builtinId="5"/>
  </cellStyles>
  <dxfs count="0"/>
  <tableStyles count="0" defaultTableStyle="TableStyleMedium2" defaultPivotStyle="PivotStyleLight16"/>
  <colors>
    <mruColors>
      <color rgb="FF0000CC"/>
      <color rgb="FF3B0D18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02106554862459"/>
          <c:y val="2.6765590471403842E-2"/>
          <c:w val="0.81037984835228927"/>
          <c:h val="0.8414290647879541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'Inc Approach'!$A$42:$A$45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 Appraisal</c:v>
                </c:pt>
              </c:strCache>
            </c:strRef>
          </c:cat>
          <c:val>
            <c:numRef>
              <c:f>'Inc Approach'!$B$42:$B$45</c:f>
              <c:numCache>
                <c:formatCode>_("$"* #,##0_);_("$"* \(#,##0\);_("$"* "-"??_);_(@_)</c:formatCode>
                <c:ptCount val="4"/>
                <c:pt idx="0">
                  <c:v>97220750</c:v>
                </c:pt>
                <c:pt idx="1">
                  <c:v>104319925.66549912</c:v>
                </c:pt>
                <c:pt idx="2">
                  <c:v>113111858</c:v>
                </c:pt>
                <c:pt idx="3" formatCode="_(&quot;$&quot;* #,##0_);_(&quot;$&quot;* \(#,##0\);_(&quot;$&quot;* &quot;-&quot;_);_(@_)">
                  <c:v>107000000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3-4F49-9942-233423E71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379072"/>
        <c:axId val="181380608"/>
      </c:barChart>
      <c:catAx>
        <c:axId val="18137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380608"/>
        <c:crosses val="autoZero"/>
        <c:auto val="1"/>
        <c:lblAlgn val="ctr"/>
        <c:lblOffset val="100"/>
        <c:noMultiLvlLbl val="0"/>
      </c:catAx>
      <c:valAx>
        <c:axId val="181380608"/>
        <c:scaling>
          <c:orientation val="minMax"/>
          <c:max val="200000000"/>
          <c:min val="6000000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8137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14</xdr:col>
      <xdr:colOff>286589</xdr:colOff>
      <xdr:row>25</xdr:row>
      <xdr:rowOff>25113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9125"/>
          <a:ext cx="9659189" cy="4168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387350</xdr:colOff>
      <xdr:row>39</xdr:row>
      <xdr:rowOff>101600</xdr:rowOff>
    </xdr:from>
    <xdr:to>
      <xdr:col>15</xdr:col>
      <xdr:colOff>421676</xdr:colOff>
      <xdr:row>42</xdr:row>
      <xdr:rowOff>152324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B134ED-0BCF-AF55-E50E-AC7AAD9A6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600" y="8045450"/>
          <a:ext cx="4790476" cy="609524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24</xdr:row>
      <xdr:rowOff>1</xdr:rowOff>
    </xdr:from>
    <xdr:to>
      <xdr:col>20</xdr:col>
      <xdr:colOff>503398</xdr:colOff>
      <xdr:row>38</xdr:row>
      <xdr:rowOff>38101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74E2D1-02C8-5E08-9981-42E21DE7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0251" y="5022851"/>
          <a:ext cx="8466297" cy="2762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15</xdr:row>
      <xdr:rowOff>66676</xdr:rowOff>
    </xdr:from>
    <xdr:to>
      <xdr:col>7</xdr:col>
      <xdr:colOff>142875</xdr:colOff>
      <xdr:row>31</xdr:row>
      <xdr:rowOff>138113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2.bin"/><Relationship Id="rId4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3.bin"/><Relationship Id="rId4" Type="http://schemas.openxmlformats.org/officeDocument/2006/relationships/customProperty" Target="../customProperty2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9.bin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1.bin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3.bin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5.bin"/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7.bin"/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0.bin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2.bin"/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21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4.bin"/><Relationship Id="rId2" Type="http://schemas.openxmlformats.org/officeDocument/2006/relationships/customProperty" Target="../customProperty43.bin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708"/>
  <sheetViews>
    <sheetView showGridLines="0" workbookViewId="0">
      <selection activeCell="O31" sqref="O31"/>
    </sheetView>
  </sheetViews>
  <sheetFormatPr defaultColWidth="9.140625" defaultRowHeight="12.75"/>
  <cols>
    <col min="1" max="1" width="14.85546875" style="1" customWidth="1"/>
    <col min="2" max="2" width="8.140625" style="1" customWidth="1"/>
    <col min="3" max="3" width="13.140625" style="1" customWidth="1"/>
    <col min="4" max="4" width="11.42578125" style="1" customWidth="1"/>
    <col min="5" max="5" width="13" style="1" customWidth="1"/>
    <col min="6" max="6" width="10.7109375" style="1" bestFit="1" customWidth="1"/>
    <col min="7" max="7" width="17" style="1" customWidth="1"/>
    <col min="8" max="8" width="9.140625" style="1"/>
    <col min="9" max="9" width="14.28515625" style="1" customWidth="1"/>
    <col min="10" max="10" width="12" style="1" customWidth="1"/>
    <col min="11" max="11" width="9.140625" style="1"/>
    <col min="12" max="12" width="17.28515625" style="1" customWidth="1"/>
    <col min="13" max="14" width="9.140625" style="1"/>
    <col min="15" max="15" width="17.140625" style="1" customWidth="1"/>
    <col min="16" max="16" width="14.5703125" style="1" customWidth="1"/>
    <col min="17" max="17" width="12.140625" style="1" customWidth="1"/>
    <col min="18" max="16384" width="9.140625" style="1"/>
  </cols>
  <sheetData>
    <row r="1" spans="1:17" ht="18.75">
      <c r="A1" s="54" t="str">
        <f>'TPP by County'!A1</f>
        <v>Peoples Gas System 2015 Property Tax Return</v>
      </c>
    </row>
    <row r="2" spans="1:17" ht="18.75">
      <c r="A2" s="54" t="s">
        <v>1160</v>
      </c>
    </row>
    <row r="3" spans="1:17">
      <c r="D3" s="2" t="s">
        <v>1134</v>
      </c>
    </row>
    <row r="4" spans="1:17">
      <c r="A4" s="376" t="s">
        <v>306</v>
      </c>
      <c r="B4" s="376" t="s">
        <v>303</v>
      </c>
      <c r="C4" s="377" t="s">
        <v>25</v>
      </c>
      <c r="D4" s="377" t="s">
        <v>1133</v>
      </c>
      <c r="E4" s="377" t="s">
        <v>88</v>
      </c>
    </row>
    <row r="5" spans="1:17">
      <c r="A5" s="1" t="s">
        <v>262</v>
      </c>
      <c r="B5" s="2" t="s">
        <v>183</v>
      </c>
      <c r="C5" s="197">
        <f>O5</f>
        <v>498.5</v>
      </c>
      <c r="D5" s="197">
        <f>P5</f>
        <v>0</v>
      </c>
      <c r="E5" s="379">
        <f>C5-D5</f>
        <v>498.5</v>
      </c>
      <c r="M5" s="28" t="s">
        <v>141</v>
      </c>
      <c r="N5" s="266" t="s">
        <v>183</v>
      </c>
      <c r="O5" s="379">
        <v>498.5</v>
      </c>
      <c r="P5" s="379">
        <v>0</v>
      </c>
      <c r="Q5" s="379">
        <f>O5-P5</f>
        <v>498.5</v>
      </c>
    </row>
    <row r="6" spans="1:17">
      <c r="A6" s="1" t="s">
        <v>263</v>
      </c>
      <c r="B6" s="2" t="s">
        <v>183</v>
      </c>
      <c r="C6" s="197">
        <f t="shared" ref="C6:C70" si="0">O6</f>
        <v>1693.84</v>
      </c>
      <c r="D6" s="197">
        <f t="shared" ref="D6:D70" si="1">P6</f>
        <v>0</v>
      </c>
      <c r="E6" s="379">
        <f t="shared" ref="E6:E70" si="2">C6-D6</f>
        <v>1693.84</v>
      </c>
      <c r="M6" s="28" t="s">
        <v>163</v>
      </c>
      <c r="N6" s="266" t="s">
        <v>183</v>
      </c>
      <c r="O6" s="379">
        <v>1693.84</v>
      </c>
      <c r="P6" s="379">
        <v>0</v>
      </c>
      <c r="Q6" s="379">
        <f t="shared" ref="Q6:Q70" si="3">O6-P6</f>
        <v>1693.84</v>
      </c>
    </row>
    <row r="7" spans="1:17">
      <c r="A7" s="1" t="s">
        <v>264</v>
      </c>
      <c r="B7" s="2" t="s">
        <v>183</v>
      </c>
      <c r="C7" s="197">
        <f t="shared" si="0"/>
        <v>1274.74</v>
      </c>
      <c r="D7" s="197">
        <f t="shared" si="1"/>
        <v>5.32</v>
      </c>
      <c r="E7" s="379">
        <f t="shared" si="2"/>
        <v>1269.42</v>
      </c>
      <c r="M7" s="28" t="s">
        <v>166</v>
      </c>
      <c r="N7" s="266" t="s">
        <v>183</v>
      </c>
      <c r="O7" s="379">
        <v>1274.74</v>
      </c>
      <c r="P7" s="379">
        <v>5.32</v>
      </c>
      <c r="Q7" s="379">
        <f t="shared" si="3"/>
        <v>1269.42</v>
      </c>
    </row>
    <row r="8" spans="1:17">
      <c r="A8" s="1" t="s">
        <v>265</v>
      </c>
      <c r="B8" s="2" t="s">
        <v>183</v>
      </c>
      <c r="C8" s="197">
        <f t="shared" si="0"/>
        <v>485.03</v>
      </c>
      <c r="D8" s="197">
        <f t="shared" si="1"/>
        <v>0</v>
      </c>
      <c r="E8" s="379">
        <f t="shared" si="2"/>
        <v>485.03</v>
      </c>
      <c r="M8" s="28" t="s">
        <v>168</v>
      </c>
      <c r="N8" s="266" t="s">
        <v>183</v>
      </c>
      <c r="O8" s="379">
        <v>485.03</v>
      </c>
      <c r="P8" s="379">
        <v>0</v>
      </c>
      <c r="Q8" s="379">
        <f t="shared" si="3"/>
        <v>485.03</v>
      </c>
    </row>
    <row r="9" spans="1:17">
      <c r="A9" s="1" t="s">
        <v>266</v>
      </c>
      <c r="B9" s="2" t="s">
        <v>183</v>
      </c>
      <c r="C9" s="197">
        <f t="shared" si="0"/>
        <v>8667.74</v>
      </c>
      <c r="D9" s="197">
        <f t="shared" si="1"/>
        <v>3111.11</v>
      </c>
      <c r="E9" s="379">
        <f t="shared" si="2"/>
        <v>5556.6299999999992</v>
      </c>
      <c r="M9" s="28" t="s">
        <v>172</v>
      </c>
      <c r="N9" s="266" t="s">
        <v>183</v>
      </c>
      <c r="O9" s="379">
        <v>8667.74</v>
      </c>
      <c r="P9" s="379">
        <v>3111.11</v>
      </c>
      <c r="Q9" s="379">
        <f t="shared" si="3"/>
        <v>5556.6299999999992</v>
      </c>
    </row>
    <row r="10" spans="1:17">
      <c r="A10" s="1" t="s">
        <v>262</v>
      </c>
      <c r="B10" s="2" t="s">
        <v>184</v>
      </c>
      <c r="C10" s="197">
        <f t="shared" si="0"/>
        <v>35390.49</v>
      </c>
      <c r="D10" s="197">
        <f t="shared" si="1"/>
        <v>35390.49</v>
      </c>
      <c r="E10" s="379">
        <f t="shared" si="2"/>
        <v>0</v>
      </c>
      <c r="M10" s="28" t="s">
        <v>141</v>
      </c>
      <c r="N10" s="266" t="s">
        <v>184</v>
      </c>
      <c r="O10" s="379">
        <v>35390.49</v>
      </c>
      <c r="P10" s="379">
        <v>35390.49</v>
      </c>
      <c r="Q10" s="379">
        <f t="shared" si="3"/>
        <v>0</v>
      </c>
    </row>
    <row r="11" spans="1:17">
      <c r="A11" s="1" t="s">
        <v>267</v>
      </c>
      <c r="B11" s="2" t="s">
        <v>184</v>
      </c>
      <c r="C11" s="197">
        <f t="shared" si="0"/>
        <v>19656.13</v>
      </c>
      <c r="D11" s="197">
        <f t="shared" si="1"/>
        <v>16303.29</v>
      </c>
      <c r="E11" s="379">
        <f t="shared" si="2"/>
        <v>3352.84</v>
      </c>
      <c r="M11" s="28" t="s">
        <v>162</v>
      </c>
      <c r="N11" s="266" t="s">
        <v>184</v>
      </c>
      <c r="O11" s="379">
        <v>19656.13</v>
      </c>
      <c r="P11" s="379">
        <v>16303.29</v>
      </c>
      <c r="Q11" s="379">
        <f t="shared" si="3"/>
        <v>3352.84</v>
      </c>
    </row>
    <row r="12" spans="1:17">
      <c r="A12" s="1" t="s">
        <v>263</v>
      </c>
      <c r="B12" s="2" t="s">
        <v>184</v>
      </c>
      <c r="C12" s="197">
        <f t="shared" si="0"/>
        <v>59891.68</v>
      </c>
      <c r="D12" s="197">
        <f t="shared" si="1"/>
        <v>48493.41</v>
      </c>
      <c r="E12" s="379">
        <f t="shared" si="2"/>
        <v>11398.269999999997</v>
      </c>
      <c r="M12" s="28" t="s">
        <v>163</v>
      </c>
      <c r="N12" s="266" t="s">
        <v>184</v>
      </c>
      <c r="O12" s="379">
        <v>59891.68</v>
      </c>
      <c r="P12" s="379">
        <v>48493.41</v>
      </c>
      <c r="Q12" s="379">
        <f t="shared" si="3"/>
        <v>11398.269999999997</v>
      </c>
    </row>
    <row r="13" spans="1:17">
      <c r="A13" s="1" t="s">
        <v>264</v>
      </c>
      <c r="B13" s="2" t="s">
        <v>184</v>
      </c>
      <c r="C13" s="197">
        <f t="shared" si="0"/>
        <v>297753.37</v>
      </c>
      <c r="D13" s="197">
        <f t="shared" si="1"/>
        <v>316975.93</v>
      </c>
      <c r="E13" s="379">
        <f t="shared" si="2"/>
        <v>-19222.559999999998</v>
      </c>
      <c r="M13" s="28" t="s">
        <v>166</v>
      </c>
      <c r="N13" s="266" t="s">
        <v>184</v>
      </c>
      <c r="O13" s="379">
        <v>297753.37</v>
      </c>
      <c r="P13" s="379">
        <v>316975.93</v>
      </c>
      <c r="Q13" s="379">
        <f t="shared" si="3"/>
        <v>-19222.559999999998</v>
      </c>
    </row>
    <row r="14" spans="1:17">
      <c r="A14" s="1" t="s">
        <v>268</v>
      </c>
      <c r="B14" s="2" t="s">
        <v>184</v>
      </c>
      <c r="C14" s="197">
        <f t="shared" si="0"/>
        <v>1500</v>
      </c>
      <c r="D14" s="197">
        <f t="shared" si="1"/>
        <v>1980</v>
      </c>
      <c r="E14" s="379">
        <f t="shared" si="2"/>
        <v>-480</v>
      </c>
      <c r="M14" s="28" t="s">
        <v>145</v>
      </c>
      <c r="N14" s="266" t="s">
        <v>184</v>
      </c>
      <c r="O14" s="379">
        <v>1500</v>
      </c>
      <c r="P14" s="379">
        <v>1980</v>
      </c>
      <c r="Q14" s="379">
        <f t="shared" si="3"/>
        <v>-480</v>
      </c>
    </row>
    <row r="15" spans="1:17">
      <c r="A15" s="1" t="s">
        <v>265</v>
      </c>
      <c r="B15" s="2" t="s">
        <v>184</v>
      </c>
      <c r="C15" s="197">
        <f t="shared" si="0"/>
        <v>750</v>
      </c>
      <c r="D15" s="197">
        <f t="shared" si="1"/>
        <v>750</v>
      </c>
      <c r="E15" s="379">
        <f t="shared" si="2"/>
        <v>0</v>
      </c>
      <c r="M15" s="28" t="s">
        <v>168</v>
      </c>
      <c r="N15" s="266" t="s">
        <v>184</v>
      </c>
      <c r="O15" s="379">
        <v>750</v>
      </c>
      <c r="P15" s="379">
        <v>750</v>
      </c>
      <c r="Q15" s="379">
        <f t="shared" si="3"/>
        <v>0</v>
      </c>
    </row>
    <row r="16" spans="1:17">
      <c r="A16" s="1" t="s">
        <v>266</v>
      </c>
      <c r="B16" s="2" t="s">
        <v>184</v>
      </c>
      <c r="C16" s="197">
        <f t="shared" si="0"/>
        <v>4420.3900000000003</v>
      </c>
      <c r="D16" s="197">
        <f t="shared" si="1"/>
        <v>3029.31</v>
      </c>
      <c r="E16" s="379">
        <f t="shared" si="2"/>
        <v>1391.0800000000004</v>
      </c>
      <c r="M16" s="28" t="s">
        <v>172</v>
      </c>
      <c r="N16" s="266" t="s">
        <v>184</v>
      </c>
      <c r="O16" s="379">
        <v>4420.3900000000003</v>
      </c>
      <c r="P16" s="379">
        <v>3029.31</v>
      </c>
      <c r="Q16" s="379">
        <f t="shared" si="3"/>
        <v>1391.0800000000004</v>
      </c>
    </row>
    <row r="17" spans="1:17">
      <c r="A17" s="1" t="s">
        <v>269</v>
      </c>
      <c r="B17" s="2" t="s">
        <v>184</v>
      </c>
      <c r="C17" s="197">
        <f t="shared" si="0"/>
        <v>8103.63</v>
      </c>
      <c r="D17" s="197">
        <f t="shared" si="1"/>
        <v>4241.67</v>
      </c>
      <c r="E17" s="379">
        <f t="shared" si="2"/>
        <v>3861.96</v>
      </c>
      <c r="M17" s="28" t="s">
        <v>660</v>
      </c>
      <c r="N17" s="266" t="s">
        <v>184</v>
      </c>
      <c r="O17" s="379">
        <v>8103.63</v>
      </c>
      <c r="P17" s="379">
        <v>4241.67</v>
      </c>
      <c r="Q17" s="379">
        <f t="shared" si="3"/>
        <v>3861.96</v>
      </c>
    </row>
    <row r="18" spans="1:17">
      <c r="A18" s="1" t="s">
        <v>262</v>
      </c>
      <c r="B18" s="2" t="s">
        <v>185</v>
      </c>
      <c r="C18" s="197">
        <f t="shared" si="0"/>
        <v>324247.12</v>
      </c>
      <c r="D18" s="197">
        <f t="shared" si="1"/>
        <v>281660.06</v>
      </c>
      <c r="E18" s="379">
        <f t="shared" si="2"/>
        <v>42587.06</v>
      </c>
      <c r="M18" s="28" t="s">
        <v>141</v>
      </c>
      <c r="N18" s="266" t="s">
        <v>185</v>
      </c>
      <c r="O18" s="379">
        <v>324247.12</v>
      </c>
      <c r="P18" s="379">
        <v>281660.06</v>
      </c>
      <c r="Q18" s="379">
        <f t="shared" si="3"/>
        <v>42587.06</v>
      </c>
    </row>
    <row r="19" spans="1:17">
      <c r="A19" s="1" t="s">
        <v>263</v>
      </c>
      <c r="B19" s="2" t="s">
        <v>185</v>
      </c>
      <c r="C19" s="197">
        <f t="shared" si="0"/>
        <v>574218.88</v>
      </c>
      <c r="D19" s="197">
        <f t="shared" si="1"/>
        <v>469937.87</v>
      </c>
      <c r="E19" s="379">
        <f t="shared" si="2"/>
        <v>104281.01000000001</v>
      </c>
      <c r="M19" s="28" t="s">
        <v>163</v>
      </c>
      <c r="N19" s="266" t="s">
        <v>185</v>
      </c>
      <c r="O19" s="379">
        <v>574218.88</v>
      </c>
      <c r="P19" s="379">
        <v>469937.87</v>
      </c>
      <c r="Q19" s="379">
        <f t="shared" si="3"/>
        <v>104281.01000000001</v>
      </c>
    </row>
    <row r="20" spans="1:17">
      <c r="A20" s="1" t="s">
        <v>270</v>
      </c>
      <c r="B20" s="2" t="s">
        <v>185</v>
      </c>
      <c r="C20" s="197">
        <f t="shared" si="0"/>
        <v>19149.13</v>
      </c>
      <c r="D20" s="197">
        <f t="shared" si="1"/>
        <v>19149.13</v>
      </c>
      <c r="E20" s="379">
        <f t="shared" si="2"/>
        <v>0</v>
      </c>
      <c r="M20" s="28" t="s">
        <v>164</v>
      </c>
      <c r="N20" s="266" t="s">
        <v>185</v>
      </c>
      <c r="O20" s="379">
        <v>19149.13</v>
      </c>
      <c r="P20" s="379">
        <v>19149.13</v>
      </c>
      <c r="Q20" s="379">
        <f t="shared" si="3"/>
        <v>0</v>
      </c>
    </row>
    <row r="21" spans="1:17">
      <c r="A21" s="1" t="s">
        <v>271</v>
      </c>
      <c r="B21" s="2" t="s">
        <v>185</v>
      </c>
      <c r="C21" s="197">
        <f t="shared" si="0"/>
        <v>14728.11</v>
      </c>
      <c r="D21" s="197">
        <f t="shared" si="1"/>
        <v>364.66</v>
      </c>
      <c r="E21" s="379">
        <f t="shared" si="2"/>
        <v>14363.45</v>
      </c>
      <c r="M21" s="28" t="s">
        <v>165</v>
      </c>
      <c r="N21" s="266" t="s">
        <v>185</v>
      </c>
      <c r="O21" s="379">
        <v>14728.11</v>
      </c>
      <c r="P21" s="379">
        <v>364.66</v>
      </c>
      <c r="Q21" s="379">
        <f t="shared" si="3"/>
        <v>14363.45</v>
      </c>
    </row>
    <row r="22" spans="1:17">
      <c r="A22" s="1" t="s">
        <v>264</v>
      </c>
      <c r="B22" s="2" t="s">
        <v>185</v>
      </c>
      <c r="C22" s="197">
        <f t="shared" si="0"/>
        <v>24733625.199999999</v>
      </c>
      <c r="D22" s="197">
        <f t="shared" si="1"/>
        <v>13850403.699999999</v>
      </c>
      <c r="E22" s="379">
        <f t="shared" si="2"/>
        <v>10883221.5</v>
      </c>
      <c r="M22" s="28" t="s">
        <v>166</v>
      </c>
      <c r="N22" s="266" t="s">
        <v>185</v>
      </c>
      <c r="O22" s="379">
        <v>24733625.199999999</v>
      </c>
      <c r="P22" s="379">
        <v>13850403.699999999</v>
      </c>
      <c r="Q22" s="379">
        <f t="shared" si="3"/>
        <v>10883221.5</v>
      </c>
    </row>
    <row r="23" spans="1:17">
      <c r="A23" s="1" t="s">
        <v>268</v>
      </c>
      <c r="B23" s="2" t="s">
        <v>185</v>
      </c>
      <c r="C23" s="197">
        <f t="shared" si="0"/>
        <v>52747.360000000001</v>
      </c>
      <c r="D23" s="197">
        <f t="shared" si="1"/>
        <v>52747.360000000001</v>
      </c>
      <c r="E23" s="379">
        <f t="shared" si="2"/>
        <v>0</v>
      </c>
      <c r="M23" s="28" t="s">
        <v>145</v>
      </c>
      <c r="N23" s="266" t="s">
        <v>185</v>
      </c>
      <c r="O23" s="379">
        <v>52747.360000000001</v>
      </c>
      <c r="P23" s="379">
        <v>52747.360000000001</v>
      </c>
      <c r="Q23" s="379">
        <f t="shared" si="3"/>
        <v>0</v>
      </c>
    </row>
    <row r="24" spans="1:17">
      <c r="A24" s="1" t="s">
        <v>272</v>
      </c>
      <c r="B24" s="2" t="s">
        <v>185</v>
      </c>
      <c r="C24" s="197">
        <f t="shared" si="0"/>
        <v>54538.96</v>
      </c>
      <c r="D24" s="197">
        <f t="shared" si="1"/>
        <v>54538.96</v>
      </c>
      <c r="E24" s="379">
        <f t="shared" si="2"/>
        <v>0</v>
      </c>
      <c r="M24" s="28" t="s">
        <v>9</v>
      </c>
      <c r="N24" s="266" t="s">
        <v>185</v>
      </c>
      <c r="O24" s="379">
        <v>54538.96</v>
      </c>
      <c r="P24" s="379">
        <v>54538.96</v>
      </c>
      <c r="Q24" s="379">
        <f t="shared" si="3"/>
        <v>0</v>
      </c>
    </row>
    <row r="25" spans="1:17">
      <c r="A25" s="1" t="s">
        <v>265</v>
      </c>
      <c r="B25" s="2" t="s">
        <v>185</v>
      </c>
      <c r="C25" s="197">
        <f t="shared" si="0"/>
        <v>512671.69</v>
      </c>
      <c r="D25" s="197">
        <f t="shared" si="1"/>
        <v>432198.65</v>
      </c>
      <c r="E25" s="379">
        <f t="shared" si="2"/>
        <v>80473.039999999979</v>
      </c>
      <c r="M25" s="28" t="s">
        <v>168</v>
      </c>
      <c r="N25" s="266" t="s">
        <v>185</v>
      </c>
      <c r="O25" s="379">
        <v>512671.69</v>
      </c>
      <c r="P25" s="379">
        <v>432198.65</v>
      </c>
      <c r="Q25" s="379">
        <f t="shared" si="3"/>
        <v>80473.039999999979</v>
      </c>
    </row>
    <row r="26" spans="1:17">
      <c r="A26" s="1" t="s">
        <v>273</v>
      </c>
      <c r="B26" s="2" t="s">
        <v>185</v>
      </c>
      <c r="C26" s="197">
        <f t="shared" si="0"/>
        <v>40952.42</v>
      </c>
      <c r="D26" s="197">
        <f t="shared" si="1"/>
        <v>40952.42</v>
      </c>
      <c r="E26" s="379">
        <f t="shared" si="2"/>
        <v>0</v>
      </c>
      <c r="M26" s="28" t="s">
        <v>6</v>
      </c>
      <c r="N26" s="266" t="s">
        <v>185</v>
      </c>
      <c r="O26" s="379">
        <v>40952.42</v>
      </c>
      <c r="P26" s="379">
        <v>40952.42</v>
      </c>
      <c r="Q26" s="379">
        <f t="shared" si="3"/>
        <v>0</v>
      </c>
    </row>
    <row r="27" spans="1:17">
      <c r="A27" s="1" t="s">
        <v>274</v>
      </c>
      <c r="B27" s="2" t="s">
        <v>185</v>
      </c>
      <c r="C27" s="197">
        <f t="shared" si="0"/>
        <v>19823.400000000001</v>
      </c>
      <c r="D27" s="197">
        <f t="shared" si="1"/>
        <v>19823.400000000001</v>
      </c>
      <c r="E27" s="379">
        <f t="shared" si="2"/>
        <v>0</v>
      </c>
      <c r="M27" s="28" t="s">
        <v>170</v>
      </c>
      <c r="N27" s="266" t="s">
        <v>185</v>
      </c>
      <c r="O27" s="379">
        <v>19823.400000000001</v>
      </c>
      <c r="P27" s="379">
        <v>19823.400000000001</v>
      </c>
      <c r="Q27" s="379">
        <f t="shared" si="3"/>
        <v>0</v>
      </c>
    </row>
    <row r="28" spans="1:17">
      <c r="A28" s="1" t="s">
        <v>266</v>
      </c>
      <c r="B28" s="2" t="s">
        <v>185</v>
      </c>
      <c r="C28" s="197">
        <f t="shared" si="0"/>
        <v>13589.13</v>
      </c>
      <c r="D28" s="197">
        <f t="shared" si="1"/>
        <v>13589.13</v>
      </c>
      <c r="E28" s="379">
        <f t="shared" si="2"/>
        <v>0</v>
      </c>
      <c r="M28" s="28" t="s">
        <v>172</v>
      </c>
      <c r="N28" s="266" t="s">
        <v>185</v>
      </c>
      <c r="O28" s="379">
        <v>13589.13</v>
      </c>
      <c r="P28" s="379">
        <v>13589.13</v>
      </c>
      <c r="Q28" s="379">
        <f t="shared" si="3"/>
        <v>0</v>
      </c>
    </row>
    <row r="29" spans="1:17">
      <c r="A29" s="1" t="s">
        <v>275</v>
      </c>
      <c r="B29" s="2" t="s">
        <v>185</v>
      </c>
      <c r="C29" s="197">
        <f t="shared" si="0"/>
        <v>110344.92</v>
      </c>
      <c r="D29" s="197">
        <f t="shared" si="1"/>
        <v>101540.76</v>
      </c>
      <c r="E29" s="379">
        <f t="shared" si="2"/>
        <v>8804.1600000000035</v>
      </c>
      <c r="M29" s="28" t="s">
        <v>173</v>
      </c>
      <c r="N29" s="266" t="s">
        <v>185</v>
      </c>
      <c r="O29" s="379">
        <v>110344.92</v>
      </c>
      <c r="P29" s="379">
        <v>101540.76</v>
      </c>
      <c r="Q29" s="379">
        <f t="shared" si="3"/>
        <v>8804.1600000000035</v>
      </c>
    </row>
    <row r="30" spans="1:17">
      <c r="A30" s="1" t="s">
        <v>276</v>
      </c>
      <c r="B30" s="2" t="s">
        <v>185</v>
      </c>
      <c r="C30" s="197">
        <f t="shared" si="0"/>
        <v>90051.49</v>
      </c>
      <c r="D30" s="197">
        <f t="shared" si="1"/>
        <v>79095.740000000005</v>
      </c>
      <c r="E30" s="379">
        <f t="shared" si="2"/>
        <v>10955.75</v>
      </c>
      <c r="M30" s="28" t="s">
        <v>137</v>
      </c>
      <c r="N30" s="266" t="s">
        <v>185</v>
      </c>
      <c r="O30" s="379">
        <v>90051.49</v>
      </c>
      <c r="P30" s="379">
        <v>79095.740000000005</v>
      </c>
      <c r="Q30" s="379">
        <f t="shared" si="3"/>
        <v>10955.75</v>
      </c>
    </row>
    <row r="31" spans="1:17">
      <c r="A31" s="1" t="s">
        <v>269</v>
      </c>
      <c r="B31" s="2" t="s">
        <v>185</v>
      </c>
      <c r="C31" s="197">
        <f t="shared" si="0"/>
        <v>14621.19</v>
      </c>
      <c r="D31" s="197">
        <f t="shared" si="1"/>
        <v>14621.19</v>
      </c>
      <c r="E31" s="379">
        <f t="shared" si="2"/>
        <v>0</v>
      </c>
      <c r="M31" s="28" t="s">
        <v>660</v>
      </c>
      <c r="N31" s="266" t="s">
        <v>185</v>
      </c>
      <c r="O31" s="379">
        <v>14621.19</v>
      </c>
      <c r="P31" s="379">
        <v>14621.19</v>
      </c>
      <c r="Q31" s="379">
        <f t="shared" si="3"/>
        <v>0</v>
      </c>
    </row>
    <row r="32" spans="1:17">
      <c r="A32" s="1" t="s">
        <v>262</v>
      </c>
      <c r="B32" s="2" t="s">
        <v>277</v>
      </c>
      <c r="C32" s="197">
        <f t="shared" si="0"/>
        <v>1006884.63</v>
      </c>
      <c r="D32" s="197">
        <f t="shared" si="1"/>
        <v>0</v>
      </c>
      <c r="E32" s="379">
        <f t="shared" si="2"/>
        <v>1006884.63</v>
      </c>
      <c r="M32" s="28" t="s">
        <v>141</v>
      </c>
      <c r="N32" s="266" t="s">
        <v>277</v>
      </c>
      <c r="O32" s="379">
        <v>1006884.63</v>
      </c>
      <c r="P32" s="379">
        <v>0</v>
      </c>
      <c r="Q32" s="379">
        <f t="shared" si="3"/>
        <v>1006884.63</v>
      </c>
    </row>
    <row r="33" spans="1:17">
      <c r="A33" s="1" t="s">
        <v>267</v>
      </c>
      <c r="B33" s="2" t="s">
        <v>277</v>
      </c>
      <c r="C33" s="197">
        <f t="shared" si="0"/>
        <v>433597.57</v>
      </c>
      <c r="D33" s="197">
        <f t="shared" si="1"/>
        <v>888.85</v>
      </c>
      <c r="E33" s="379">
        <f t="shared" si="2"/>
        <v>432708.72000000003</v>
      </c>
      <c r="M33" s="28" t="s">
        <v>162</v>
      </c>
      <c r="N33" s="266" t="s">
        <v>277</v>
      </c>
      <c r="O33" s="379">
        <v>433597.57</v>
      </c>
      <c r="P33" s="379">
        <v>888.85</v>
      </c>
      <c r="Q33" s="379">
        <f t="shared" si="3"/>
        <v>432708.72000000003</v>
      </c>
    </row>
    <row r="34" spans="1:17">
      <c r="A34" s="1" t="s">
        <v>263</v>
      </c>
      <c r="B34" s="2" t="s">
        <v>277</v>
      </c>
      <c r="C34" s="197">
        <f t="shared" si="0"/>
        <v>125878.1</v>
      </c>
      <c r="D34" s="197">
        <f t="shared" si="1"/>
        <v>37791.1</v>
      </c>
      <c r="E34" s="379">
        <f t="shared" si="2"/>
        <v>88087</v>
      </c>
      <c r="M34" s="28" t="s">
        <v>163</v>
      </c>
      <c r="N34" s="266" t="s">
        <v>277</v>
      </c>
      <c r="O34" s="379">
        <v>125878.1</v>
      </c>
      <c r="P34" s="379">
        <v>37791.1</v>
      </c>
      <c r="Q34" s="379">
        <f t="shared" si="3"/>
        <v>88087</v>
      </c>
    </row>
    <row r="35" spans="1:17">
      <c r="A35" s="1" t="s">
        <v>270</v>
      </c>
      <c r="B35" s="2" t="s">
        <v>277</v>
      </c>
      <c r="C35" s="197">
        <f t="shared" si="0"/>
        <v>931556.84</v>
      </c>
      <c r="D35" s="197">
        <f t="shared" si="1"/>
        <v>66763.41</v>
      </c>
      <c r="E35" s="379">
        <f t="shared" si="2"/>
        <v>864793.42999999993</v>
      </c>
      <c r="M35" s="28" t="s">
        <v>164</v>
      </c>
      <c r="N35" s="266" t="s">
        <v>277</v>
      </c>
      <c r="O35" s="379">
        <v>931556.84</v>
      </c>
      <c r="P35" s="379">
        <v>66763.41</v>
      </c>
      <c r="Q35" s="379">
        <f t="shared" si="3"/>
        <v>864793.42999999993</v>
      </c>
    </row>
    <row r="36" spans="1:17">
      <c r="A36" s="1" t="s">
        <v>271</v>
      </c>
      <c r="B36" s="2" t="s">
        <v>277</v>
      </c>
      <c r="C36" s="197">
        <f t="shared" si="0"/>
        <v>562.91</v>
      </c>
      <c r="D36" s="197">
        <f t="shared" si="1"/>
        <v>435.89</v>
      </c>
      <c r="E36" s="379">
        <f t="shared" si="2"/>
        <v>127.01999999999998</v>
      </c>
      <c r="M36" s="28" t="s">
        <v>165</v>
      </c>
      <c r="N36" s="266" t="s">
        <v>277</v>
      </c>
      <c r="O36" s="379">
        <v>562.91</v>
      </c>
      <c r="P36" s="379">
        <v>435.89</v>
      </c>
      <c r="Q36" s="379">
        <f t="shared" si="3"/>
        <v>127.01999999999998</v>
      </c>
    </row>
    <row r="37" spans="1:17">
      <c r="A37" s="1" t="s">
        <v>264</v>
      </c>
      <c r="B37" s="2" t="s">
        <v>277</v>
      </c>
      <c r="C37" s="197">
        <f t="shared" si="0"/>
        <v>493249.16</v>
      </c>
      <c r="D37" s="197">
        <f t="shared" si="1"/>
        <v>31054.61</v>
      </c>
      <c r="E37" s="379">
        <f t="shared" si="2"/>
        <v>462194.55</v>
      </c>
      <c r="M37" s="28" t="s">
        <v>166</v>
      </c>
      <c r="N37" s="266" t="s">
        <v>277</v>
      </c>
      <c r="O37" s="379">
        <v>493249.16</v>
      </c>
      <c r="P37" s="379">
        <v>31054.61</v>
      </c>
      <c r="Q37" s="379">
        <f t="shared" si="3"/>
        <v>462194.55</v>
      </c>
    </row>
    <row r="38" spans="1:17">
      <c r="A38" s="1" t="s">
        <v>268</v>
      </c>
      <c r="B38" s="2" t="s">
        <v>277</v>
      </c>
      <c r="C38" s="197">
        <f t="shared" si="0"/>
        <v>25525.06</v>
      </c>
      <c r="D38" s="197">
        <f t="shared" si="1"/>
        <v>5822.21</v>
      </c>
      <c r="E38" s="379">
        <f t="shared" si="2"/>
        <v>19702.850000000002</v>
      </c>
      <c r="M38" s="28" t="s">
        <v>145</v>
      </c>
      <c r="N38" s="266" t="s">
        <v>277</v>
      </c>
      <c r="O38" s="379">
        <v>25525.06</v>
      </c>
      <c r="P38" s="379">
        <v>5822.21</v>
      </c>
      <c r="Q38" s="379">
        <f t="shared" si="3"/>
        <v>19702.850000000002</v>
      </c>
    </row>
    <row r="39" spans="1:17">
      <c r="A39" s="1" t="s">
        <v>272</v>
      </c>
      <c r="B39" s="2" t="s">
        <v>277</v>
      </c>
      <c r="C39" s="197">
        <f t="shared" si="0"/>
        <v>307570.25</v>
      </c>
      <c r="D39" s="197">
        <f t="shared" si="1"/>
        <v>-3332.45</v>
      </c>
      <c r="E39" s="379">
        <f t="shared" si="2"/>
        <v>310902.7</v>
      </c>
      <c r="M39" s="28" t="s">
        <v>9</v>
      </c>
      <c r="N39" s="266" t="s">
        <v>277</v>
      </c>
      <c r="O39" s="379">
        <v>307570.25</v>
      </c>
      <c r="P39" s="379">
        <v>-3332.45</v>
      </c>
      <c r="Q39" s="379">
        <f t="shared" si="3"/>
        <v>310902.7</v>
      </c>
    </row>
    <row r="40" spans="1:17">
      <c r="A40" s="1" t="s">
        <v>278</v>
      </c>
      <c r="B40" s="2" t="s">
        <v>277</v>
      </c>
      <c r="C40" s="197">
        <f t="shared" si="0"/>
        <v>100875.24</v>
      </c>
      <c r="D40" s="197">
        <f t="shared" si="1"/>
        <v>-7169.94</v>
      </c>
      <c r="E40" s="379">
        <f t="shared" si="2"/>
        <v>108045.18000000001</v>
      </c>
      <c r="M40" s="28" t="s">
        <v>167</v>
      </c>
      <c r="N40" s="266" t="s">
        <v>277</v>
      </c>
      <c r="O40" s="379">
        <v>100875.24</v>
      </c>
      <c r="P40" s="379">
        <v>-7169.94</v>
      </c>
      <c r="Q40" s="379">
        <f t="shared" si="3"/>
        <v>108045.18000000001</v>
      </c>
    </row>
    <row r="41" spans="1:17">
      <c r="A41" s="1" t="s">
        <v>265</v>
      </c>
      <c r="B41" s="2" t="s">
        <v>277</v>
      </c>
      <c r="C41" s="197">
        <f t="shared" si="0"/>
        <v>140089.97</v>
      </c>
      <c r="D41" s="197">
        <f t="shared" si="1"/>
        <v>-47751.5</v>
      </c>
      <c r="E41" s="379">
        <f t="shared" si="2"/>
        <v>187841.47</v>
      </c>
      <c r="M41" s="28" t="s">
        <v>168</v>
      </c>
      <c r="N41" s="266" t="s">
        <v>277</v>
      </c>
      <c r="O41" s="379">
        <v>140089.97</v>
      </c>
      <c r="P41" s="379">
        <v>-47751.5</v>
      </c>
      <c r="Q41" s="379">
        <f t="shared" si="3"/>
        <v>187841.47</v>
      </c>
    </row>
    <row r="42" spans="1:17">
      <c r="A42" s="1" t="s">
        <v>279</v>
      </c>
      <c r="B42" s="2" t="s">
        <v>277</v>
      </c>
      <c r="C42" s="197">
        <f t="shared" si="0"/>
        <v>2001.6</v>
      </c>
      <c r="D42" s="197">
        <f t="shared" si="1"/>
        <v>-54.18</v>
      </c>
      <c r="E42" s="379">
        <f t="shared" si="2"/>
        <v>2055.7799999999997</v>
      </c>
      <c r="M42" s="28" t="s">
        <v>10</v>
      </c>
      <c r="N42" s="266" t="s">
        <v>277</v>
      </c>
      <c r="O42" s="379">
        <v>2001.6</v>
      </c>
      <c r="P42" s="379">
        <v>-54.18</v>
      </c>
      <c r="Q42" s="379">
        <f t="shared" si="3"/>
        <v>2055.7799999999997</v>
      </c>
    </row>
    <row r="43" spans="1:17">
      <c r="A43" s="28" t="s">
        <v>11</v>
      </c>
      <c r="B43" s="266" t="s">
        <v>277</v>
      </c>
      <c r="C43" s="197">
        <f t="shared" ref="C43" si="4">O43</f>
        <v>382584.56</v>
      </c>
      <c r="D43" s="197">
        <f t="shared" ref="D43" si="5">P43</f>
        <v>1287.7</v>
      </c>
      <c r="E43" s="379">
        <f t="shared" ref="E43" si="6">C43-D43</f>
        <v>381296.86</v>
      </c>
      <c r="M43" s="28" t="s">
        <v>11</v>
      </c>
      <c r="N43" s="266" t="s">
        <v>277</v>
      </c>
      <c r="O43" s="379">
        <v>382584.56</v>
      </c>
      <c r="P43" s="379">
        <v>1287.7</v>
      </c>
      <c r="Q43" s="404">
        <v>381296.86</v>
      </c>
    </row>
    <row r="44" spans="1:17">
      <c r="A44" s="1" t="s">
        <v>273</v>
      </c>
      <c r="B44" s="2" t="s">
        <v>277</v>
      </c>
      <c r="C44" s="197">
        <f t="shared" si="0"/>
        <v>265573.84999999998</v>
      </c>
      <c r="D44" s="197">
        <f t="shared" si="1"/>
        <v>129861.28</v>
      </c>
      <c r="E44" s="379">
        <f t="shared" si="2"/>
        <v>135712.56999999998</v>
      </c>
      <c r="M44" s="28" t="s">
        <v>6</v>
      </c>
      <c r="N44" s="266" t="s">
        <v>277</v>
      </c>
      <c r="O44" s="379">
        <v>265573.84999999998</v>
      </c>
      <c r="P44" s="379">
        <v>129861.28</v>
      </c>
      <c r="Q44" s="379">
        <f t="shared" si="3"/>
        <v>135712.56999999998</v>
      </c>
    </row>
    <row r="45" spans="1:17">
      <c r="A45" s="1" t="s">
        <v>280</v>
      </c>
      <c r="B45" s="2" t="s">
        <v>277</v>
      </c>
      <c r="C45" s="197">
        <f t="shared" si="0"/>
        <v>42443.519999999997</v>
      </c>
      <c r="D45" s="197">
        <f t="shared" si="1"/>
        <v>5939.92</v>
      </c>
      <c r="E45" s="379">
        <f t="shared" si="2"/>
        <v>36503.599999999999</v>
      </c>
      <c r="M45" s="28" t="s">
        <v>169</v>
      </c>
      <c r="N45" s="266" t="s">
        <v>277</v>
      </c>
      <c r="O45" s="379">
        <v>42443.519999999997</v>
      </c>
      <c r="P45" s="379">
        <v>5939.92</v>
      </c>
      <c r="Q45" s="379">
        <f t="shared" si="3"/>
        <v>36503.599999999999</v>
      </c>
    </row>
    <row r="46" spans="1:17">
      <c r="A46" s="1" t="s">
        <v>274</v>
      </c>
      <c r="B46" s="2" t="s">
        <v>277</v>
      </c>
      <c r="C46" s="197">
        <f t="shared" si="0"/>
        <v>245073.71</v>
      </c>
      <c r="D46" s="197">
        <f t="shared" si="1"/>
        <v>-382.55</v>
      </c>
      <c r="E46" s="379">
        <f t="shared" si="2"/>
        <v>245456.25999999998</v>
      </c>
      <c r="M46" s="28" t="s">
        <v>170</v>
      </c>
      <c r="N46" s="266" t="s">
        <v>277</v>
      </c>
      <c r="O46" s="379">
        <v>245073.71</v>
      </c>
      <c r="P46" s="379">
        <v>-382.55</v>
      </c>
      <c r="Q46" s="379">
        <f t="shared" si="3"/>
        <v>245456.25999999998</v>
      </c>
    </row>
    <row r="47" spans="1:17">
      <c r="A47" s="1" t="s">
        <v>266</v>
      </c>
      <c r="B47" s="2" t="s">
        <v>277</v>
      </c>
      <c r="C47" s="197">
        <f t="shared" si="0"/>
        <v>436866.47</v>
      </c>
      <c r="D47" s="197">
        <f t="shared" si="1"/>
        <v>179811.47</v>
      </c>
      <c r="E47" s="379">
        <f t="shared" si="2"/>
        <v>257054.99999999997</v>
      </c>
      <c r="M47" s="28" t="s">
        <v>172</v>
      </c>
      <c r="N47" s="266" t="s">
        <v>277</v>
      </c>
      <c r="O47" s="379">
        <v>436866.47</v>
      </c>
      <c r="P47" s="379">
        <v>179811.47</v>
      </c>
      <c r="Q47" s="379">
        <f t="shared" si="3"/>
        <v>257054.99999999997</v>
      </c>
    </row>
    <row r="48" spans="1:17">
      <c r="A48" s="1" t="s">
        <v>275</v>
      </c>
      <c r="B48" s="2" t="s">
        <v>277</v>
      </c>
      <c r="C48" s="197">
        <f t="shared" si="0"/>
        <v>52093.86</v>
      </c>
      <c r="D48" s="197">
        <f t="shared" si="1"/>
        <v>27030.66</v>
      </c>
      <c r="E48" s="379">
        <f t="shared" si="2"/>
        <v>25063.200000000001</v>
      </c>
      <c r="M48" s="28" t="s">
        <v>173</v>
      </c>
      <c r="N48" s="266" t="s">
        <v>277</v>
      </c>
      <c r="O48" s="379">
        <v>52093.86</v>
      </c>
      <c r="P48" s="379">
        <v>27030.66</v>
      </c>
      <c r="Q48" s="379">
        <f t="shared" si="3"/>
        <v>25063.200000000001</v>
      </c>
    </row>
    <row r="49" spans="1:17">
      <c r="A49" s="1" t="s">
        <v>281</v>
      </c>
      <c r="B49" s="2" t="s">
        <v>277</v>
      </c>
      <c r="C49" s="197">
        <f t="shared" si="0"/>
        <v>99000</v>
      </c>
      <c r="D49" s="197">
        <f t="shared" si="1"/>
        <v>0</v>
      </c>
      <c r="E49" s="379">
        <f t="shared" si="2"/>
        <v>99000</v>
      </c>
      <c r="M49" s="28" t="s">
        <v>149</v>
      </c>
      <c r="N49" s="266" t="s">
        <v>277</v>
      </c>
      <c r="O49" s="379">
        <v>99000</v>
      </c>
      <c r="P49" s="379">
        <v>0</v>
      </c>
      <c r="Q49" s="379">
        <f t="shared" si="3"/>
        <v>99000</v>
      </c>
    </row>
    <row r="50" spans="1:17">
      <c r="A50" s="1" t="s">
        <v>276</v>
      </c>
      <c r="B50" s="2" t="s">
        <v>277</v>
      </c>
      <c r="C50" s="197">
        <f t="shared" si="0"/>
        <v>270152</v>
      </c>
      <c r="D50" s="197">
        <f t="shared" si="1"/>
        <v>-1306.92</v>
      </c>
      <c r="E50" s="379">
        <f t="shared" si="2"/>
        <v>271458.92</v>
      </c>
      <c r="M50" s="28" t="s">
        <v>137</v>
      </c>
      <c r="N50" s="266" t="s">
        <v>277</v>
      </c>
      <c r="O50" s="379">
        <v>270152</v>
      </c>
      <c r="P50" s="379">
        <v>-1306.92</v>
      </c>
      <c r="Q50" s="379">
        <f t="shared" si="3"/>
        <v>271458.92</v>
      </c>
    </row>
    <row r="51" spans="1:17">
      <c r="A51" s="1" t="s">
        <v>282</v>
      </c>
      <c r="B51" s="2" t="s">
        <v>277</v>
      </c>
      <c r="C51" s="197">
        <f t="shared" si="0"/>
        <v>193193.57</v>
      </c>
      <c r="D51" s="197">
        <f t="shared" si="1"/>
        <v>168839.55</v>
      </c>
      <c r="E51" s="379">
        <f t="shared" si="2"/>
        <v>24354.020000000019</v>
      </c>
      <c r="M51" s="28" t="s">
        <v>7</v>
      </c>
      <c r="N51" s="266" t="s">
        <v>277</v>
      </c>
      <c r="O51" s="379">
        <v>193193.57</v>
      </c>
      <c r="P51" s="379">
        <v>168839.55</v>
      </c>
      <c r="Q51" s="379">
        <f t="shared" si="3"/>
        <v>24354.020000000019</v>
      </c>
    </row>
    <row r="52" spans="1:17">
      <c r="A52" s="1" t="s">
        <v>283</v>
      </c>
      <c r="B52" s="2" t="s">
        <v>277</v>
      </c>
      <c r="C52" s="197">
        <f t="shared" si="0"/>
        <v>165653.19</v>
      </c>
      <c r="D52" s="197">
        <f t="shared" si="1"/>
        <v>119.61</v>
      </c>
      <c r="E52" s="379">
        <f t="shared" si="2"/>
        <v>165533.58000000002</v>
      </c>
      <c r="M52" s="28" t="s">
        <v>1</v>
      </c>
      <c r="N52" s="266" t="s">
        <v>277</v>
      </c>
      <c r="O52" s="379">
        <v>165653.19</v>
      </c>
      <c r="P52" s="379">
        <v>119.61</v>
      </c>
      <c r="Q52" s="379">
        <f t="shared" si="3"/>
        <v>165533.58000000002</v>
      </c>
    </row>
    <row r="53" spans="1:17">
      <c r="A53" s="1" t="s">
        <v>284</v>
      </c>
      <c r="B53" s="2" t="s">
        <v>277</v>
      </c>
      <c r="C53" s="197">
        <f t="shared" si="0"/>
        <v>54867.33</v>
      </c>
      <c r="D53" s="197">
        <f t="shared" si="1"/>
        <v>-1815.23</v>
      </c>
      <c r="E53" s="379">
        <f t="shared" si="2"/>
        <v>56682.560000000005</v>
      </c>
      <c r="M53" s="28" t="s">
        <v>150</v>
      </c>
      <c r="N53" s="266" t="s">
        <v>277</v>
      </c>
      <c r="O53" s="379">
        <v>54867.33</v>
      </c>
      <c r="P53" s="379">
        <v>-1815.23</v>
      </c>
      <c r="Q53" s="379">
        <f t="shared" si="3"/>
        <v>56682.560000000005</v>
      </c>
    </row>
    <row r="54" spans="1:17">
      <c r="A54" s="1" t="s">
        <v>285</v>
      </c>
      <c r="B54" s="2" t="s">
        <v>277</v>
      </c>
      <c r="C54" s="197">
        <f t="shared" si="0"/>
        <v>28405.9</v>
      </c>
      <c r="D54" s="197">
        <f t="shared" si="1"/>
        <v>-21643.74</v>
      </c>
      <c r="E54" s="379">
        <f t="shared" si="2"/>
        <v>50049.64</v>
      </c>
      <c r="M54" s="28" t="s">
        <v>12</v>
      </c>
      <c r="N54" s="266" t="s">
        <v>277</v>
      </c>
      <c r="O54" s="379">
        <v>28405.9</v>
      </c>
      <c r="P54" s="379">
        <v>-21643.74</v>
      </c>
      <c r="Q54" s="379">
        <f t="shared" si="3"/>
        <v>50049.64</v>
      </c>
    </row>
    <row r="55" spans="1:17">
      <c r="A55" s="1" t="s">
        <v>269</v>
      </c>
      <c r="B55" s="2" t="s">
        <v>277</v>
      </c>
      <c r="C55" s="197">
        <f t="shared" si="0"/>
        <v>193918.53</v>
      </c>
      <c r="D55" s="197">
        <f t="shared" si="1"/>
        <v>25862.5</v>
      </c>
      <c r="E55" s="379">
        <f t="shared" si="2"/>
        <v>168056.03</v>
      </c>
      <c r="M55" s="28" t="s">
        <v>660</v>
      </c>
      <c r="N55" s="266" t="s">
        <v>277</v>
      </c>
      <c r="O55" s="379">
        <v>193918.53</v>
      </c>
      <c r="P55" s="379">
        <v>25862.5</v>
      </c>
      <c r="Q55" s="379">
        <f t="shared" si="3"/>
        <v>168056.03</v>
      </c>
    </row>
    <row r="56" spans="1:17">
      <c r="A56" s="1" t="s">
        <v>262</v>
      </c>
      <c r="B56" s="2" t="s">
        <v>186</v>
      </c>
      <c r="C56" s="197">
        <f t="shared" si="0"/>
        <v>969236.87</v>
      </c>
      <c r="D56" s="197">
        <f t="shared" si="1"/>
        <v>201135.11</v>
      </c>
      <c r="E56" s="379">
        <f t="shared" si="2"/>
        <v>768101.76</v>
      </c>
      <c r="M56" s="28" t="s">
        <v>141</v>
      </c>
      <c r="N56" s="266" t="s">
        <v>186</v>
      </c>
      <c r="O56" s="379">
        <v>969236.87</v>
      </c>
      <c r="P56" s="379">
        <v>201135.11</v>
      </c>
      <c r="Q56" s="379">
        <f t="shared" si="3"/>
        <v>768101.76</v>
      </c>
    </row>
    <row r="57" spans="1:17">
      <c r="A57" s="1" t="s">
        <v>267</v>
      </c>
      <c r="B57" s="2" t="s">
        <v>186</v>
      </c>
      <c r="C57" s="197">
        <f t="shared" si="0"/>
        <v>12246.6</v>
      </c>
      <c r="D57" s="197">
        <f t="shared" si="1"/>
        <v>991.66</v>
      </c>
      <c r="E57" s="379">
        <f t="shared" si="2"/>
        <v>11254.94</v>
      </c>
      <c r="M57" s="28" t="s">
        <v>162</v>
      </c>
      <c r="N57" s="266" t="s">
        <v>186</v>
      </c>
      <c r="O57" s="379">
        <v>12246.6</v>
      </c>
      <c r="P57" s="379">
        <v>991.66</v>
      </c>
      <c r="Q57" s="379">
        <f t="shared" si="3"/>
        <v>11254.94</v>
      </c>
    </row>
    <row r="58" spans="1:17">
      <c r="A58" s="1" t="s">
        <v>263</v>
      </c>
      <c r="B58" s="2" t="s">
        <v>186</v>
      </c>
      <c r="C58" s="197">
        <f t="shared" si="0"/>
        <v>2157705.86</v>
      </c>
      <c r="D58" s="197">
        <f t="shared" si="1"/>
        <v>377679.7</v>
      </c>
      <c r="E58" s="379">
        <f t="shared" si="2"/>
        <v>1780026.16</v>
      </c>
      <c r="M58" s="28" t="s">
        <v>163</v>
      </c>
      <c r="N58" s="266" t="s">
        <v>186</v>
      </c>
      <c r="O58" s="379">
        <v>2157705.86</v>
      </c>
      <c r="P58" s="379">
        <v>377679.7</v>
      </c>
      <c r="Q58" s="379">
        <f t="shared" si="3"/>
        <v>1780026.16</v>
      </c>
    </row>
    <row r="59" spans="1:17">
      <c r="A59" s="1" t="s">
        <v>270</v>
      </c>
      <c r="B59" s="2" t="s">
        <v>186</v>
      </c>
      <c r="C59" s="197">
        <f t="shared" si="0"/>
        <v>3891502.69</v>
      </c>
      <c r="D59" s="197">
        <f t="shared" si="1"/>
        <v>1930344.4</v>
      </c>
      <c r="E59" s="379">
        <f t="shared" si="2"/>
        <v>1961158.29</v>
      </c>
      <c r="M59" s="28" t="s">
        <v>164</v>
      </c>
      <c r="N59" s="266" t="s">
        <v>186</v>
      </c>
      <c r="O59" s="379">
        <v>3891502.69</v>
      </c>
      <c r="P59" s="379">
        <v>1930344.4</v>
      </c>
      <c r="Q59" s="379">
        <f t="shared" si="3"/>
        <v>1961158.29</v>
      </c>
    </row>
    <row r="60" spans="1:17">
      <c r="A60" s="1" t="s">
        <v>286</v>
      </c>
      <c r="B60" s="2" t="s">
        <v>186</v>
      </c>
      <c r="C60" s="197">
        <f t="shared" si="0"/>
        <v>112070.11</v>
      </c>
      <c r="D60" s="197">
        <f t="shared" si="1"/>
        <v>108196.78</v>
      </c>
      <c r="E60" s="379">
        <f t="shared" si="2"/>
        <v>3873.3300000000017</v>
      </c>
      <c r="M60" s="28" t="s">
        <v>5</v>
      </c>
      <c r="N60" s="266" t="s">
        <v>186</v>
      </c>
      <c r="O60" s="379">
        <v>112070.11</v>
      </c>
      <c r="P60" s="379">
        <v>108196.78</v>
      </c>
      <c r="Q60" s="379">
        <f t="shared" si="3"/>
        <v>3873.3300000000017</v>
      </c>
    </row>
    <row r="61" spans="1:17">
      <c r="A61" s="1" t="s">
        <v>271</v>
      </c>
      <c r="B61" s="2" t="s">
        <v>186</v>
      </c>
      <c r="C61" s="197">
        <f t="shared" si="0"/>
        <v>13553.43</v>
      </c>
      <c r="D61" s="197">
        <f t="shared" si="1"/>
        <v>-20766.55</v>
      </c>
      <c r="E61" s="379">
        <f t="shared" si="2"/>
        <v>34319.979999999996</v>
      </c>
      <c r="M61" s="28" t="s">
        <v>165</v>
      </c>
      <c r="N61" s="266" t="s">
        <v>186</v>
      </c>
      <c r="O61" s="379">
        <v>13553.43</v>
      </c>
      <c r="P61" s="379">
        <v>-20766.55</v>
      </c>
      <c r="Q61" s="379">
        <f t="shared" si="3"/>
        <v>34319.979999999996</v>
      </c>
    </row>
    <row r="62" spans="1:17">
      <c r="A62" s="1" t="s">
        <v>264</v>
      </c>
      <c r="B62" s="2" t="s">
        <v>186</v>
      </c>
      <c r="C62" s="197">
        <f t="shared" si="0"/>
        <v>3369326.44</v>
      </c>
      <c r="D62" s="197">
        <f t="shared" si="1"/>
        <v>1211098.07</v>
      </c>
      <c r="E62" s="379">
        <f t="shared" si="2"/>
        <v>2158228.37</v>
      </c>
      <c r="M62" s="28" t="s">
        <v>166</v>
      </c>
      <c r="N62" s="266" t="s">
        <v>186</v>
      </c>
      <c r="O62" s="379">
        <v>3369326.44</v>
      </c>
      <c r="P62" s="379">
        <v>1211098.07</v>
      </c>
      <c r="Q62" s="379">
        <f t="shared" si="3"/>
        <v>2158228.37</v>
      </c>
    </row>
    <row r="63" spans="1:17">
      <c r="A63" s="1" t="s">
        <v>268</v>
      </c>
      <c r="B63" s="2" t="s">
        <v>186</v>
      </c>
      <c r="C63" s="197">
        <f t="shared" si="0"/>
        <v>661724.6</v>
      </c>
      <c r="D63" s="197">
        <f t="shared" si="1"/>
        <v>240561.23</v>
      </c>
      <c r="E63" s="379">
        <f t="shared" si="2"/>
        <v>421163.37</v>
      </c>
      <c r="M63" s="28" t="s">
        <v>145</v>
      </c>
      <c r="N63" s="266" t="s">
        <v>186</v>
      </c>
      <c r="O63" s="379">
        <v>661724.6</v>
      </c>
      <c r="P63" s="379">
        <v>240561.23</v>
      </c>
      <c r="Q63" s="379">
        <f t="shared" si="3"/>
        <v>421163.37</v>
      </c>
    </row>
    <row r="64" spans="1:17">
      <c r="A64" s="1" t="s">
        <v>272</v>
      </c>
      <c r="B64" s="2" t="s">
        <v>186</v>
      </c>
      <c r="C64" s="197">
        <f t="shared" si="0"/>
        <v>872681.79</v>
      </c>
      <c r="D64" s="197">
        <f t="shared" si="1"/>
        <v>319472.81</v>
      </c>
      <c r="E64" s="379">
        <f t="shared" si="2"/>
        <v>553208.98</v>
      </c>
      <c r="M64" s="28" t="s">
        <v>9</v>
      </c>
      <c r="N64" s="266" t="s">
        <v>186</v>
      </c>
      <c r="O64" s="379">
        <v>872681.79</v>
      </c>
      <c r="P64" s="379">
        <v>319472.81</v>
      </c>
      <c r="Q64" s="379">
        <f t="shared" si="3"/>
        <v>553208.98</v>
      </c>
    </row>
    <row r="65" spans="1:17">
      <c r="A65" s="1" t="s">
        <v>278</v>
      </c>
      <c r="B65" s="2" t="s">
        <v>186</v>
      </c>
      <c r="C65" s="197">
        <f t="shared" si="0"/>
        <v>31278</v>
      </c>
      <c r="D65" s="197">
        <f t="shared" si="1"/>
        <v>4051.49</v>
      </c>
      <c r="E65" s="379">
        <f t="shared" si="2"/>
        <v>27226.510000000002</v>
      </c>
      <c r="M65" s="28" t="s">
        <v>167</v>
      </c>
      <c r="N65" s="266" t="s">
        <v>186</v>
      </c>
      <c r="O65" s="379">
        <v>31278</v>
      </c>
      <c r="P65" s="379">
        <v>4051.49</v>
      </c>
      <c r="Q65" s="379">
        <f t="shared" si="3"/>
        <v>27226.510000000002</v>
      </c>
    </row>
    <row r="66" spans="1:17">
      <c r="A66" s="1" t="s">
        <v>265</v>
      </c>
      <c r="B66" s="2" t="s">
        <v>186</v>
      </c>
      <c r="C66" s="197">
        <f t="shared" si="0"/>
        <v>493295.39</v>
      </c>
      <c r="D66" s="197">
        <f t="shared" si="1"/>
        <v>190957.94</v>
      </c>
      <c r="E66" s="379">
        <f t="shared" si="2"/>
        <v>302337.45</v>
      </c>
      <c r="M66" s="28" t="s">
        <v>168</v>
      </c>
      <c r="N66" s="266" t="s">
        <v>186</v>
      </c>
      <c r="O66" s="379">
        <v>493295.39</v>
      </c>
      <c r="P66" s="379">
        <v>190957.94</v>
      </c>
      <c r="Q66" s="379">
        <f t="shared" si="3"/>
        <v>302337.45</v>
      </c>
    </row>
    <row r="67" spans="1:17">
      <c r="A67" s="1" t="s">
        <v>273</v>
      </c>
      <c r="B67" s="2" t="s">
        <v>186</v>
      </c>
      <c r="C67" s="197">
        <f t="shared" si="0"/>
        <v>1884968.01</v>
      </c>
      <c r="D67" s="197">
        <f t="shared" si="1"/>
        <v>785962.61</v>
      </c>
      <c r="E67" s="379">
        <f t="shared" si="2"/>
        <v>1099005.3999999999</v>
      </c>
      <c r="M67" s="28" t="s">
        <v>6</v>
      </c>
      <c r="N67" s="266" t="s">
        <v>186</v>
      </c>
      <c r="O67" s="379">
        <v>1884968.01</v>
      </c>
      <c r="P67" s="379">
        <v>785962.61</v>
      </c>
      <c r="Q67" s="379">
        <f t="shared" si="3"/>
        <v>1099005.3999999999</v>
      </c>
    </row>
    <row r="68" spans="1:17">
      <c r="A68" s="1" t="s">
        <v>274</v>
      </c>
      <c r="B68" s="2" t="s">
        <v>186</v>
      </c>
      <c r="C68" s="197">
        <f t="shared" si="0"/>
        <v>830970.18</v>
      </c>
      <c r="D68" s="197">
        <f t="shared" si="1"/>
        <v>270390.07</v>
      </c>
      <c r="E68" s="379">
        <f t="shared" si="2"/>
        <v>560580.1100000001</v>
      </c>
      <c r="M68" s="28" t="s">
        <v>170</v>
      </c>
      <c r="N68" s="266" t="s">
        <v>186</v>
      </c>
      <c r="O68" s="379">
        <v>830970.18</v>
      </c>
      <c r="P68" s="379">
        <v>270390.07</v>
      </c>
      <c r="Q68" s="379">
        <f t="shared" si="3"/>
        <v>560580.1100000001</v>
      </c>
    </row>
    <row r="69" spans="1:17">
      <c r="A69" s="1" t="s">
        <v>266</v>
      </c>
      <c r="B69" s="2" t="s">
        <v>186</v>
      </c>
      <c r="C69" s="197">
        <f t="shared" si="0"/>
        <v>1065157.57</v>
      </c>
      <c r="D69" s="197">
        <f t="shared" si="1"/>
        <v>628563.98</v>
      </c>
      <c r="E69" s="379">
        <f t="shared" si="2"/>
        <v>436593.59000000008</v>
      </c>
      <c r="M69" s="28" t="s">
        <v>172</v>
      </c>
      <c r="N69" s="266" t="s">
        <v>186</v>
      </c>
      <c r="O69" s="379">
        <v>1065157.57</v>
      </c>
      <c r="P69" s="379">
        <v>628563.98</v>
      </c>
      <c r="Q69" s="379">
        <f t="shared" si="3"/>
        <v>436593.59000000008</v>
      </c>
    </row>
    <row r="70" spans="1:17">
      <c r="A70" s="1" t="s">
        <v>275</v>
      </c>
      <c r="B70" s="2" t="s">
        <v>186</v>
      </c>
      <c r="C70" s="197">
        <f t="shared" si="0"/>
        <v>677226.68</v>
      </c>
      <c r="D70" s="197">
        <f t="shared" si="1"/>
        <v>233151.87</v>
      </c>
      <c r="E70" s="379">
        <f t="shared" si="2"/>
        <v>444074.81000000006</v>
      </c>
      <c r="M70" s="28" t="s">
        <v>173</v>
      </c>
      <c r="N70" s="266" t="s">
        <v>186</v>
      </c>
      <c r="O70" s="379">
        <v>677226.68</v>
      </c>
      <c r="P70" s="379">
        <v>233151.87</v>
      </c>
      <c r="Q70" s="379">
        <f t="shared" si="3"/>
        <v>444074.81000000006</v>
      </c>
    </row>
    <row r="71" spans="1:17">
      <c r="A71" s="1" t="s">
        <v>276</v>
      </c>
      <c r="B71" s="2" t="s">
        <v>186</v>
      </c>
      <c r="C71" s="197">
        <f t="shared" ref="C71:C92" si="7">O71</f>
        <v>1131955.44</v>
      </c>
      <c r="D71" s="197">
        <f t="shared" ref="D71:D92" si="8">P71</f>
        <v>343839.85</v>
      </c>
      <c r="E71" s="379">
        <f t="shared" ref="E71:E92" si="9">C71-D71</f>
        <v>788115.59</v>
      </c>
      <c r="M71" s="28" t="s">
        <v>137</v>
      </c>
      <c r="N71" s="266" t="s">
        <v>186</v>
      </c>
      <c r="O71" s="379">
        <v>1131955.44</v>
      </c>
      <c r="P71" s="379">
        <v>343839.85</v>
      </c>
      <c r="Q71" s="379">
        <f t="shared" ref="Q71:Q92" si="10">O71-P71</f>
        <v>788115.59</v>
      </c>
    </row>
    <row r="72" spans="1:17">
      <c r="A72" s="1" t="s">
        <v>282</v>
      </c>
      <c r="B72" s="2" t="s">
        <v>186</v>
      </c>
      <c r="C72" s="197">
        <f t="shared" si="7"/>
        <v>234</v>
      </c>
      <c r="D72" s="197">
        <f t="shared" si="8"/>
        <v>208.12</v>
      </c>
      <c r="E72" s="379">
        <f t="shared" si="9"/>
        <v>25.879999999999995</v>
      </c>
      <c r="M72" s="28" t="s">
        <v>7</v>
      </c>
      <c r="N72" s="266" t="s">
        <v>186</v>
      </c>
      <c r="O72" s="379">
        <v>234</v>
      </c>
      <c r="P72" s="379">
        <v>208.12</v>
      </c>
      <c r="Q72" s="379">
        <f t="shared" si="10"/>
        <v>25.879999999999995</v>
      </c>
    </row>
    <row r="73" spans="1:17">
      <c r="A73" s="1" t="s">
        <v>269</v>
      </c>
      <c r="B73" s="2" t="s">
        <v>186</v>
      </c>
      <c r="C73" s="197">
        <f t="shared" si="7"/>
        <v>507399.29</v>
      </c>
      <c r="D73" s="197">
        <f t="shared" si="8"/>
        <v>157941.95000000001</v>
      </c>
      <c r="E73" s="379">
        <f t="shared" si="9"/>
        <v>349457.33999999997</v>
      </c>
      <c r="M73" s="28" t="s">
        <v>660</v>
      </c>
      <c r="N73" s="266" t="s">
        <v>186</v>
      </c>
      <c r="O73" s="379">
        <v>507399.29</v>
      </c>
      <c r="P73" s="379">
        <v>157941.95000000001</v>
      </c>
      <c r="Q73" s="379">
        <f t="shared" si="10"/>
        <v>349457.33999999997</v>
      </c>
    </row>
    <row r="74" spans="1:17">
      <c r="A74" s="1" t="s">
        <v>267</v>
      </c>
      <c r="B74" s="2" t="s">
        <v>197</v>
      </c>
      <c r="C74" s="197">
        <f t="shared" si="7"/>
        <v>2319.3000000000002</v>
      </c>
      <c r="D74" s="197">
        <f t="shared" si="8"/>
        <v>382.03</v>
      </c>
      <c r="E74" s="379">
        <f t="shared" si="9"/>
        <v>1937.2700000000002</v>
      </c>
      <c r="M74" s="28" t="s">
        <v>162</v>
      </c>
      <c r="N74" s="266" t="s">
        <v>197</v>
      </c>
      <c r="O74" s="379">
        <v>2319.3000000000002</v>
      </c>
      <c r="P74" s="379">
        <v>382.03</v>
      </c>
      <c r="Q74" s="379">
        <f t="shared" si="10"/>
        <v>1937.2700000000002</v>
      </c>
    </row>
    <row r="75" spans="1:17">
      <c r="A75" s="1" t="s">
        <v>271</v>
      </c>
      <c r="B75" s="2" t="s">
        <v>197</v>
      </c>
      <c r="C75" s="197">
        <f t="shared" si="7"/>
        <v>119445.15</v>
      </c>
      <c r="D75" s="197">
        <f t="shared" si="8"/>
        <v>3640.36</v>
      </c>
      <c r="E75" s="379">
        <f t="shared" si="9"/>
        <v>115804.79</v>
      </c>
      <c r="M75" s="28" t="s">
        <v>165</v>
      </c>
      <c r="N75" s="266" t="s">
        <v>197</v>
      </c>
      <c r="O75" s="379">
        <v>119445.15</v>
      </c>
      <c r="P75" s="379">
        <v>3640.36</v>
      </c>
      <c r="Q75" s="379">
        <f t="shared" si="10"/>
        <v>115804.79</v>
      </c>
    </row>
    <row r="76" spans="1:17">
      <c r="A76" s="1" t="s">
        <v>274</v>
      </c>
      <c r="B76" s="2" t="s">
        <v>197</v>
      </c>
      <c r="C76" s="197">
        <f t="shared" si="7"/>
        <v>9582.32</v>
      </c>
      <c r="D76" s="197">
        <f t="shared" si="8"/>
        <v>-32630.799999999999</v>
      </c>
      <c r="E76" s="379">
        <f t="shared" si="9"/>
        <v>42213.119999999995</v>
      </c>
      <c r="M76" s="28" t="s">
        <v>170</v>
      </c>
      <c r="N76" s="266" t="s">
        <v>197</v>
      </c>
      <c r="O76" s="379">
        <v>9582.32</v>
      </c>
      <c r="P76" s="379">
        <v>-32630.799999999999</v>
      </c>
      <c r="Q76" s="379">
        <f t="shared" si="10"/>
        <v>42213.119999999995</v>
      </c>
    </row>
    <row r="77" spans="1:17">
      <c r="A77" s="1" t="s">
        <v>287</v>
      </c>
      <c r="B77" s="2" t="s">
        <v>199</v>
      </c>
      <c r="C77" s="197">
        <f t="shared" si="7"/>
        <v>28955.439999999999</v>
      </c>
      <c r="D77" s="197">
        <f t="shared" si="8"/>
        <v>-1468.74</v>
      </c>
      <c r="E77" s="379">
        <f t="shared" si="9"/>
        <v>30424.18</v>
      </c>
      <c r="M77" s="28" t="s">
        <v>649</v>
      </c>
      <c r="N77" s="266" t="s">
        <v>199</v>
      </c>
      <c r="O77" s="379">
        <v>28955.439999999999</v>
      </c>
      <c r="P77" s="379">
        <v>-1468.74</v>
      </c>
      <c r="Q77" s="379">
        <f t="shared" si="10"/>
        <v>30424.18</v>
      </c>
    </row>
    <row r="78" spans="1:17">
      <c r="A78" s="1" t="s">
        <v>262</v>
      </c>
      <c r="B78" s="2" t="s">
        <v>199</v>
      </c>
      <c r="C78" s="197">
        <f t="shared" si="7"/>
        <v>691915.54</v>
      </c>
      <c r="D78" s="197">
        <f t="shared" si="8"/>
        <v>507768.89</v>
      </c>
      <c r="E78" s="379">
        <f t="shared" si="9"/>
        <v>184146.65000000002</v>
      </c>
      <c r="H78" s="2"/>
      <c r="I78" s="197"/>
      <c r="J78" s="197"/>
      <c r="K78" s="197"/>
      <c r="M78" s="28" t="s">
        <v>141</v>
      </c>
      <c r="N78" s="266" t="s">
        <v>199</v>
      </c>
      <c r="O78" s="379">
        <v>691915.54</v>
      </c>
      <c r="P78" s="379">
        <v>507768.89</v>
      </c>
      <c r="Q78" s="379">
        <f t="shared" si="10"/>
        <v>184146.65000000002</v>
      </c>
    </row>
    <row r="79" spans="1:17">
      <c r="A79" s="1" t="s">
        <v>267</v>
      </c>
      <c r="B79" s="2" t="s">
        <v>199</v>
      </c>
      <c r="C79" s="197">
        <f t="shared" si="7"/>
        <v>248657.55</v>
      </c>
      <c r="D79" s="197">
        <f t="shared" si="8"/>
        <v>89465.5</v>
      </c>
      <c r="E79" s="379">
        <f t="shared" si="9"/>
        <v>159192.04999999999</v>
      </c>
      <c r="M79" s="28" t="s">
        <v>162</v>
      </c>
      <c r="N79" s="266" t="s">
        <v>199</v>
      </c>
      <c r="O79" s="379">
        <v>248657.55</v>
      </c>
      <c r="P79" s="379">
        <v>89465.5</v>
      </c>
      <c r="Q79" s="379">
        <f t="shared" si="10"/>
        <v>159192.04999999999</v>
      </c>
    </row>
    <row r="80" spans="1:17">
      <c r="A80" s="1" t="s">
        <v>263</v>
      </c>
      <c r="B80" s="2" t="s">
        <v>199</v>
      </c>
      <c r="C80" s="197">
        <f t="shared" si="7"/>
        <v>2372155.52</v>
      </c>
      <c r="D80" s="197">
        <f t="shared" si="8"/>
        <v>1060388.8500000001</v>
      </c>
      <c r="E80" s="379">
        <f t="shared" si="9"/>
        <v>1311766.67</v>
      </c>
      <c r="M80" s="28" t="s">
        <v>163</v>
      </c>
      <c r="N80" s="266" t="s">
        <v>199</v>
      </c>
      <c r="O80" s="379">
        <v>2372155.52</v>
      </c>
      <c r="P80" s="379">
        <v>1060388.8500000001</v>
      </c>
      <c r="Q80" s="379">
        <f t="shared" si="10"/>
        <v>1311766.67</v>
      </c>
    </row>
    <row r="81" spans="1:17">
      <c r="A81" s="1" t="s">
        <v>270</v>
      </c>
      <c r="B81" s="2" t="s">
        <v>199</v>
      </c>
      <c r="C81" s="197">
        <f t="shared" si="7"/>
        <v>1166716.79</v>
      </c>
      <c r="D81" s="197">
        <f t="shared" si="8"/>
        <v>337733.63</v>
      </c>
      <c r="E81" s="379">
        <f t="shared" si="9"/>
        <v>828983.16</v>
      </c>
      <c r="M81" s="28" t="s">
        <v>164</v>
      </c>
      <c r="N81" s="266" t="s">
        <v>199</v>
      </c>
      <c r="O81" s="379">
        <v>1166716.79</v>
      </c>
      <c r="P81" s="379">
        <v>337733.63</v>
      </c>
      <c r="Q81" s="379">
        <f t="shared" si="10"/>
        <v>828983.16</v>
      </c>
    </row>
    <row r="82" spans="1:17">
      <c r="A82" s="1" t="s">
        <v>271</v>
      </c>
      <c r="B82" s="2" t="s">
        <v>199</v>
      </c>
      <c r="C82" s="197">
        <f t="shared" si="7"/>
        <v>72412.160000000003</v>
      </c>
      <c r="D82" s="197">
        <f t="shared" si="8"/>
        <v>9891.35</v>
      </c>
      <c r="E82" s="379">
        <f t="shared" si="9"/>
        <v>62520.810000000005</v>
      </c>
      <c r="M82" s="28" t="s">
        <v>165</v>
      </c>
      <c r="N82" s="266" t="s">
        <v>199</v>
      </c>
      <c r="O82" s="379">
        <v>72412.160000000003</v>
      </c>
      <c r="P82" s="379">
        <v>9891.35</v>
      </c>
      <c r="Q82" s="379">
        <f t="shared" si="10"/>
        <v>62520.810000000005</v>
      </c>
    </row>
    <row r="83" spans="1:17">
      <c r="A83" s="1" t="s">
        <v>264</v>
      </c>
      <c r="B83" s="2" t="s">
        <v>199</v>
      </c>
      <c r="C83" s="197">
        <f t="shared" si="7"/>
        <v>3653292.67</v>
      </c>
      <c r="D83" s="197">
        <f t="shared" si="8"/>
        <v>915971.24</v>
      </c>
      <c r="E83" s="379">
        <f t="shared" si="9"/>
        <v>2737321.4299999997</v>
      </c>
      <c r="M83" s="28" t="s">
        <v>166</v>
      </c>
      <c r="N83" s="266" t="s">
        <v>199</v>
      </c>
      <c r="O83" s="379">
        <v>3653292.67</v>
      </c>
      <c r="P83" s="379">
        <v>915971.24</v>
      </c>
      <c r="Q83" s="379">
        <f t="shared" si="10"/>
        <v>2737321.4299999997</v>
      </c>
    </row>
    <row r="84" spans="1:17">
      <c r="A84" s="1" t="s">
        <v>268</v>
      </c>
      <c r="B84" s="2" t="s">
        <v>199</v>
      </c>
      <c r="C84" s="197">
        <f t="shared" si="7"/>
        <v>437744.47</v>
      </c>
      <c r="D84" s="197">
        <f t="shared" si="8"/>
        <v>265224.05</v>
      </c>
      <c r="E84" s="379">
        <f t="shared" si="9"/>
        <v>172520.41999999998</v>
      </c>
      <c r="M84" s="28" t="s">
        <v>145</v>
      </c>
      <c r="N84" s="266" t="s">
        <v>199</v>
      </c>
      <c r="O84" s="379">
        <v>437744.47</v>
      </c>
      <c r="P84" s="379">
        <v>265224.05</v>
      </c>
      <c r="Q84" s="379">
        <f t="shared" si="10"/>
        <v>172520.41999999998</v>
      </c>
    </row>
    <row r="85" spans="1:17">
      <c r="A85" s="1" t="s">
        <v>272</v>
      </c>
      <c r="B85" s="2" t="s">
        <v>199</v>
      </c>
      <c r="C85" s="197">
        <f t="shared" si="7"/>
        <v>437321.24</v>
      </c>
      <c r="D85" s="197">
        <f t="shared" si="8"/>
        <v>95071.92</v>
      </c>
      <c r="E85" s="379">
        <f t="shared" si="9"/>
        <v>342249.32</v>
      </c>
      <c r="M85" s="28" t="s">
        <v>9</v>
      </c>
      <c r="N85" s="266" t="s">
        <v>199</v>
      </c>
      <c r="O85" s="379">
        <v>437321.24</v>
      </c>
      <c r="P85" s="379">
        <v>95071.92</v>
      </c>
      <c r="Q85" s="379">
        <f t="shared" si="10"/>
        <v>342249.32</v>
      </c>
    </row>
    <row r="86" spans="1:17">
      <c r="A86" s="1" t="s">
        <v>265</v>
      </c>
      <c r="B86" s="2" t="s">
        <v>199</v>
      </c>
      <c r="C86" s="197">
        <f t="shared" si="7"/>
        <v>691601.44</v>
      </c>
      <c r="D86" s="197">
        <f t="shared" si="8"/>
        <v>433860.55</v>
      </c>
      <c r="E86" s="379">
        <f t="shared" si="9"/>
        <v>257740.88999999996</v>
      </c>
      <c r="M86" s="28" t="s">
        <v>168</v>
      </c>
      <c r="N86" s="266" t="s">
        <v>199</v>
      </c>
      <c r="O86" s="379">
        <v>691601.44</v>
      </c>
      <c r="P86" s="379">
        <v>433860.55</v>
      </c>
      <c r="Q86" s="379">
        <f t="shared" si="10"/>
        <v>257740.88999999996</v>
      </c>
    </row>
    <row r="87" spans="1:17">
      <c r="A87" s="1" t="s">
        <v>273</v>
      </c>
      <c r="B87" s="2" t="s">
        <v>199</v>
      </c>
      <c r="C87" s="197">
        <f t="shared" si="7"/>
        <v>1899188.88</v>
      </c>
      <c r="D87" s="197">
        <f t="shared" si="8"/>
        <v>686809.05</v>
      </c>
      <c r="E87" s="379">
        <f t="shared" si="9"/>
        <v>1212379.8299999998</v>
      </c>
      <c r="M87" s="28" t="s">
        <v>6</v>
      </c>
      <c r="N87" s="266" t="s">
        <v>199</v>
      </c>
      <c r="O87" s="379">
        <v>1899188.88</v>
      </c>
      <c r="P87" s="379">
        <v>686809.05</v>
      </c>
      <c r="Q87" s="379">
        <f t="shared" si="10"/>
        <v>1212379.8299999998</v>
      </c>
    </row>
    <row r="88" spans="1:17">
      <c r="A88" s="1" t="s">
        <v>274</v>
      </c>
      <c r="B88" s="2" t="s">
        <v>199</v>
      </c>
      <c r="C88" s="197">
        <f t="shared" si="7"/>
        <v>236874.67</v>
      </c>
      <c r="D88" s="197">
        <f t="shared" si="8"/>
        <v>77667.09</v>
      </c>
      <c r="E88" s="379">
        <f t="shared" si="9"/>
        <v>159207.58000000002</v>
      </c>
      <c r="M88" s="28" t="s">
        <v>170</v>
      </c>
      <c r="N88" s="266" t="s">
        <v>199</v>
      </c>
      <c r="O88" s="379">
        <v>236874.67</v>
      </c>
      <c r="P88" s="379">
        <v>77667.09</v>
      </c>
      <c r="Q88" s="379">
        <f t="shared" si="10"/>
        <v>159207.58000000002</v>
      </c>
    </row>
    <row r="89" spans="1:17">
      <c r="A89" s="1" t="s">
        <v>266</v>
      </c>
      <c r="B89" s="2" t="s">
        <v>199</v>
      </c>
      <c r="C89" s="197">
        <f t="shared" si="7"/>
        <v>1001247.75</v>
      </c>
      <c r="D89" s="197">
        <f t="shared" si="8"/>
        <v>646220.77</v>
      </c>
      <c r="E89" s="379">
        <f t="shared" si="9"/>
        <v>355026.98</v>
      </c>
      <c r="M89" s="28" t="s">
        <v>172</v>
      </c>
      <c r="N89" s="266" t="s">
        <v>199</v>
      </c>
      <c r="O89" s="379">
        <v>1001247.75</v>
      </c>
      <c r="P89" s="379">
        <v>646220.77</v>
      </c>
      <c r="Q89" s="379">
        <f t="shared" si="10"/>
        <v>355026.98</v>
      </c>
    </row>
    <row r="90" spans="1:17">
      <c r="A90" s="1" t="s">
        <v>275</v>
      </c>
      <c r="B90" s="2" t="s">
        <v>199</v>
      </c>
      <c r="C90" s="197">
        <f t="shared" si="7"/>
        <v>512289.91</v>
      </c>
      <c r="D90" s="197">
        <f t="shared" si="8"/>
        <v>330489.58</v>
      </c>
      <c r="E90" s="379">
        <f t="shared" si="9"/>
        <v>181800.32999999996</v>
      </c>
      <c r="M90" s="28" t="s">
        <v>173</v>
      </c>
      <c r="N90" s="266" t="s">
        <v>199</v>
      </c>
      <c r="O90" s="379">
        <v>512289.91</v>
      </c>
      <c r="P90" s="379">
        <v>330489.58</v>
      </c>
      <c r="Q90" s="379">
        <f t="shared" si="10"/>
        <v>181800.32999999996</v>
      </c>
    </row>
    <row r="91" spans="1:17">
      <c r="A91" s="1" t="s">
        <v>276</v>
      </c>
      <c r="B91" s="2" t="s">
        <v>199</v>
      </c>
      <c r="C91" s="197">
        <f t="shared" si="7"/>
        <v>879402.02</v>
      </c>
      <c r="D91" s="197">
        <f t="shared" si="8"/>
        <v>378121.26</v>
      </c>
      <c r="E91" s="379">
        <f t="shared" si="9"/>
        <v>501280.76</v>
      </c>
      <c r="M91" s="28" t="s">
        <v>137</v>
      </c>
      <c r="N91" s="266" t="s">
        <v>199</v>
      </c>
      <c r="O91" s="379">
        <v>879402.02</v>
      </c>
      <c r="P91" s="379">
        <v>378121.26</v>
      </c>
      <c r="Q91" s="379">
        <f t="shared" si="10"/>
        <v>501280.76</v>
      </c>
    </row>
    <row r="92" spans="1:17">
      <c r="A92" s="1" t="s">
        <v>269</v>
      </c>
      <c r="B92" s="2" t="s">
        <v>199</v>
      </c>
      <c r="C92" s="197">
        <f t="shared" si="7"/>
        <v>438495.42</v>
      </c>
      <c r="D92" s="197">
        <f t="shared" si="8"/>
        <v>175126.34</v>
      </c>
      <c r="E92" s="379">
        <f t="shared" si="9"/>
        <v>263369.07999999996</v>
      </c>
      <c r="M92" s="28" t="s">
        <v>660</v>
      </c>
      <c r="N92" s="266" t="s">
        <v>199</v>
      </c>
      <c r="O92" s="379">
        <v>438495.42</v>
      </c>
      <c r="P92" s="379">
        <v>175126.34</v>
      </c>
      <c r="Q92" s="379">
        <f t="shared" si="10"/>
        <v>263369.07999999996</v>
      </c>
    </row>
    <row r="93" spans="1:17">
      <c r="C93" s="372">
        <f>SUM(C5:C92)</f>
        <v>66595163.549999982</v>
      </c>
      <c r="D93" s="372">
        <f>SUM(D5:D92)</f>
        <v>29422469.820000008</v>
      </c>
      <c r="E93" s="372">
        <f>SUM(E5:E92)</f>
        <v>37172693.729999982</v>
      </c>
      <c r="N93" s="2"/>
      <c r="O93" s="405">
        <f>SUM(O5:O92)</f>
        <v>66595163.549999982</v>
      </c>
      <c r="P93" s="405">
        <f t="shared" ref="P93" si="11">SUM(P5:P92)</f>
        <v>29422469.820000008</v>
      </c>
      <c r="Q93" s="405">
        <f t="shared" ref="Q93" si="12">SUM(Q5:Q92)</f>
        <v>37172693.729999982</v>
      </c>
    </row>
    <row r="94" spans="1:17">
      <c r="A94" s="198"/>
      <c r="B94" s="198"/>
      <c r="C94" s="199"/>
      <c r="D94" s="199"/>
      <c r="E94" s="199"/>
      <c r="N94" s="2"/>
      <c r="O94" s="379"/>
      <c r="P94" s="379"/>
      <c r="Q94" s="379"/>
    </row>
    <row r="95" spans="1:17">
      <c r="A95" s="198"/>
      <c r="B95" s="198"/>
      <c r="C95" s="199"/>
      <c r="D95" s="199"/>
      <c r="E95" s="199"/>
      <c r="N95" s="2"/>
      <c r="O95" s="379"/>
      <c r="P95" s="379"/>
      <c r="Q95" s="379"/>
    </row>
    <row r="96" spans="1:17">
      <c r="A96" s="1" t="s">
        <v>287</v>
      </c>
      <c r="B96" s="2" t="s">
        <v>187</v>
      </c>
      <c r="C96" s="197">
        <f t="shared" ref="C96" si="13">O96</f>
        <v>2045559.74</v>
      </c>
      <c r="D96" s="197">
        <f t="shared" ref="D96" si="14">P96</f>
        <v>1122160.93</v>
      </c>
      <c r="E96" s="379">
        <f t="shared" ref="E96:E161" si="15">C96-D96</f>
        <v>923398.81</v>
      </c>
      <c r="M96" s="1" t="s">
        <v>649</v>
      </c>
      <c r="N96" s="2">
        <v>2376</v>
      </c>
      <c r="O96" s="379">
        <v>2045559.74</v>
      </c>
      <c r="P96" s="379">
        <v>1122160.93</v>
      </c>
      <c r="Q96" s="379">
        <f t="shared" ref="Q96:Q160" si="16">O96-P96</f>
        <v>923398.81</v>
      </c>
    </row>
    <row r="97" spans="1:17">
      <c r="A97" s="1" t="s">
        <v>262</v>
      </c>
      <c r="B97" s="2" t="s">
        <v>187</v>
      </c>
      <c r="C97" s="197">
        <f t="shared" ref="C97:C160" si="17">O97</f>
        <v>15193180.85</v>
      </c>
      <c r="D97" s="197">
        <f t="shared" ref="D97:D160" si="18">P97</f>
        <v>10325826.970000001</v>
      </c>
      <c r="E97" s="379">
        <f t="shared" si="15"/>
        <v>4867353.879999999</v>
      </c>
      <c r="M97" s="1" t="s">
        <v>141</v>
      </c>
      <c r="N97" s="2">
        <v>2376</v>
      </c>
      <c r="O97" s="379">
        <v>15193180.85</v>
      </c>
      <c r="P97" s="379">
        <v>10325826.970000001</v>
      </c>
      <c r="Q97" s="379">
        <f t="shared" si="16"/>
        <v>4867353.879999999</v>
      </c>
    </row>
    <row r="98" spans="1:17">
      <c r="A98" s="1" t="s">
        <v>288</v>
      </c>
      <c r="B98" s="2" t="s">
        <v>187</v>
      </c>
      <c r="C98" s="197">
        <f t="shared" si="17"/>
        <v>98906.46</v>
      </c>
      <c r="D98" s="197">
        <f t="shared" si="18"/>
        <v>25572.49</v>
      </c>
      <c r="E98" s="379">
        <f t="shared" si="15"/>
        <v>73333.97</v>
      </c>
      <c r="M98" s="1" t="s">
        <v>142</v>
      </c>
      <c r="N98" s="2">
        <v>2376</v>
      </c>
      <c r="O98" s="379">
        <v>98906.46</v>
      </c>
      <c r="P98" s="379">
        <v>25572.49</v>
      </c>
      <c r="Q98" s="379">
        <f t="shared" si="16"/>
        <v>73333.97</v>
      </c>
    </row>
    <row r="99" spans="1:17">
      <c r="A99" s="1" t="s">
        <v>267</v>
      </c>
      <c r="B99" s="2" t="s">
        <v>187</v>
      </c>
      <c r="C99" s="197">
        <f t="shared" si="17"/>
        <v>38113595.530000001</v>
      </c>
      <c r="D99" s="197">
        <f t="shared" si="18"/>
        <v>17873130.210000001</v>
      </c>
      <c r="E99" s="379">
        <f t="shared" si="15"/>
        <v>20240465.32</v>
      </c>
      <c r="M99" s="1" t="s">
        <v>162</v>
      </c>
      <c r="N99" s="2">
        <v>2376</v>
      </c>
      <c r="O99" s="379">
        <v>38113595.530000001</v>
      </c>
      <c r="P99" s="379">
        <v>17873130.210000001</v>
      </c>
      <c r="Q99" s="379">
        <f t="shared" si="16"/>
        <v>20240465.32</v>
      </c>
    </row>
    <row r="100" spans="1:17">
      <c r="A100" s="1" t="s">
        <v>289</v>
      </c>
      <c r="B100" s="2" t="s">
        <v>187</v>
      </c>
      <c r="C100" s="197">
        <f t="shared" si="17"/>
        <v>15025835.960000001</v>
      </c>
      <c r="D100" s="197">
        <f t="shared" si="18"/>
        <v>6279114.8700000001</v>
      </c>
      <c r="E100" s="379">
        <f t="shared" si="15"/>
        <v>8746721.0899999999</v>
      </c>
      <c r="M100" s="1" t="s">
        <v>143</v>
      </c>
      <c r="N100" s="2">
        <v>2376</v>
      </c>
      <c r="O100" s="379">
        <v>15025835.960000001</v>
      </c>
      <c r="P100" s="379">
        <v>6279114.8700000001</v>
      </c>
      <c r="Q100" s="379">
        <f t="shared" si="16"/>
        <v>8746721.0899999999</v>
      </c>
    </row>
    <row r="101" spans="1:17">
      <c r="A101" s="1" t="s">
        <v>290</v>
      </c>
      <c r="B101" s="2" t="s">
        <v>187</v>
      </c>
      <c r="C101" s="197">
        <f t="shared" si="17"/>
        <v>5391301.9100000001</v>
      </c>
      <c r="D101" s="197">
        <f t="shared" si="18"/>
        <v>1686771.66</v>
      </c>
      <c r="E101" s="379">
        <f t="shared" si="15"/>
        <v>3704530.25</v>
      </c>
      <c r="M101" s="1" t="s">
        <v>2</v>
      </c>
      <c r="N101" s="2">
        <v>2376</v>
      </c>
      <c r="O101" s="379">
        <v>5391301.9100000001</v>
      </c>
      <c r="P101" s="379">
        <v>1686771.66</v>
      </c>
      <c r="Q101" s="379">
        <f t="shared" si="16"/>
        <v>3704530.25</v>
      </c>
    </row>
    <row r="102" spans="1:17">
      <c r="A102" s="1" t="s">
        <v>291</v>
      </c>
      <c r="B102" s="2" t="s">
        <v>187</v>
      </c>
      <c r="C102" s="197">
        <f t="shared" si="17"/>
        <v>21093625.760000002</v>
      </c>
      <c r="D102" s="197">
        <f t="shared" si="18"/>
        <v>6389466.3499999996</v>
      </c>
      <c r="E102" s="379">
        <f t="shared" si="15"/>
        <v>14704159.410000002</v>
      </c>
      <c r="M102" s="1" t="s">
        <v>3</v>
      </c>
      <c r="N102" s="2">
        <v>2376</v>
      </c>
      <c r="O102" s="379">
        <v>21093625.760000002</v>
      </c>
      <c r="P102" s="379">
        <v>6389466.3499999996</v>
      </c>
      <c r="Q102" s="379">
        <f t="shared" si="16"/>
        <v>14704159.410000002</v>
      </c>
    </row>
    <row r="103" spans="1:17">
      <c r="A103" s="1" t="s">
        <v>292</v>
      </c>
      <c r="B103" s="2" t="s">
        <v>187</v>
      </c>
      <c r="C103" s="197">
        <f t="shared" si="17"/>
        <v>209636.34</v>
      </c>
      <c r="D103" s="197">
        <f t="shared" si="18"/>
        <v>112774.82</v>
      </c>
      <c r="E103" s="379">
        <f t="shared" si="15"/>
        <v>96861.51999999999</v>
      </c>
      <c r="M103" s="1" t="s">
        <v>0</v>
      </c>
      <c r="N103" s="2">
        <v>2376</v>
      </c>
      <c r="O103" s="379">
        <v>209636.34</v>
      </c>
      <c r="P103" s="379">
        <v>112774.82</v>
      </c>
      <c r="Q103" s="379">
        <f t="shared" si="16"/>
        <v>96861.51999999999</v>
      </c>
    </row>
    <row r="104" spans="1:17">
      <c r="A104" s="1" t="s">
        <v>263</v>
      </c>
      <c r="B104" s="2" t="s">
        <v>187</v>
      </c>
      <c r="C104" s="197">
        <f t="shared" si="17"/>
        <v>43265777.049999997</v>
      </c>
      <c r="D104" s="197">
        <f t="shared" si="18"/>
        <v>36071842.939999998</v>
      </c>
      <c r="E104" s="379">
        <f t="shared" si="15"/>
        <v>7193934.1099999994</v>
      </c>
      <c r="M104" s="1" t="s">
        <v>163</v>
      </c>
      <c r="N104" s="2">
        <v>2376</v>
      </c>
      <c r="O104" s="379">
        <v>43265777.049999997</v>
      </c>
      <c r="P104" s="379">
        <v>36071842.939999998</v>
      </c>
      <c r="Q104" s="379">
        <f t="shared" si="16"/>
        <v>7193934.1099999994</v>
      </c>
    </row>
    <row r="105" spans="1:17">
      <c r="A105" s="1" t="s">
        <v>270</v>
      </c>
      <c r="B105" s="2" t="s">
        <v>187</v>
      </c>
      <c r="C105" s="197">
        <f t="shared" si="17"/>
        <v>87394838.689999998</v>
      </c>
      <c r="D105" s="197">
        <f t="shared" si="18"/>
        <v>48937164.520000003</v>
      </c>
      <c r="E105" s="379">
        <f t="shared" si="15"/>
        <v>38457674.169999994</v>
      </c>
      <c r="M105" s="1" t="s">
        <v>164</v>
      </c>
      <c r="N105" s="2">
        <v>2376</v>
      </c>
      <c r="O105" s="379">
        <v>87394838.689999998</v>
      </c>
      <c r="P105" s="379">
        <v>48937164.520000003</v>
      </c>
      <c r="Q105" s="379">
        <f t="shared" si="16"/>
        <v>38457674.169999994</v>
      </c>
    </row>
    <row r="106" spans="1:17">
      <c r="A106" s="1" t="s">
        <v>293</v>
      </c>
      <c r="B106" s="2" t="s">
        <v>187</v>
      </c>
      <c r="C106" s="197">
        <f t="shared" si="17"/>
        <v>5636293.9500000002</v>
      </c>
      <c r="D106" s="197">
        <f t="shared" si="18"/>
        <v>707075.6</v>
      </c>
      <c r="E106" s="379">
        <f t="shared" si="15"/>
        <v>4929218.3500000006</v>
      </c>
      <c r="M106" s="1" t="s">
        <v>661</v>
      </c>
      <c r="N106" s="2">
        <v>2376</v>
      </c>
      <c r="O106" s="379">
        <v>5636293.9500000002</v>
      </c>
      <c r="P106" s="379">
        <v>707075.6</v>
      </c>
      <c r="Q106" s="379">
        <f t="shared" si="16"/>
        <v>4929218.3500000006</v>
      </c>
    </row>
    <row r="107" spans="1:17">
      <c r="A107" s="1" t="s">
        <v>294</v>
      </c>
      <c r="B107" s="2" t="s">
        <v>187</v>
      </c>
      <c r="C107" s="197">
        <f t="shared" si="17"/>
        <v>238051.89</v>
      </c>
      <c r="D107" s="197">
        <f t="shared" si="18"/>
        <v>81599.33</v>
      </c>
      <c r="E107" s="379">
        <f t="shared" si="15"/>
        <v>156452.56</v>
      </c>
      <c r="M107" s="1" t="s">
        <v>4</v>
      </c>
      <c r="N107" s="2">
        <v>2376</v>
      </c>
      <c r="O107" s="379">
        <v>238051.89</v>
      </c>
      <c r="P107" s="379">
        <v>81599.33</v>
      </c>
      <c r="Q107" s="379">
        <f t="shared" si="16"/>
        <v>156452.56</v>
      </c>
    </row>
    <row r="108" spans="1:17">
      <c r="A108" s="1" t="s">
        <v>286</v>
      </c>
      <c r="B108" s="2" t="s">
        <v>187</v>
      </c>
      <c r="C108" s="197">
        <f t="shared" si="17"/>
        <v>6584165.3300000001</v>
      </c>
      <c r="D108" s="197">
        <f t="shared" si="18"/>
        <v>2757992.77</v>
      </c>
      <c r="E108" s="379">
        <f t="shared" si="15"/>
        <v>3826172.56</v>
      </c>
      <c r="M108" s="1" t="s">
        <v>5</v>
      </c>
      <c r="N108" s="2">
        <v>2376</v>
      </c>
      <c r="O108" s="379">
        <v>6584165.3300000001</v>
      </c>
      <c r="P108" s="379">
        <v>2757992.77</v>
      </c>
      <c r="Q108" s="379">
        <f t="shared" si="16"/>
        <v>3826172.56</v>
      </c>
    </row>
    <row r="109" spans="1:17">
      <c r="A109" s="1" t="s">
        <v>271</v>
      </c>
      <c r="B109" s="2" t="s">
        <v>187</v>
      </c>
      <c r="C109" s="197">
        <f t="shared" si="17"/>
        <v>1827460.77</v>
      </c>
      <c r="D109" s="197">
        <f t="shared" si="18"/>
        <v>1209122.73</v>
      </c>
      <c r="E109" s="379">
        <f t="shared" si="15"/>
        <v>618338.04</v>
      </c>
      <c r="M109" s="1" t="s">
        <v>165</v>
      </c>
      <c r="N109" s="2">
        <v>2376</v>
      </c>
      <c r="O109" s="379">
        <v>1827460.77</v>
      </c>
      <c r="P109" s="379">
        <v>1209122.73</v>
      </c>
      <c r="Q109" s="379">
        <f t="shared" si="16"/>
        <v>618338.04</v>
      </c>
    </row>
    <row r="110" spans="1:17">
      <c r="A110" s="1" t="s">
        <v>264</v>
      </c>
      <c r="B110" s="2" t="s">
        <v>187</v>
      </c>
      <c r="C110" s="197">
        <f t="shared" si="17"/>
        <v>88154251.659999996</v>
      </c>
      <c r="D110" s="197">
        <f t="shared" si="18"/>
        <v>37067742.420000002</v>
      </c>
      <c r="E110" s="379">
        <f t="shared" si="15"/>
        <v>51086509.239999995</v>
      </c>
      <c r="M110" s="1" t="s">
        <v>166</v>
      </c>
      <c r="N110" s="2">
        <v>2376</v>
      </c>
      <c r="O110" s="379">
        <v>88154251.659999996</v>
      </c>
      <c r="P110" s="379">
        <v>37067742.420000002</v>
      </c>
      <c r="Q110" s="379">
        <f t="shared" si="16"/>
        <v>51086509.239999995</v>
      </c>
    </row>
    <row r="111" spans="1:17">
      <c r="A111" s="1" t="s">
        <v>295</v>
      </c>
      <c r="B111" s="2" t="s">
        <v>187</v>
      </c>
      <c r="C111" s="197">
        <f t="shared" si="17"/>
        <v>699829.36</v>
      </c>
      <c r="D111" s="197">
        <f t="shared" si="18"/>
        <v>66077.27</v>
      </c>
      <c r="E111" s="379">
        <f t="shared" si="15"/>
        <v>633752.09</v>
      </c>
      <c r="M111" s="1" t="s">
        <v>207</v>
      </c>
      <c r="N111" s="2">
        <v>2376</v>
      </c>
      <c r="O111" s="379">
        <v>699829.36</v>
      </c>
      <c r="P111" s="379">
        <v>66077.27</v>
      </c>
      <c r="Q111" s="379">
        <f t="shared" si="16"/>
        <v>633752.09</v>
      </c>
    </row>
    <row r="112" spans="1:17">
      <c r="A112" s="1" t="s">
        <v>296</v>
      </c>
      <c r="B112" s="2" t="s">
        <v>187</v>
      </c>
      <c r="C112" s="197">
        <f t="shared" si="17"/>
        <v>67041.58</v>
      </c>
      <c r="D112" s="197">
        <f t="shared" si="18"/>
        <v>33261.599999999999</v>
      </c>
      <c r="E112" s="379">
        <f t="shared" si="15"/>
        <v>33779.980000000003</v>
      </c>
      <c r="M112" s="1" t="s">
        <v>8</v>
      </c>
      <c r="N112" s="2">
        <v>2376</v>
      </c>
      <c r="O112" s="379">
        <v>67041.58</v>
      </c>
      <c r="P112" s="379">
        <v>33261.599999999999</v>
      </c>
      <c r="Q112" s="379">
        <f t="shared" si="16"/>
        <v>33779.980000000003</v>
      </c>
    </row>
    <row r="113" spans="1:17">
      <c r="A113" s="1" t="s">
        <v>268</v>
      </c>
      <c r="B113" s="2" t="s">
        <v>187</v>
      </c>
      <c r="C113" s="197">
        <f t="shared" si="17"/>
        <v>17518604.640000001</v>
      </c>
      <c r="D113" s="197">
        <f t="shared" si="18"/>
        <v>6841563.1399999997</v>
      </c>
      <c r="E113" s="379">
        <f t="shared" si="15"/>
        <v>10677041.5</v>
      </c>
      <c r="M113" s="1" t="s">
        <v>145</v>
      </c>
      <c r="N113" s="2">
        <v>2376</v>
      </c>
      <c r="O113" s="379">
        <v>17518604.640000001</v>
      </c>
      <c r="P113" s="379">
        <v>6841563.1399999997</v>
      </c>
      <c r="Q113" s="379">
        <f t="shared" si="16"/>
        <v>10677041.5</v>
      </c>
    </row>
    <row r="114" spans="1:17">
      <c r="A114" s="1" t="s">
        <v>272</v>
      </c>
      <c r="B114" s="2" t="s">
        <v>187</v>
      </c>
      <c r="C114" s="197">
        <f t="shared" si="17"/>
        <v>45257521.039999999</v>
      </c>
      <c r="D114" s="197">
        <f t="shared" si="18"/>
        <v>14428134.699999999</v>
      </c>
      <c r="E114" s="379">
        <f t="shared" si="15"/>
        <v>30829386.34</v>
      </c>
      <c r="M114" s="1" t="s">
        <v>9</v>
      </c>
      <c r="N114" s="2">
        <v>2376</v>
      </c>
      <c r="O114" s="379">
        <v>45257521.039999999</v>
      </c>
      <c r="P114" s="379">
        <v>14428134.699999999</v>
      </c>
      <c r="Q114" s="379">
        <f t="shared" si="16"/>
        <v>30829386.34</v>
      </c>
    </row>
    <row r="115" spans="1:17">
      <c r="A115" s="1" t="s">
        <v>297</v>
      </c>
      <c r="B115" s="2" t="s">
        <v>187</v>
      </c>
      <c r="C115" s="197">
        <f t="shared" si="17"/>
        <v>288957.90000000002</v>
      </c>
      <c r="D115" s="197">
        <f t="shared" si="18"/>
        <v>308486.83</v>
      </c>
      <c r="E115" s="379">
        <f t="shared" si="15"/>
        <v>-19528.929999999993</v>
      </c>
      <c r="M115" s="1" t="s">
        <v>146</v>
      </c>
      <c r="N115" s="2">
        <v>2376</v>
      </c>
      <c r="O115" s="379">
        <v>288957.90000000002</v>
      </c>
      <c r="P115" s="379">
        <v>308486.83</v>
      </c>
      <c r="Q115" s="379">
        <f t="shared" si="16"/>
        <v>-19528.929999999993</v>
      </c>
    </row>
    <row r="116" spans="1:17">
      <c r="A116" s="1" t="s">
        <v>298</v>
      </c>
      <c r="B116" s="2" t="s">
        <v>187</v>
      </c>
      <c r="C116" s="197">
        <f t="shared" si="17"/>
        <v>325073.53000000003</v>
      </c>
      <c r="D116" s="197">
        <f t="shared" si="18"/>
        <v>161280</v>
      </c>
      <c r="E116" s="379">
        <f t="shared" si="15"/>
        <v>163793.53000000003</v>
      </c>
      <c r="M116" s="1" t="s">
        <v>147</v>
      </c>
      <c r="N116" s="2">
        <v>2376</v>
      </c>
      <c r="O116" s="379">
        <v>325073.53000000003</v>
      </c>
      <c r="P116" s="379">
        <v>161280</v>
      </c>
      <c r="Q116" s="379">
        <f t="shared" si="16"/>
        <v>163793.53000000003</v>
      </c>
    </row>
    <row r="117" spans="1:17">
      <c r="A117" s="1" t="s">
        <v>299</v>
      </c>
      <c r="B117" s="2" t="s">
        <v>187</v>
      </c>
      <c r="C117" s="197">
        <f t="shared" si="17"/>
        <v>153266.60999999999</v>
      </c>
      <c r="D117" s="197">
        <f t="shared" si="18"/>
        <v>75306.679999999993</v>
      </c>
      <c r="E117" s="379">
        <f t="shared" si="15"/>
        <v>77959.929999999993</v>
      </c>
      <c r="M117" s="1" t="s">
        <v>148</v>
      </c>
      <c r="N117" s="2">
        <v>2376</v>
      </c>
      <c r="O117" s="379">
        <v>153266.60999999999</v>
      </c>
      <c r="P117" s="379">
        <v>75306.679999999993</v>
      </c>
      <c r="Q117" s="379">
        <f t="shared" si="16"/>
        <v>77959.929999999993</v>
      </c>
    </row>
    <row r="118" spans="1:17">
      <c r="A118" s="1" t="s">
        <v>278</v>
      </c>
      <c r="B118" s="2" t="s">
        <v>187</v>
      </c>
      <c r="C118" s="197">
        <f t="shared" si="17"/>
        <v>28739927.809999999</v>
      </c>
      <c r="D118" s="197">
        <f t="shared" si="18"/>
        <v>9835836.6999999993</v>
      </c>
      <c r="E118" s="379">
        <f t="shared" si="15"/>
        <v>18904091.109999999</v>
      </c>
      <c r="M118" s="1" t="s">
        <v>167</v>
      </c>
      <c r="N118" s="2">
        <v>2376</v>
      </c>
      <c r="O118" s="379">
        <v>28739927.809999999</v>
      </c>
      <c r="P118" s="379">
        <v>9835836.6999999993</v>
      </c>
      <c r="Q118" s="379">
        <f t="shared" si="16"/>
        <v>18904091.109999999</v>
      </c>
    </row>
    <row r="119" spans="1:17">
      <c r="A119" s="1" t="s">
        <v>265</v>
      </c>
      <c r="B119" s="2" t="s">
        <v>187</v>
      </c>
      <c r="C119" s="197">
        <f t="shared" si="17"/>
        <v>25627997.879999999</v>
      </c>
      <c r="D119" s="197">
        <f t="shared" si="18"/>
        <v>10678411.68</v>
      </c>
      <c r="E119" s="379">
        <f t="shared" si="15"/>
        <v>14949586.199999999</v>
      </c>
      <c r="M119" s="1" t="s">
        <v>168</v>
      </c>
      <c r="N119" s="2">
        <v>2376</v>
      </c>
      <c r="O119" s="379">
        <v>25627997.879999999</v>
      </c>
      <c r="P119" s="379">
        <v>10678411.68</v>
      </c>
      <c r="Q119" s="379">
        <f t="shared" si="16"/>
        <v>14949586.199999999</v>
      </c>
    </row>
    <row r="120" spans="1:17">
      <c r="A120" s="1" t="s">
        <v>279</v>
      </c>
      <c r="B120" s="2" t="s">
        <v>187</v>
      </c>
      <c r="C120" s="197">
        <f t="shared" si="17"/>
        <v>5127158.29</v>
      </c>
      <c r="D120" s="197">
        <f t="shared" si="18"/>
        <v>995202.35</v>
      </c>
      <c r="E120" s="379">
        <f t="shared" si="15"/>
        <v>4131955.94</v>
      </c>
      <c r="M120" s="1" t="s">
        <v>10</v>
      </c>
      <c r="N120" s="2">
        <v>2376</v>
      </c>
      <c r="O120" s="379">
        <v>5127158.29</v>
      </c>
      <c r="P120" s="379">
        <v>995202.35</v>
      </c>
      <c r="Q120" s="379">
        <f t="shared" si="16"/>
        <v>4131955.94</v>
      </c>
    </row>
    <row r="121" spans="1:17">
      <c r="A121" s="1" t="s">
        <v>300</v>
      </c>
      <c r="B121" s="2" t="s">
        <v>187</v>
      </c>
      <c r="C121" s="197">
        <f t="shared" si="17"/>
        <v>10142142.449999999</v>
      </c>
      <c r="D121" s="197">
        <f t="shared" si="18"/>
        <v>397084.36</v>
      </c>
      <c r="E121" s="379">
        <f t="shared" si="15"/>
        <v>9745058.0899999999</v>
      </c>
      <c r="M121" s="1" t="s">
        <v>11</v>
      </c>
      <c r="N121" s="2">
        <v>2376</v>
      </c>
      <c r="O121" s="379">
        <v>10142142.449999999</v>
      </c>
      <c r="P121" s="379">
        <v>397084.36</v>
      </c>
      <c r="Q121" s="379">
        <f t="shared" si="16"/>
        <v>9745058.0899999999</v>
      </c>
    </row>
    <row r="122" spans="1:17">
      <c r="A122" s="1" t="s">
        <v>273</v>
      </c>
      <c r="B122" s="2" t="s">
        <v>187</v>
      </c>
      <c r="C122" s="197">
        <f t="shared" si="17"/>
        <v>56642150.68</v>
      </c>
      <c r="D122" s="197">
        <f t="shared" si="18"/>
        <v>27565823.07</v>
      </c>
      <c r="E122" s="379">
        <f t="shared" si="15"/>
        <v>29076327.609999999</v>
      </c>
      <c r="M122" s="1" t="s">
        <v>6</v>
      </c>
      <c r="N122" s="2">
        <v>2376</v>
      </c>
      <c r="O122" s="379">
        <v>56642150.68</v>
      </c>
      <c r="P122" s="379">
        <v>27565823.07</v>
      </c>
      <c r="Q122" s="379">
        <f t="shared" si="16"/>
        <v>29076327.609999999</v>
      </c>
    </row>
    <row r="123" spans="1:17">
      <c r="A123" s="1" t="s">
        <v>280</v>
      </c>
      <c r="B123" s="2" t="s">
        <v>187</v>
      </c>
      <c r="C123" s="197">
        <f t="shared" si="17"/>
        <v>13026290.949999999</v>
      </c>
      <c r="D123" s="197">
        <f t="shared" si="18"/>
        <v>3413797.28</v>
      </c>
      <c r="E123" s="379">
        <f t="shared" si="15"/>
        <v>9612493.6699999999</v>
      </c>
      <c r="M123" s="1" t="s">
        <v>169</v>
      </c>
      <c r="N123" s="2">
        <v>2376</v>
      </c>
      <c r="O123" s="379">
        <v>13026290.949999999</v>
      </c>
      <c r="P123" s="379">
        <v>3413797.28</v>
      </c>
      <c r="Q123" s="379">
        <f t="shared" si="16"/>
        <v>9612493.6699999999</v>
      </c>
    </row>
    <row r="124" spans="1:17">
      <c r="A124" s="1" t="s">
        <v>274</v>
      </c>
      <c r="B124" s="2" t="s">
        <v>187</v>
      </c>
      <c r="C124" s="197">
        <f t="shared" si="17"/>
        <v>11068251.93</v>
      </c>
      <c r="D124" s="197">
        <f t="shared" si="18"/>
        <v>4781373.25</v>
      </c>
      <c r="E124" s="379">
        <f t="shared" si="15"/>
        <v>6286878.6799999997</v>
      </c>
      <c r="M124" s="1" t="s">
        <v>170</v>
      </c>
      <c r="N124" s="2">
        <v>2376</v>
      </c>
      <c r="O124" s="379">
        <v>11068251.93</v>
      </c>
      <c r="P124" s="379">
        <v>4781373.25</v>
      </c>
      <c r="Q124" s="379">
        <f t="shared" si="16"/>
        <v>6286878.6799999997</v>
      </c>
    </row>
    <row r="125" spans="1:17">
      <c r="A125" s="1" t="s">
        <v>301</v>
      </c>
      <c r="B125" s="2" t="s">
        <v>187</v>
      </c>
      <c r="C125" s="197">
        <f t="shared" si="17"/>
        <v>11444071.359999999</v>
      </c>
      <c r="D125" s="197">
        <f t="shared" si="18"/>
        <v>4758120.0999999996</v>
      </c>
      <c r="E125" s="379">
        <f t="shared" si="15"/>
        <v>6685951.2599999998</v>
      </c>
      <c r="M125" s="1" t="s">
        <v>171</v>
      </c>
      <c r="N125" s="2">
        <v>2376</v>
      </c>
      <c r="O125" s="379">
        <v>11444071.359999999</v>
      </c>
      <c r="P125" s="379">
        <v>4758120.0999999996</v>
      </c>
      <c r="Q125" s="379">
        <f t="shared" si="16"/>
        <v>6685951.2599999998</v>
      </c>
    </row>
    <row r="126" spans="1:17">
      <c r="A126" s="1" t="s">
        <v>266</v>
      </c>
      <c r="B126" s="2" t="s">
        <v>187</v>
      </c>
      <c r="C126" s="197">
        <f t="shared" si="17"/>
        <v>28754431.57</v>
      </c>
      <c r="D126" s="197">
        <f t="shared" si="18"/>
        <v>17760730.199999999</v>
      </c>
      <c r="E126" s="379">
        <f t="shared" si="15"/>
        <v>10993701.370000001</v>
      </c>
      <c r="M126" s="1" t="s">
        <v>172</v>
      </c>
      <c r="N126" s="2">
        <v>2376</v>
      </c>
      <c r="O126" s="379">
        <v>28754431.57</v>
      </c>
      <c r="P126" s="379">
        <v>17760730.199999999</v>
      </c>
      <c r="Q126" s="379">
        <f t="shared" si="16"/>
        <v>10993701.370000001</v>
      </c>
    </row>
    <row r="127" spans="1:17">
      <c r="A127" s="1" t="s">
        <v>275</v>
      </c>
      <c r="B127" s="2" t="s">
        <v>187</v>
      </c>
      <c r="C127" s="197">
        <f t="shared" si="17"/>
        <v>20855507.050000001</v>
      </c>
      <c r="D127" s="197">
        <f t="shared" si="18"/>
        <v>10286338.529999999</v>
      </c>
      <c r="E127" s="379">
        <f t="shared" si="15"/>
        <v>10569168.520000001</v>
      </c>
      <c r="M127" s="1" t="s">
        <v>173</v>
      </c>
      <c r="N127" s="2">
        <v>2376</v>
      </c>
      <c r="O127" s="379">
        <v>20855507.050000001</v>
      </c>
      <c r="P127" s="379">
        <v>10286338.529999999</v>
      </c>
      <c r="Q127" s="379">
        <f t="shared" si="16"/>
        <v>10569168.520000001</v>
      </c>
    </row>
    <row r="128" spans="1:17">
      <c r="A128" s="1" t="s">
        <v>281</v>
      </c>
      <c r="B128" s="2" t="s">
        <v>187</v>
      </c>
      <c r="C128" s="197">
        <f t="shared" si="17"/>
        <v>3991796.16</v>
      </c>
      <c r="D128" s="197">
        <f t="shared" si="18"/>
        <v>712167.29</v>
      </c>
      <c r="E128" s="379">
        <f t="shared" si="15"/>
        <v>3279628.87</v>
      </c>
      <c r="M128" s="1" t="s">
        <v>149</v>
      </c>
      <c r="N128" s="2">
        <v>2376</v>
      </c>
      <c r="O128" s="379">
        <v>3991796.16</v>
      </c>
      <c r="P128" s="379">
        <v>712167.29</v>
      </c>
      <c r="Q128" s="379">
        <f t="shared" si="16"/>
        <v>3279628.87</v>
      </c>
    </row>
    <row r="129" spans="1:17">
      <c r="A129" s="1" t="s">
        <v>276</v>
      </c>
      <c r="B129" s="2" t="s">
        <v>187</v>
      </c>
      <c r="C129" s="197">
        <f t="shared" si="17"/>
        <v>31885022.190000001</v>
      </c>
      <c r="D129" s="197">
        <f t="shared" si="18"/>
        <v>13263906.09</v>
      </c>
      <c r="E129" s="379">
        <f t="shared" si="15"/>
        <v>18621116.100000001</v>
      </c>
      <c r="M129" s="1" t="s">
        <v>137</v>
      </c>
      <c r="N129" s="2">
        <v>2376</v>
      </c>
      <c r="O129" s="379">
        <v>31885022.190000001</v>
      </c>
      <c r="P129" s="379">
        <v>13263906.09</v>
      </c>
      <c r="Q129" s="379">
        <f t="shared" si="16"/>
        <v>18621116.100000001</v>
      </c>
    </row>
    <row r="130" spans="1:17">
      <c r="A130" s="1" t="s">
        <v>282</v>
      </c>
      <c r="B130" s="2" t="s">
        <v>187</v>
      </c>
      <c r="C130" s="197">
        <f t="shared" si="17"/>
        <v>6555546.2599999998</v>
      </c>
      <c r="D130" s="197">
        <f t="shared" si="18"/>
        <v>2462283.39</v>
      </c>
      <c r="E130" s="379">
        <f t="shared" si="15"/>
        <v>4093262.8699999996</v>
      </c>
      <c r="M130" s="1" t="s">
        <v>7</v>
      </c>
      <c r="N130" s="2">
        <v>2376</v>
      </c>
      <c r="O130" s="379">
        <v>6555546.2599999998</v>
      </c>
      <c r="P130" s="379">
        <v>2462283.39</v>
      </c>
      <c r="Q130" s="379">
        <f t="shared" si="16"/>
        <v>4093262.8699999996</v>
      </c>
    </row>
    <row r="131" spans="1:17">
      <c r="A131" s="1" t="s">
        <v>283</v>
      </c>
      <c r="B131" s="2" t="s">
        <v>187</v>
      </c>
      <c r="C131" s="197">
        <f t="shared" si="17"/>
        <v>23854447.550000001</v>
      </c>
      <c r="D131" s="197">
        <f t="shared" si="18"/>
        <v>6005303.6600000001</v>
      </c>
      <c r="E131" s="379">
        <f t="shared" si="15"/>
        <v>17849143.890000001</v>
      </c>
      <c r="M131" s="1" t="s">
        <v>1</v>
      </c>
      <c r="N131" s="2">
        <v>2376</v>
      </c>
      <c r="O131" s="379">
        <v>23854447.550000001</v>
      </c>
      <c r="P131" s="379">
        <v>6005303.6600000001</v>
      </c>
      <c r="Q131" s="379">
        <f t="shared" si="16"/>
        <v>17849143.890000001</v>
      </c>
    </row>
    <row r="132" spans="1:17">
      <c r="A132" s="1" t="s">
        <v>284</v>
      </c>
      <c r="B132" s="2" t="s">
        <v>187</v>
      </c>
      <c r="C132" s="197">
        <f t="shared" si="17"/>
        <v>1275308.3899999999</v>
      </c>
      <c r="D132" s="197">
        <f t="shared" si="18"/>
        <v>177533.22</v>
      </c>
      <c r="E132" s="379">
        <f t="shared" si="15"/>
        <v>1097775.17</v>
      </c>
      <c r="M132" s="1" t="s">
        <v>150</v>
      </c>
      <c r="N132" s="2">
        <v>2376</v>
      </c>
      <c r="O132" s="379">
        <v>1275308.3899999999</v>
      </c>
      <c r="P132" s="379">
        <v>177533.22</v>
      </c>
      <c r="Q132" s="379">
        <f t="shared" si="16"/>
        <v>1097775.17</v>
      </c>
    </row>
    <row r="133" spans="1:17">
      <c r="A133" s="1" t="s">
        <v>285</v>
      </c>
      <c r="B133" s="2" t="s">
        <v>187</v>
      </c>
      <c r="C133" s="197">
        <f t="shared" si="17"/>
        <v>9418138.7200000007</v>
      </c>
      <c r="D133" s="197">
        <f t="shared" si="18"/>
        <v>1261695.3</v>
      </c>
      <c r="E133" s="379">
        <f t="shared" si="15"/>
        <v>8156443.4200000009</v>
      </c>
      <c r="M133" s="1" t="s">
        <v>12</v>
      </c>
      <c r="N133" s="2">
        <v>2376</v>
      </c>
      <c r="O133" s="379">
        <v>9418138.7200000007</v>
      </c>
      <c r="P133" s="379">
        <v>1261695.3</v>
      </c>
      <c r="Q133" s="379">
        <f t="shared" si="16"/>
        <v>8156443.4200000009</v>
      </c>
    </row>
    <row r="134" spans="1:17">
      <c r="A134" s="1" t="s">
        <v>269</v>
      </c>
      <c r="B134" s="2" t="s">
        <v>187</v>
      </c>
      <c r="C134" s="197">
        <f t="shared" si="17"/>
        <v>16043401.369999999</v>
      </c>
      <c r="D134" s="197">
        <f t="shared" si="18"/>
        <v>10273719.77</v>
      </c>
      <c r="E134" s="379">
        <f t="shared" si="15"/>
        <v>5769681.5999999996</v>
      </c>
      <c r="M134" s="1" t="s">
        <v>660</v>
      </c>
      <c r="N134" s="2">
        <v>2376</v>
      </c>
      <c r="O134" s="379">
        <v>16043401.369999999</v>
      </c>
      <c r="P134" s="379">
        <v>10273719.77</v>
      </c>
      <c r="Q134" s="379">
        <f t="shared" si="16"/>
        <v>5769681.5999999996</v>
      </c>
    </row>
    <row r="135" spans="1:17">
      <c r="A135" s="1" t="s">
        <v>302</v>
      </c>
      <c r="B135" s="2" t="s">
        <v>187</v>
      </c>
      <c r="C135" s="197">
        <f t="shared" si="17"/>
        <v>180076.07</v>
      </c>
      <c r="D135" s="197">
        <f t="shared" si="18"/>
        <v>106816.14</v>
      </c>
      <c r="E135" s="379">
        <f t="shared" si="15"/>
        <v>73259.930000000008</v>
      </c>
      <c r="M135" s="1" t="s">
        <v>153</v>
      </c>
      <c r="N135" s="2">
        <v>2376</v>
      </c>
      <c r="O135" s="379">
        <v>180076.07</v>
      </c>
      <c r="P135" s="379">
        <v>106816.14</v>
      </c>
      <c r="Q135" s="379">
        <f t="shared" si="16"/>
        <v>73259.930000000008</v>
      </c>
    </row>
    <row r="136" spans="1:17">
      <c r="A136" s="1" t="s">
        <v>262</v>
      </c>
      <c r="B136" s="2" t="s">
        <v>188</v>
      </c>
      <c r="C136" s="197">
        <f t="shared" si="17"/>
        <v>311934.84000000003</v>
      </c>
      <c r="D136" s="197">
        <f t="shared" si="18"/>
        <v>91612</v>
      </c>
      <c r="E136" s="379">
        <f t="shared" si="15"/>
        <v>220322.84000000003</v>
      </c>
      <c r="M136" s="1" t="s">
        <v>141</v>
      </c>
      <c r="N136" s="2">
        <v>2378</v>
      </c>
      <c r="O136" s="379">
        <v>311934.84000000003</v>
      </c>
      <c r="P136" s="379">
        <v>91612</v>
      </c>
      <c r="Q136" s="379">
        <f t="shared" si="16"/>
        <v>220322.84000000003</v>
      </c>
    </row>
    <row r="137" spans="1:17">
      <c r="A137" s="1" t="s">
        <v>267</v>
      </c>
      <c r="B137" s="2" t="s">
        <v>188</v>
      </c>
      <c r="C137" s="197">
        <f t="shared" si="17"/>
        <v>390920.59</v>
      </c>
      <c r="D137" s="197">
        <f t="shared" si="18"/>
        <v>42867.91</v>
      </c>
      <c r="E137" s="379">
        <f t="shared" si="15"/>
        <v>348052.68000000005</v>
      </c>
      <c r="M137" s="1" t="s">
        <v>162</v>
      </c>
      <c r="N137" s="2">
        <v>2378</v>
      </c>
      <c r="O137" s="379">
        <v>390920.59</v>
      </c>
      <c r="P137" s="379">
        <v>42867.91</v>
      </c>
      <c r="Q137" s="379">
        <f t="shared" si="16"/>
        <v>348052.68000000005</v>
      </c>
    </row>
    <row r="138" spans="1:17">
      <c r="A138" s="1" t="s">
        <v>289</v>
      </c>
      <c r="B138" s="2" t="s">
        <v>188</v>
      </c>
      <c r="C138" s="197">
        <f t="shared" si="17"/>
        <v>170814.98</v>
      </c>
      <c r="D138" s="197">
        <f t="shared" si="18"/>
        <v>50818.73</v>
      </c>
      <c r="E138" s="379">
        <f t="shared" si="15"/>
        <v>119996.25</v>
      </c>
      <c r="M138" s="1" t="s">
        <v>143</v>
      </c>
      <c r="N138" s="2">
        <v>2378</v>
      </c>
      <c r="O138" s="379">
        <v>170814.98</v>
      </c>
      <c r="P138" s="379">
        <v>50818.73</v>
      </c>
      <c r="Q138" s="379">
        <f t="shared" si="16"/>
        <v>119996.25</v>
      </c>
    </row>
    <row r="139" spans="1:17">
      <c r="A139" s="1" t="s">
        <v>290</v>
      </c>
      <c r="B139" s="2" t="s">
        <v>188</v>
      </c>
      <c r="C139" s="197">
        <f t="shared" si="17"/>
        <v>12851.77</v>
      </c>
      <c r="D139" s="197">
        <f t="shared" si="18"/>
        <v>992.91</v>
      </c>
      <c r="E139" s="379">
        <f t="shared" si="15"/>
        <v>11858.86</v>
      </c>
      <c r="M139" s="1" t="s">
        <v>2</v>
      </c>
      <c r="N139" s="2">
        <v>2378</v>
      </c>
      <c r="O139" s="379">
        <v>12851.77</v>
      </c>
      <c r="P139" s="379">
        <v>992.91</v>
      </c>
      <c r="Q139" s="379">
        <f t="shared" si="16"/>
        <v>11858.86</v>
      </c>
    </row>
    <row r="140" spans="1:17">
      <c r="A140" s="1" t="s">
        <v>291</v>
      </c>
      <c r="B140" s="2" t="s">
        <v>188</v>
      </c>
      <c r="C140" s="197">
        <f t="shared" si="17"/>
        <v>186967.88</v>
      </c>
      <c r="D140" s="197">
        <f t="shared" si="18"/>
        <v>46322.82</v>
      </c>
      <c r="E140" s="379">
        <f t="shared" si="15"/>
        <v>140645.06</v>
      </c>
      <c r="M140" s="1" t="s">
        <v>3</v>
      </c>
      <c r="N140" s="2">
        <v>2378</v>
      </c>
      <c r="O140" s="379">
        <v>186967.88</v>
      </c>
      <c r="P140" s="379">
        <v>46322.82</v>
      </c>
      <c r="Q140" s="379">
        <f t="shared" si="16"/>
        <v>140645.06</v>
      </c>
    </row>
    <row r="141" spans="1:17">
      <c r="A141" s="1" t="s">
        <v>263</v>
      </c>
      <c r="B141" s="2" t="s">
        <v>188</v>
      </c>
      <c r="C141" s="197">
        <f t="shared" si="17"/>
        <v>442897.07</v>
      </c>
      <c r="D141" s="197">
        <f t="shared" si="18"/>
        <v>166434.54</v>
      </c>
      <c r="E141" s="379">
        <f t="shared" si="15"/>
        <v>276462.53000000003</v>
      </c>
      <c r="M141" s="1" t="s">
        <v>163</v>
      </c>
      <c r="N141" s="2">
        <v>2378</v>
      </c>
      <c r="O141" s="379">
        <v>442897.07</v>
      </c>
      <c r="P141" s="379">
        <v>166434.54</v>
      </c>
      <c r="Q141" s="379">
        <f t="shared" si="16"/>
        <v>276462.53000000003</v>
      </c>
    </row>
    <row r="142" spans="1:17">
      <c r="A142" s="1" t="s">
        <v>270</v>
      </c>
      <c r="B142" s="2" t="s">
        <v>188</v>
      </c>
      <c r="C142" s="197">
        <f t="shared" si="17"/>
        <v>3392816.07</v>
      </c>
      <c r="D142" s="197">
        <f t="shared" si="18"/>
        <v>418328.6</v>
      </c>
      <c r="E142" s="379">
        <f t="shared" si="15"/>
        <v>2974487.4699999997</v>
      </c>
      <c r="M142" s="1" t="s">
        <v>164</v>
      </c>
      <c r="N142" s="2">
        <v>2378</v>
      </c>
      <c r="O142" s="379">
        <v>3392816.07</v>
      </c>
      <c r="P142" s="379">
        <v>418328.6</v>
      </c>
      <c r="Q142" s="379">
        <f t="shared" si="16"/>
        <v>2974487.4699999997</v>
      </c>
    </row>
    <row r="143" spans="1:17">
      <c r="A143" s="1" t="s">
        <v>293</v>
      </c>
      <c r="B143" s="2">
        <v>378</v>
      </c>
      <c r="C143" s="197">
        <f t="shared" si="17"/>
        <v>50914.3</v>
      </c>
      <c r="D143" s="197">
        <f t="shared" si="18"/>
        <v>1997.93</v>
      </c>
      <c r="E143" s="379">
        <f t="shared" si="15"/>
        <v>48916.37</v>
      </c>
      <c r="M143" s="1" t="s">
        <v>661</v>
      </c>
      <c r="N143" s="2">
        <v>2378</v>
      </c>
      <c r="O143" s="379">
        <v>50914.3</v>
      </c>
      <c r="P143" s="379">
        <v>1997.93</v>
      </c>
      <c r="Q143" s="379">
        <f t="shared" si="16"/>
        <v>48916.37</v>
      </c>
    </row>
    <row r="144" spans="1:17">
      <c r="A144" s="1" t="s">
        <v>286</v>
      </c>
      <c r="B144" s="2" t="s">
        <v>188</v>
      </c>
      <c r="C144" s="197">
        <f t="shared" si="17"/>
        <v>50344.3</v>
      </c>
      <c r="D144" s="197">
        <f t="shared" si="18"/>
        <v>6143.99</v>
      </c>
      <c r="E144" s="379">
        <f t="shared" si="15"/>
        <v>44200.310000000005</v>
      </c>
      <c r="M144" s="1" t="s">
        <v>5</v>
      </c>
      <c r="N144" s="2">
        <v>2378</v>
      </c>
      <c r="O144" s="379">
        <v>50344.3</v>
      </c>
      <c r="P144" s="379">
        <v>6143.99</v>
      </c>
      <c r="Q144" s="379">
        <f t="shared" si="16"/>
        <v>44200.310000000005</v>
      </c>
    </row>
    <row r="145" spans="1:17">
      <c r="A145" s="1" t="s">
        <v>271</v>
      </c>
      <c r="B145" s="2" t="s">
        <v>188</v>
      </c>
      <c r="C145" s="197">
        <f t="shared" si="17"/>
        <v>22263.35</v>
      </c>
      <c r="D145" s="197">
        <f t="shared" si="18"/>
        <v>11914.35</v>
      </c>
      <c r="E145" s="379">
        <f t="shared" si="15"/>
        <v>10348.999999999998</v>
      </c>
      <c r="M145" s="1" t="s">
        <v>165</v>
      </c>
      <c r="N145" s="2">
        <v>2378</v>
      </c>
      <c r="O145" s="379">
        <v>22263.35</v>
      </c>
      <c r="P145" s="379">
        <v>11914.35</v>
      </c>
      <c r="Q145" s="379">
        <f t="shared" si="16"/>
        <v>10348.999999999998</v>
      </c>
    </row>
    <row r="146" spans="1:17">
      <c r="A146" s="1" t="s">
        <v>264</v>
      </c>
      <c r="B146" s="2" t="s">
        <v>188</v>
      </c>
      <c r="C146" s="197">
        <f t="shared" si="17"/>
        <v>871719.99</v>
      </c>
      <c r="D146" s="197">
        <f t="shared" si="18"/>
        <v>334138.44</v>
      </c>
      <c r="E146" s="379">
        <f t="shared" si="15"/>
        <v>537581.55000000005</v>
      </c>
      <c r="M146" s="1" t="s">
        <v>166</v>
      </c>
      <c r="N146" s="2">
        <v>2378</v>
      </c>
      <c r="O146" s="379">
        <v>871719.99</v>
      </c>
      <c r="P146" s="379">
        <v>334138.44</v>
      </c>
      <c r="Q146" s="379">
        <f t="shared" si="16"/>
        <v>537581.55000000005</v>
      </c>
    </row>
    <row r="147" spans="1:17">
      <c r="A147" s="1" t="s">
        <v>268</v>
      </c>
      <c r="B147" s="2" t="s">
        <v>188</v>
      </c>
      <c r="C147" s="197">
        <f t="shared" si="17"/>
        <v>127641.77</v>
      </c>
      <c r="D147" s="197">
        <f t="shared" si="18"/>
        <v>30756.61</v>
      </c>
      <c r="E147" s="379">
        <f t="shared" si="15"/>
        <v>96885.16</v>
      </c>
      <c r="M147" s="1" t="s">
        <v>145</v>
      </c>
      <c r="N147" s="2">
        <v>2378</v>
      </c>
      <c r="O147" s="379">
        <v>127641.77</v>
      </c>
      <c r="P147" s="379">
        <v>30756.61</v>
      </c>
      <c r="Q147" s="379">
        <f t="shared" si="16"/>
        <v>96885.16</v>
      </c>
    </row>
    <row r="148" spans="1:17">
      <c r="A148" s="1" t="s">
        <v>272</v>
      </c>
      <c r="B148" s="2" t="s">
        <v>188</v>
      </c>
      <c r="C148" s="197">
        <f t="shared" si="17"/>
        <v>957471.96</v>
      </c>
      <c r="D148" s="197">
        <f t="shared" si="18"/>
        <v>94663.06</v>
      </c>
      <c r="E148" s="379">
        <f t="shared" si="15"/>
        <v>862808.89999999991</v>
      </c>
      <c r="M148" s="1" t="s">
        <v>9</v>
      </c>
      <c r="N148" s="2">
        <v>2378</v>
      </c>
      <c r="O148" s="379">
        <v>957471.96</v>
      </c>
      <c r="P148" s="379">
        <v>94663.06</v>
      </c>
      <c r="Q148" s="379">
        <f t="shared" si="16"/>
        <v>862808.89999999991</v>
      </c>
    </row>
    <row r="149" spans="1:17">
      <c r="A149" s="1" t="s">
        <v>297</v>
      </c>
      <c r="B149" s="2" t="s">
        <v>188</v>
      </c>
      <c r="C149" s="197">
        <f t="shared" si="17"/>
        <v>2859.66</v>
      </c>
      <c r="D149" s="197">
        <f t="shared" si="18"/>
        <v>769.53</v>
      </c>
      <c r="E149" s="379">
        <f t="shared" si="15"/>
        <v>2090.13</v>
      </c>
      <c r="M149" s="1" t="s">
        <v>146</v>
      </c>
      <c r="N149" s="2">
        <v>2378</v>
      </c>
      <c r="O149" s="379">
        <v>2859.66</v>
      </c>
      <c r="P149" s="379">
        <v>769.53</v>
      </c>
      <c r="Q149" s="379">
        <f t="shared" si="16"/>
        <v>2090.13</v>
      </c>
    </row>
    <row r="150" spans="1:17">
      <c r="A150" s="1" t="s">
        <v>278</v>
      </c>
      <c r="B150" s="2" t="s">
        <v>188</v>
      </c>
      <c r="C150" s="197">
        <f t="shared" si="17"/>
        <v>385287.08</v>
      </c>
      <c r="D150" s="197">
        <f t="shared" si="18"/>
        <v>92049.36</v>
      </c>
      <c r="E150" s="379">
        <f t="shared" si="15"/>
        <v>293237.72000000003</v>
      </c>
      <c r="M150" s="1" t="s">
        <v>167</v>
      </c>
      <c r="N150" s="2">
        <v>2378</v>
      </c>
      <c r="O150" s="379">
        <v>385287.08</v>
      </c>
      <c r="P150" s="379">
        <v>92049.36</v>
      </c>
      <c r="Q150" s="379">
        <f t="shared" si="16"/>
        <v>293237.72000000003</v>
      </c>
    </row>
    <row r="151" spans="1:17">
      <c r="A151" s="1" t="s">
        <v>265</v>
      </c>
      <c r="B151" s="2" t="s">
        <v>188</v>
      </c>
      <c r="C151" s="197">
        <f t="shared" si="17"/>
        <v>294524.58</v>
      </c>
      <c r="D151" s="197">
        <f t="shared" si="18"/>
        <v>167045.12</v>
      </c>
      <c r="E151" s="379">
        <f t="shared" si="15"/>
        <v>127479.46000000002</v>
      </c>
      <c r="M151" s="1" t="s">
        <v>168</v>
      </c>
      <c r="N151" s="2">
        <v>2378</v>
      </c>
      <c r="O151" s="379">
        <v>294524.58</v>
      </c>
      <c r="P151" s="379">
        <v>167045.12</v>
      </c>
      <c r="Q151" s="379">
        <f t="shared" si="16"/>
        <v>127479.46000000002</v>
      </c>
    </row>
    <row r="152" spans="1:17">
      <c r="A152" s="28" t="s">
        <v>11</v>
      </c>
      <c r="B152" s="266" t="s">
        <v>188</v>
      </c>
      <c r="C152" s="197">
        <f t="shared" si="17"/>
        <v>427812.7</v>
      </c>
      <c r="D152" s="197">
        <f t="shared" si="18"/>
        <v>14932.94</v>
      </c>
      <c r="E152" s="379">
        <f t="shared" si="15"/>
        <v>412879.76</v>
      </c>
      <c r="M152" s="28" t="s">
        <v>11</v>
      </c>
      <c r="N152" s="266" t="s">
        <v>188</v>
      </c>
      <c r="O152" s="379">
        <v>427812.7</v>
      </c>
      <c r="P152" s="379">
        <v>14932.94</v>
      </c>
      <c r="Q152" s="379">
        <f t="shared" si="16"/>
        <v>412879.76</v>
      </c>
    </row>
    <row r="153" spans="1:17">
      <c r="A153" s="1" t="s">
        <v>273</v>
      </c>
      <c r="B153" s="2" t="s">
        <v>188</v>
      </c>
      <c r="C153" s="197">
        <f t="shared" si="17"/>
        <v>761421.39</v>
      </c>
      <c r="D153" s="197">
        <f t="shared" si="18"/>
        <v>421559.93</v>
      </c>
      <c r="E153" s="379">
        <f t="shared" si="15"/>
        <v>339861.46</v>
      </c>
      <c r="M153" s="1" t="s">
        <v>6</v>
      </c>
      <c r="N153" s="2">
        <v>2378</v>
      </c>
      <c r="O153" s="379">
        <v>761421.39</v>
      </c>
      <c r="P153" s="379">
        <v>421559.93</v>
      </c>
      <c r="Q153" s="379">
        <f t="shared" si="16"/>
        <v>339861.46</v>
      </c>
    </row>
    <row r="154" spans="1:17">
      <c r="A154" s="1" t="s">
        <v>280</v>
      </c>
      <c r="B154" s="2" t="s">
        <v>188</v>
      </c>
      <c r="C154" s="197">
        <f t="shared" si="17"/>
        <v>137748.35</v>
      </c>
      <c r="D154" s="197">
        <f t="shared" si="18"/>
        <v>62568.61</v>
      </c>
      <c r="E154" s="379">
        <f t="shared" si="15"/>
        <v>75179.740000000005</v>
      </c>
      <c r="M154" s="1" t="s">
        <v>169</v>
      </c>
      <c r="N154" s="2">
        <v>2378</v>
      </c>
      <c r="O154" s="379">
        <v>137748.35</v>
      </c>
      <c r="P154" s="379">
        <v>62568.61</v>
      </c>
      <c r="Q154" s="379">
        <f t="shared" si="16"/>
        <v>75179.740000000005</v>
      </c>
    </row>
    <row r="155" spans="1:17">
      <c r="A155" s="1" t="s">
        <v>274</v>
      </c>
      <c r="B155" s="2" t="s">
        <v>188</v>
      </c>
      <c r="C155" s="197">
        <f t="shared" si="17"/>
        <v>4034.82</v>
      </c>
      <c r="D155" s="197">
        <f t="shared" si="18"/>
        <v>-78082.12</v>
      </c>
      <c r="E155" s="379">
        <f t="shared" si="15"/>
        <v>82116.94</v>
      </c>
      <c r="M155" s="1" t="s">
        <v>170</v>
      </c>
      <c r="N155" s="2">
        <v>2378</v>
      </c>
      <c r="O155" s="379">
        <v>4034.82</v>
      </c>
      <c r="P155" s="379">
        <v>-78082.12</v>
      </c>
      <c r="Q155" s="379">
        <f t="shared" si="16"/>
        <v>82116.94</v>
      </c>
    </row>
    <row r="156" spans="1:17">
      <c r="A156" s="1" t="s">
        <v>301</v>
      </c>
      <c r="B156" s="2" t="s">
        <v>188</v>
      </c>
      <c r="C156" s="197">
        <f t="shared" si="17"/>
        <v>86646.01</v>
      </c>
      <c r="D156" s="197">
        <f t="shared" si="18"/>
        <v>32821.65</v>
      </c>
      <c r="E156" s="379">
        <f t="shared" si="15"/>
        <v>53824.359999999993</v>
      </c>
      <c r="M156" s="1" t="s">
        <v>171</v>
      </c>
      <c r="N156" s="2">
        <v>2378</v>
      </c>
      <c r="O156" s="379">
        <v>86646.01</v>
      </c>
      <c r="P156" s="379">
        <v>32821.65</v>
      </c>
      <c r="Q156" s="379">
        <f t="shared" si="16"/>
        <v>53824.359999999993</v>
      </c>
    </row>
    <row r="157" spans="1:17">
      <c r="A157" s="1" t="s">
        <v>266</v>
      </c>
      <c r="B157" s="2" t="s">
        <v>188</v>
      </c>
      <c r="C157" s="197">
        <f t="shared" si="17"/>
        <v>197070.14</v>
      </c>
      <c r="D157" s="197">
        <f t="shared" si="18"/>
        <v>84733.7</v>
      </c>
      <c r="E157" s="379">
        <f t="shared" si="15"/>
        <v>112336.44000000002</v>
      </c>
      <c r="M157" s="1" t="s">
        <v>172</v>
      </c>
      <c r="N157" s="2">
        <v>2378</v>
      </c>
      <c r="O157" s="379">
        <v>197070.14</v>
      </c>
      <c r="P157" s="379">
        <v>84733.7</v>
      </c>
      <c r="Q157" s="379">
        <f t="shared" si="16"/>
        <v>112336.44000000002</v>
      </c>
    </row>
    <row r="158" spans="1:17">
      <c r="A158" s="1" t="s">
        <v>275</v>
      </c>
      <c r="B158" s="2" t="s">
        <v>188</v>
      </c>
      <c r="C158" s="197">
        <f t="shared" si="17"/>
        <v>278425.65999999997</v>
      </c>
      <c r="D158" s="197">
        <f t="shared" si="18"/>
        <v>59367.86</v>
      </c>
      <c r="E158" s="379">
        <f t="shared" si="15"/>
        <v>219057.8</v>
      </c>
      <c r="M158" s="1" t="s">
        <v>173</v>
      </c>
      <c r="N158" s="2">
        <v>2378</v>
      </c>
      <c r="O158" s="379">
        <v>278425.65999999997</v>
      </c>
      <c r="P158" s="379">
        <v>59367.86</v>
      </c>
      <c r="Q158" s="379">
        <f t="shared" si="16"/>
        <v>219057.8</v>
      </c>
    </row>
    <row r="159" spans="1:17">
      <c r="A159" s="1" t="s">
        <v>276</v>
      </c>
      <c r="B159" s="2" t="s">
        <v>188</v>
      </c>
      <c r="C159" s="197">
        <f t="shared" si="17"/>
        <v>521258.38</v>
      </c>
      <c r="D159" s="197">
        <f t="shared" si="18"/>
        <v>173163.15</v>
      </c>
      <c r="E159" s="379">
        <f t="shared" si="15"/>
        <v>348095.23</v>
      </c>
      <c r="M159" s="1" t="s">
        <v>137</v>
      </c>
      <c r="N159" s="2">
        <v>2378</v>
      </c>
      <c r="O159" s="379">
        <v>521258.38</v>
      </c>
      <c r="P159" s="379">
        <v>173163.15</v>
      </c>
      <c r="Q159" s="379">
        <f t="shared" si="16"/>
        <v>348095.23</v>
      </c>
    </row>
    <row r="160" spans="1:17">
      <c r="A160" s="1" t="s">
        <v>282</v>
      </c>
      <c r="B160" s="2" t="s">
        <v>188</v>
      </c>
      <c r="C160" s="197">
        <f t="shared" si="17"/>
        <v>49506.23</v>
      </c>
      <c r="D160" s="197">
        <f t="shared" si="18"/>
        <v>27422.71</v>
      </c>
      <c r="E160" s="379">
        <f t="shared" si="15"/>
        <v>22083.520000000004</v>
      </c>
      <c r="M160" s="1" t="s">
        <v>7</v>
      </c>
      <c r="N160" s="2">
        <v>2378</v>
      </c>
      <c r="O160" s="379">
        <v>49506.23</v>
      </c>
      <c r="P160" s="379">
        <v>27422.71</v>
      </c>
      <c r="Q160" s="379">
        <f t="shared" si="16"/>
        <v>22083.520000000004</v>
      </c>
    </row>
    <row r="161" spans="1:17">
      <c r="A161" s="1" t="s">
        <v>283</v>
      </c>
      <c r="B161" s="2" t="s">
        <v>188</v>
      </c>
      <c r="C161" s="197">
        <f t="shared" ref="C161:C224" si="19">O161</f>
        <v>308356.36</v>
      </c>
      <c r="D161" s="197">
        <f t="shared" ref="D161:D224" si="20">P161</f>
        <v>35380.75</v>
      </c>
      <c r="E161" s="379">
        <f t="shared" si="15"/>
        <v>272975.61</v>
      </c>
      <c r="M161" s="1" t="s">
        <v>1</v>
      </c>
      <c r="N161" s="2">
        <v>2378</v>
      </c>
      <c r="O161" s="379">
        <v>308356.36</v>
      </c>
      <c r="P161" s="379">
        <v>35380.75</v>
      </c>
      <c r="Q161" s="379">
        <f t="shared" ref="Q161:Q225" si="21">O161-P161</f>
        <v>272975.61</v>
      </c>
    </row>
    <row r="162" spans="1:17">
      <c r="A162" s="1" t="s">
        <v>285</v>
      </c>
      <c r="B162" s="2" t="s">
        <v>188</v>
      </c>
      <c r="C162" s="197">
        <f t="shared" si="19"/>
        <v>56255.62</v>
      </c>
      <c r="D162" s="197">
        <f t="shared" si="20"/>
        <v>7973.66</v>
      </c>
      <c r="E162" s="379">
        <f t="shared" ref="E162:E227" si="22">C162-D162</f>
        <v>48281.960000000006</v>
      </c>
      <c r="M162" s="1" t="s">
        <v>12</v>
      </c>
      <c r="N162" s="2">
        <v>2378</v>
      </c>
      <c r="O162" s="379">
        <v>56255.62</v>
      </c>
      <c r="P162" s="379">
        <v>7973.66</v>
      </c>
      <c r="Q162" s="379">
        <f t="shared" si="21"/>
        <v>48281.960000000006</v>
      </c>
    </row>
    <row r="163" spans="1:17">
      <c r="A163" s="1" t="s">
        <v>269</v>
      </c>
      <c r="B163" s="2" t="s">
        <v>188</v>
      </c>
      <c r="C163" s="197">
        <f t="shared" si="19"/>
        <v>189006.66</v>
      </c>
      <c r="D163" s="197">
        <f t="shared" si="20"/>
        <v>51980.91</v>
      </c>
      <c r="E163" s="379">
        <f t="shared" si="22"/>
        <v>137025.75</v>
      </c>
      <c r="M163" s="1" t="s">
        <v>660</v>
      </c>
      <c r="N163" s="2">
        <v>2378</v>
      </c>
      <c r="O163" s="379">
        <v>189006.66</v>
      </c>
      <c r="P163" s="379">
        <v>51980.91</v>
      </c>
      <c r="Q163" s="379">
        <f t="shared" si="21"/>
        <v>137025.75</v>
      </c>
    </row>
    <row r="164" spans="1:17">
      <c r="A164" s="1" t="s">
        <v>287</v>
      </c>
      <c r="B164" s="2" t="s">
        <v>189</v>
      </c>
      <c r="C164" s="197">
        <f t="shared" si="19"/>
        <v>15819.69</v>
      </c>
      <c r="D164" s="197">
        <f t="shared" si="20"/>
        <v>1868.97</v>
      </c>
      <c r="E164" s="379">
        <f t="shared" si="22"/>
        <v>13950.720000000001</v>
      </c>
      <c r="M164" s="1" t="s">
        <v>649</v>
      </c>
      <c r="N164" s="2">
        <v>2379</v>
      </c>
      <c r="O164" s="379">
        <v>15819.69</v>
      </c>
      <c r="P164" s="379">
        <v>1868.97</v>
      </c>
      <c r="Q164" s="379">
        <f t="shared" si="21"/>
        <v>13950.720000000001</v>
      </c>
    </row>
    <row r="165" spans="1:17">
      <c r="A165" s="1" t="s">
        <v>262</v>
      </c>
      <c r="B165" s="2" t="s">
        <v>189</v>
      </c>
      <c r="C165" s="197">
        <f t="shared" si="19"/>
        <v>1915402.95</v>
      </c>
      <c r="D165" s="197">
        <f t="shared" si="20"/>
        <v>248524.53</v>
      </c>
      <c r="E165" s="379">
        <f t="shared" si="22"/>
        <v>1666878.42</v>
      </c>
      <c r="M165" s="1" t="s">
        <v>141</v>
      </c>
      <c r="N165" s="2">
        <v>2379</v>
      </c>
      <c r="O165" s="379">
        <v>1915402.95</v>
      </c>
      <c r="P165" s="379">
        <v>248524.53</v>
      </c>
      <c r="Q165" s="379">
        <f t="shared" si="21"/>
        <v>1666878.42</v>
      </c>
    </row>
    <row r="166" spans="1:17">
      <c r="A166" s="1" t="s">
        <v>288</v>
      </c>
      <c r="B166" s="2" t="s">
        <v>189</v>
      </c>
      <c r="C166" s="197">
        <f t="shared" si="19"/>
        <v>268144.71999999997</v>
      </c>
      <c r="D166" s="197">
        <f t="shared" si="20"/>
        <v>17320.13</v>
      </c>
      <c r="E166" s="379">
        <f t="shared" si="22"/>
        <v>250824.58999999997</v>
      </c>
      <c r="M166" s="1" t="s">
        <v>142</v>
      </c>
      <c r="N166" s="2">
        <v>2379</v>
      </c>
      <c r="O166" s="379">
        <v>268144.71999999997</v>
      </c>
      <c r="P166" s="379">
        <v>17320.13</v>
      </c>
      <c r="Q166" s="379">
        <f t="shared" si="21"/>
        <v>250824.58999999997</v>
      </c>
    </row>
    <row r="167" spans="1:17">
      <c r="A167" s="28" t="s">
        <v>1159</v>
      </c>
      <c r="B167" s="266" t="s">
        <v>189</v>
      </c>
      <c r="C167" s="197">
        <f t="shared" si="19"/>
        <v>2952795.08</v>
      </c>
      <c r="D167" s="197">
        <f t="shared" si="20"/>
        <v>39018.199999999997</v>
      </c>
      <c r="E167" s="379">
        <f t="shared" si="22"/>
        <v>2913776.88</v>
      </c>
      <c r="M167" s="28" t="s">
        <v>1159</v>
      </c>
      <c r="N167" s="266" t="s">
        <v>189</v>
      </c>
      <c r="O167" s="379">
        <v>2952795.08</v>
      </c>
      <c r="P167" s="379">
        <v>39018.199999999997</v>
      </c>
      <c r="Q167" s="379">
        <f t="shared" si="21"/>
        <v>2913776.88</v>
      </c>
    </row>
    <row r="168" spans="1:17">
      <c r="A168" s="1" t="s">
        <v>267</v>
      </c>
      <c r="B168" s="2" t="s">
        <v>189</v>
      </c>
      <c r="C168" s="197">
        <f t="shared" si="19"/>
        <v>712994.92</v>
      </c>
      <c r="D168" s="197">
        <f t="shared" si="20"/>
        <v>332321.68</v>
      </c>
      <c r="E168" s="379">
        <f t="shared" si="22"/>
        <v>380673.24000000005</v>
      </c>
      <c r="M168" s="1" t="s">
        <v>162</v>
      </c>
      <c r="N168" s="2">
        <v>2379</v>
      </c>
      <c r="O168" s="379">
        <v>712994.92</v>
      </c>
      <c r="P168" s="379">
        <v>332321.68</v>
      </c>
      <c r="Q168" s="379">
        <f t="shared" si="21"/>
        <v>380673.24000000005</v>
      </c>
    </row>
    <row r="169" spans="1:17">
      <c r="A169" s="1" t="s">
        <v>290</v>
      </c>
      <c r="B169" s="2" t="s">
        <v>189</v>
      </c>
      <c r="C169" s="197">
        <f t="shared" si="19"/>
        <v>1843238.51</v>
      </c>
      <c r="D169" s="197">
        <f t="shared" si="20"/>
        <v>120412.38</v>
      </c>
      <c r="E169" s="379">
        <f t="shared" si="22"/>
        <v>1722826.13</v>
      </c>
      <c r="M169" s="1" t="s">
        <v>2</v>
      </c>
      <c r="N169" s="2">
        <v>2379</v>
      </c>
      <c r="O169" s="379">
        <v>1843238.51</v>
      </c>
      <c r="P169" s="379">
        <v>120412.38</v>
      </c>
      <c r="Q169" s="379">
        <f t="shared" si="21"/>
        <v>1722826.13</v>
      </c>
    </row>
    <row r="170" spans="1:17">
      <c r="A170" s="1" t="s">
        <v>263</v>
      </c>
      <c r="B170" s="2" t="s">
        <v>189</v>
      </c>
      <c r="C170" s="197">
        <f t="shared" si="19"/>
        <v>322631.99</v>
      </c>
      <c r="D170" s="197">
        <f t="shared" si="20"/>
        <v>218911.37</v>
      </c>
      <c r="E170" s="379">
        <f t="shared" si="22"/>
        <v>103720.62</v>
      </c>
      <c r="M170" s="1" t="s">
        <v>163</v>
      </c>
      <c r="N170" s="2">
        <v>2379</v>
      </c>
      <c r="O170" s="379">
        <v>322631.99</v>
      </c>
      <c r="P170" s="379">
        <v>218911.37</v>
      </c>
      <c r="Q170" s="379">
        <f t="shared" si="21"/>
        <v>103720.62</v>
      </c>
    </row>
    <row r="171" spans="1:17">
      <c r="A171" s="1" t="s">
        <v>270</v>
      </c>
      <c r="B171" s="2" t="s">
        <v>189</v>
      </c>
      <c r="C171" s="197">
        <f t="shared" si="19"/>
        <v>1464980.06</v>
      </c>
      <c r="D171" s="197">
        <f t="shared" si="20"/>
        <v>381586.3</v>
      </c>
      <c r="E171" s="379">
        <f t="shared" si="22"/>
        <v>1083393.76</v>
      </c>
      <c r="M171" s="1" t="s">
        <v>164</v>
      </c>
      <c r="N171" s="2">
        <v>2379</v>
      </c>
      <c r="O171" s="379">
        <v>1464980.06</v>
      </c>
      <c r="P171" s="379">
        <v>381586.3</v>
      </c>
      <c r="Q171" s="379">
        <f t="shared" si="21"/>
        <v>1083393.76</v>
      </c>
    </row>
    <row r="172" spans="1:17">
      <c r="A172" s="1" t="s">
        <v>294</v>
      </c>
      <c r="B172" s="2" t="s">
        <v>189</v>
      </c>
      <c r="C172" s="197">
        <f t="shared" si="19"/>
        <v>796736.06</v>
      </c>
      <c r="D172" s="197">
        <f t="shared" si="20"/>
        <v>217800.29</v>
      </c>
      <c r="E172" s="379">
        <f t="shared" si="22"/>
        <v>578935.77</v>
      </c>
      <c r="M172" s="1" t="s">
        <v>4</v>
      </c>
      <c r="N172" s="2">
        <v>2379</v>
      </c>
      <c r="O172" s="379">
        <v>796736.06</v>
      </c>
      <c r="P172" s="379">
        <v>217800.29</v>
      </c>
      <c r="Q172" s="379">
        <f t="shared" si="21"/>
        <v>578935.77</v>
      </c>
    </row>
    <row r="173" spans="1:17">
      <c r="A173" s="1" t="s">
        <v>5</v>
      </c>
      <c r="B173" s="2">
        <v>2379</v>
      </c>
      <c r="C173" s="197">
        <f t="shared" si="19"/>
        <v>515205.6</v>
      </c>
      <c r="D173" s="197">
        <f t="shared" si="20"/>
        <v>19962.22</v>
      </c>
      <c r="E173" s="379">
        <f t="shared" si="22"/>
        <v>495243.38</v>
      </c>
      <c r="M173" s="1" t="s">
        <v>5</v>
      </c>
      <c r="N173" s="2">
        <v>2379</v>
      </c>
      <c r="O173" s="379">
        <v>515205.6</v>
      </c>
      <c r="P173" s="379">
        <v>19962.22</v>
      </c>
      <c r="Q173" s="379">
        <f t="shared" si="21"/>
        <v>495243.38</v>
      </c>
    </row>
    <row r="174" spans="1:17">
      <c r="A174" s="1" t="s">
        <v>271</v>
      </c>
      <c r="B174" s="2" t="s">
        <v>189</v>
      </c>
      <c r="C174" s="197">
        <f t="shared" si="19"/>
        <v>41669.83</v>
      </c>
      <c r="D174" s="197">
        <f t="shared" si="20"/>
        <v>-7975.21</v>
      </c>
      <c r="E174" s="379">
        <f t="shared" si="22"/>
        <v>49645.04</v>
      </c>
      <c r="M174" s="1" t="s">
        <v>165</v>
      </c>
      <c r="N174" s="2">
        <v>2379</v>
      </c>
      <c r="O174" s="379">
        <v>41669.83</v>
      </c>
      <c r="P174" s="379">
        <v>-7975.21</v>
      </c>
      <c r="Q174" s="379">
        <f t="shared" si="21"/>
        <v>49645.04</v>
      </c>
    </row>
    <row r="175" spans="1:17">
      <c r="A175" s="1" t="s">
        <v>264</v>
      </c>
      <c r="B175" s="2" t="s">
        <v>189</v>
      </c>
      <c r="C175" s="197">
        <f t="shared" si="19"/>
        <v>5724043.2800000003</v>
      </c>
      <c r="D175" s="197">
        <f t="shared" si="20"/>
        <v>1051210.96</v>
      </c>
      <c r="E175" s="379">
        <f t="shared" si="22"/>
        <v>4672832.32</v>
      </c>
      <c r="M175" s="1" t="s">
        <v>166</v>
      </c>
      <c r="N175" s="2">
        <v>2379</v>
      </c>
      <c r="O175" s="379">
        <v>5724043.2800000003</v>
      </c>
      <c r="P175" s="379">
        <v>1051210.96</v>
      </c>
      <c r="Q175" s="379">
        <f t="shared" si="21"/>
        <v>4672832.32</v>
      </c>
    </row>
    <row r="176" spans="1:17">
      <c r="A176" s="1" t="s">
        <v>296</v>
      </c>
      <c r="B176" s="2" t="s">
        <v>189</v>
      </c>
      <c r="C176" s="197">
        <f t="shared" si="19"/>
        <v>61449.15</v>
      </c>
      <c r="D176" s="197">
        <f t="shared" si="20"/>
        <v>32687</v>
      </c>
      <c r="E176" s="379">
        <f t="shared" si="22"/>
        <v>28762.15</v>
      </c>
      <c r="M176" s="1" t="s">
        <v>8</v>
      </c>
      <c r="N176" s="2">
        <v>2379</v>
      </c>
      <c r="O176" s="379">
        <v>61449.15</v>
      </c>
      <c r="P176" s="379">
        <v>32687</v>
      </c>
      <c r="Q176" s="379">
        <f t="shared" si="21"/>
        <v>28762.15</v>
      </c>
    </row>
    <row r="177" spans="1:17">
      <c r="A177" s="1" t="s">
        <v>268</v>
      </c>
      <c r="B177" s="2" t="s">
        <v>189</v>
      </c>
      <c r="C177" s="197">
        <f t="shared" si="19"/>
        <v>817921.21</v>
      </c>
      <c r="D177" s="197">
        <f t="shared" si="20"/>
        <v>313749.34999999998</v>
      </c>
      <c r="E177" s="379">
        <f t="shared" si="22"/>
        <v>504171.86</v>
      </c>
      <c r="M177" s="1" t="s">
        <v>145</v>
      </c>
      <c r="N177" s="2">
        <v>2379</v>
      </c>
      <c r="O177" s="379">
        <v>817921.21</v>
      </c>
      <c r="P177" s="379">
        <v>313749.34999999998</v>
      </c>
      <c r="Q177" s="379">
        <f t="shared" si="21"/>
        <v>504171.86</v>
      </c>
    </row>
    <row r="178" spans="1:17">
      <c r="A178" s="1" t="s">
        <v>272</v>
      </c>
      <c r="B178" s="2" t="s">
        <v>189</v>
      </c>
      <c r="C178" s="197">
        <f t="shared" si="19"/>
        <v>411469.49</v>
      </c>
      <c r="D178" s="197">
        <f t="shared" si="20"/>
        <v>102111.64</v>
      </c>
      <c r="E178" s="379">
        <f t="shared" si="22"/>
        <v>309357.84999999998</v>
      </c>
      <c r="M178" s="1" t="s">
        <v>9</v>
      </c>
      <c r="N178" s="2">
        <v>2379</v>
      </c>
      <c r="O178" s="379">
        <v>411469.49</v>
      </c>
      <c r="P178" s="379">
        <v>102111.64</v>
      </c>
      <c r="Q178" s="379">
        <f t="shared" si="21"/>
        <v>309357.84999999998</v>
      </c>
    </row>
    <row r="179" spans="1:17">
      <c r="A179" s="1" t="s">
        <v>298</v>
      </c>
      <c r="B179" s="2" t="s">
        <v>189</v>
      </c>
      <c r="C179" s="197">
        <f t="shared" si="19"/>
        <v>23564.93</v>
      </c>
      <c r="D179" s="197">
        <f t="shared" si="20"/>
        <v>301.69</v>
      </c>
      <c r="E179" s="379">
        <f t="shared" si="22"/>
        <v>23263.24</v>
      </c>
      <c r="M179" s="1" t="s">
        <v>147</v>
      </c>
      <c r="N179" s="2">
        <v>2379</v>
      </c>
      <c r="O179" s="379">
        <v>23564.93</v>
      </c>
      <c r="P179" s="379">
        <v>301.69</v>
      </c>
      <c r="Q179" s="379">
        <f t="shared" si="21"/>
        <v>23263.24</v>
      </c>
    </row>
    <row r="180" spans="1:17">
      <c r="A180" s="1" t="s">
        <v>299</v>
      </c>
      <c r="B180" s="2" t="s">
        <v>189</v>
      </c>
      <c r="C180" s="197">
        <f t="shared" si="19"/>
        <v>277460.74</v>
      </c>
      <c r="D180" s="197">
        <f t="shared" si="20"/>
        <v>33874.58</v>
      </c>
      <c r="E180" s="379">
        <f t="shared" si="22"/>
        <v>243586.15999999997</v>
      </c>
      <c r="M180" s="1" t="s">
        <v>148</v>
      </c>
      <c r="N180" s="2">
        <v>2379</v>
      </c>
      <c r="O180" s="379">
        <v>277460.74</v>
      </c>
      <c r="P180" s="379">
        <v>33874.58</v>
      </c>
      <c r="Q180" s="379">
        <f t="shared" si="21"/>
        <v>243586.15999999997</v>
      </c>
    </row>
    <row r="181" spans="1:17">
      <c r="A181" s="1" t="s">
        <v>278</v>
      </c>
      <c r="B181" s="2" t="s">
        <v>189</v>
      </c>
      <c r="C181" s="197">
        <f t="shared" si="19"/>
        <v>2274534.81</v>
      </c>
      <c r="D181" s="197">
        <f t="shared" si="20"/>
        <v>297493.84999999998</v>
      </c>
      <c r="E181" s="379">
        <f t="shared" si="22"/>
        <v>1977040.96</v>
      </c>
      <c r="M181" s="1" t="s">
        <v>167</v>
      </c>
      <c r="N181" s="2">
        <v>2379</v>
      </c>
      <c r="O181" s="379">
        <v>2274534.81</v>
      </c>
      <c r="P181" s="379">
        <v>297493.84999999998</v>
      </c>
      <c r="Q181" s="379">
        <f t="shared" si="21"/>
        <v>1977040.96</v>
      </c>
    </row>
    <row r="182" spans="1:17">
      <c r="A182" s="1" t="s">
        <v>265</v>
      </c>
      <c r="B182" s="2" t="s">
        <v>189</v>
      </c>
      <c r="C182" s="197">
        <f t="shared" si="19"/>
        <v>508677.37</v>
      </c>
      <c r="D182" s="197">
        <f t="shared" si="20"/>
        <v>210174.21</v>
      </c>
      <c r="E182" s="379">
        <f t="shared" si="22"/>
        <v>298503.16000000003</v>
      </c>
      <c r="M182" s="1" t="s">
        <v>168</v>
      </c>
      <c r="N182" s="2">
        <v>2379</v>
      </c>
      <c r="O182" s="379">
        <v>508677.37</v>
      </c>
      <c r="P182" s="379">
        <v>210174.21</v>
      </c>
      <c r="Q182" s="379">
        <f t="shared" si="21"/>
        <v>298503.16000000003</v>
      </c>
    </row>
    <row r="183" spans="1:17">
      <c r="A183" s="1" t="s">
        <v>279</v>
      </c>
      <c r="B183" s="2" t="s">
        <v>189</v>
      </c>
      <c r="C183" s="197">
        <f t="shared" si="19"/>
        <v>1701473.83</v>
      </c>
      <c r="D183" s="197">
        <f t="shared" si="20"/>
        <v>175398.86</v>
      </c>
      <c r="E183" s="379">
        <f t="shared" si="22"/>
        <v>1526074.9700000002</v>
      </c>
      <c r="M183" s="1" t="s">
        <v>10</v>
      </c>
      <c r="N183" s="2">
        <v>2379</v>
      </c>
      <c r="O183" s="379">
        <v>1701473.83</v>
      </c>
      <c r="P183" s="379">
        <v>175398.86</v>
      </c>
      <c r="Q183" s="379">
        <f t="shared" si="21"/>
        <v>1526074.9700000002</v>
      </c>
    </row>
    <row r="184" spans="1:17">
      <c r="A184" s="1" t="s">
        <v>300</v>
      </c>
      <c r="B184" s="2" t="s">
        <v>189</v>
      </c>
      <c r="C184" s="197">
        <f t="shared" si="19"/>
        <v>58346.080000000002</v>
      </c>
      <c r="D184" s="197">
        <f t="shared" si="20"/>
        <v>15322.66</v>
      </c>
      <c r="E184" s="379">
        <f t="shared" si="22"/>
        <v>43023.42</v>
      </c>
      <c r="M184" s="1" t="s">
        <v>11</v>
      </c>
      <c r="N184" s="2">
        <v>2379</v>
      </c>
      <c r="O184" s="379">
        <v>58346.080000000002</v>
      </c>
      <c r="P184" s="379">
        <v>15322.66</v>
      </c>
      <c r="Q184" s="379">
        <f t="shared" si="21"/>
        <v>43023.42</v>
      </c>
    </row>
    <row r="185" spans="1:17">
      <c r="A185" s="1" t="s">
        <v>273</v>
      </c>
      <c r="B185" s="2" t="s">
        <v>189</v>
      </c>
      <c r="C185" s="197">
        <f t="shared" si="19"/>
        <v>1393613.85</v>
      </c>
      <c r="D185" s="197">
        <f t="shared" si="20"/>
        <v>324308.55</v>
      </c>
      <c r="E185" s="379">
        <f t="shared" si="22"/>
        <v>1069305.3</v>
      </c>
      <c r="M185" s="1" t="s">
        <v>6</v>
      </c>
      <c r="N185" s="2">
        <v>2379</v>
      </c>
      <c r="O185" s="379">
        <v>1393613.85</v>
      </c>
      <c r="P185" s="379">
        <v>324308.55</v>
      </c>
      <c r="Q185" s="379">
        <f t="shared" si="21"/>
        <v>1069305.3</v>
      </c>
    </row>
    <row r="186" spans="1:17">
      <c r="A186" s="1" t="s">
        <v>280</v>
      </c>
      <c r="B186" s="2" t="s">
        <v>189</v>
      </c>
      <c r="C186" s="197">
        <f t="shared" si="19"/>
        <v>548205.35</v>
      </c>
      <c r="D186" s="197">
        <f t="shared" si="20"/>
        <v>130043.51</v>
      </c>
      <c r="E186" s="379">
        <f t="shared" si="22"/>
        <v>418161.83999999997</v>
      </c>
      <c r="M186" s="1" t="s">
        <v>169</v>
      </c>
      <c r="N186" s="2">
        <v>2379</v>
      </c>
      <c r="O186" s="379">
        <v>548205.35</v>
      </c>
      <c r="P186" s="379">
        <v>130043.51</v>
      </c>
      <c r="Q186" s="379">
        <f t="shared" si="21"/>
        <v>418161.83999999997</v>
      </c>
    </row>
    <row r="187" spans="1:17">
      <c r="A187" s="1" t="s">
        <v>274</v>
      </c>
      <c r="B187" s="2" t="s">
        <v>189</v>
      </c>
      <c r="C187" s="197">
        <f t="shared" si="19"/>
        <v>230240.46</v>
      </c>
      <c r="D187" s="197">
        <f t="shared" si="20"/>
        <v>119520.95</v>
      </c>
      <c r="E187" s="379">
        <f t="shared" si="22"/>
        <v>110719.51</v>
      </c>
      <c r="M187" s="1" t="s">
        <v>170</v>
      </c>
      <c r="N187" s="2">
        <v>2379</v>
      </c>
      <c r="O187" s="379">
        <v>230240.46</v>
      </c>
      <c r="P187" s="379">
        <v>119520.95</v>
      </c>
      <c r="Q187" s="379">
        <f t="shared" si="21"/>
        <v>110719.51</v>
      </c>
    </row>
    <row r="188" spans="1:17">
      <c r="A188" s="1" t="s">
        <v>301</v>
      </c>
      <c r="B188" s="2" t="s">
        <v>189</v>
      </c>
      <c r="C188" s="197">
        <f t="shared" si="19"/>
        <v>863752.51</v>
      </c>
      <c r="D188" s="197">
        <f t="shared" si="20"/>
        <v>405783.74</v>
      </c>
      <c r="E188" s="379">
        <f t="shared" si="22"/>
        <v>457968.77</v>
      </c>
      <c r="M188" s="1" t="s">
        <v>171</v>
      </c>
      <c r="N188" s="2">
        <v>2379</v>
      </c>
      <c r="O188" s="379">
        <v>863752.51</v>
      </c>
      <c r="P188" s="379">
        <v>405783.74</v>
      </c>
      <c r="Q188" s="379">
        <f t="shared" si="21"/>
        <v>457968.77</v>
      </c>
    </row>
    <row r="189" spans="1:17">
      <c r="A189" s="1" t="s">
        <v>266</v>
      </c>
      <c r="B189" s="2" t="s">
        <v>189</v>
      </c>
      <c r="C189" s="197">
        <f t="shared" si="19"/>
        <v>2232231.96</v>
      </c>
      <c r="D189" s="197">
        <f t="shared" si="20"/>
        <v>151719.51999999999</v>
      </c>
      <c r="E189" s="379">
        <f t="shared" si="22"/>
        <v>2080512.44</v>
      </c>
      <c r="M189" s="1" t="s">
        <v>172</v>
      </c>
      <c r="N189" s="2">
        <v>2379</v>
      </c>
      <c r="O189" s="379">
        <v>2232231.96</v>
      </c>
      <c r="P189" s="379">
        <v>151719.51999999999</v>
      </c>
      <c r="Q189" s="379">
        <f t="shared" si="21"/>
        <v>2080512.44</v>
      </c>
    </row>
    <row r="190" spans="1:17">
      <c r="A190" s="1" t="s">
        <v>275</v>
      </c>
      <c r="B190" s="2" t="s">
        <v>189</v>
      </c>
      <c r="C190" s="197">
        <f t="shared" si="19"/>
        <v>1034597.38</v>
      </c>
      <c r="D190" s="197">
        <f t="shared" si="20"/>
        <v>81638.61</v>
      </c>
      <c r="E190" s="379">
        <f t="shared" si="22"/>
        <v>952958.77</v>
      </c>
      <c r="M190" s="1" t="s">
        <v>173</v>
      </c>
      <c r="N190" s="2">
        <v>2379</v>
      </c>
      <c r="O190" s="379">
        <v>1034597.38</v>
      </c>
      <c r="P190" s="379">
        <v>81638.61</v>
      </c>
      <c r="Q190" s="379">
        <f t="shared" si="21"/>
        <v>952958.77</v>
      </c>
    </row>
    <row r="191" spans="1:17">
      <c r="A191" s="1" t="s">
        <v>281</v>
      </c>
      <c r="B191" s="2" t="s">
        <v>189</v>
      </c>
      <c r="C191" s="197">
        <f t="shared" si="19"/>
        <v>571856.06999999995</v>
      </c>
      <c r="D191" s="197">
        <f t="shared" si="20"/>
        <v>96633.81</v>
      </c>
      <c r="E191" s="379">
        <f t="shared" si="22"/>
        <v>475222.25999999995</v>
      </c>
      <c r="M191" s="1" t="s">
        <v>149</v>
      </c>
      <c r="N191" s="2">
        <v>2379</v>
      </c>
      <c r="O191" s="379">
        <v>571856.06999999995</v>
      </c>
      <c r="P191" s="379">
        <v>96633.81</v>
      </c>
      <c r="Q191" s="379">
        <f t="shared" si="21"/>
        <v>475222.25999999995</v>
      </c>
    </row>
    <row r="192" spans="1:17">
      <c r="A192" s="1" t="s">
        <v>276</v>
      </c>
      <c r="B192" s="2" t="s">
        <v>189</v>
      </c>
      <c r="C192" s="197">
        <f t="shared" si="19"/>
        <v>245478.98</v>
      </c>
      <c r="D192" s="197">
        <f t="shared" si="20"/>
        <v>23811.119999999999</v>
      </c>
      <c r="E192" s="379">
        <f t="shared" si="22"/>
        <v>221667.86000000002</v>
      </c>
      <c r="M192" s="1" t="s">
        <v>137</v>
      </c>
      <c r="N192" s="2">
        <v>2379</v>
      </c>
      <c r="O192" s="379">
        <v>245478.98</v>
      </c>
      <c r="P192" s="379">
        <v>23811.119999999999</v>
      </c>
      <c r="Q192" s="379">
        <f t="shared" si="21"/>
        <v>221667.86000000002</v>
      </c>
    </row>
    <row r="193" spans="1:17">
      <c r="A193" s="1" t="s">
        <v>282</v>
      </c>
      <c r="B193" s="2" t="s">
        <v>189</v>
      </c>
      <c r="C193" s="197">
        <f t="shared" si="19"/>
        <v>79312.25</v>
      </c>
      <c r="D193" s="197">
        <f t="shared" si="20"/>
        <v>53787.67</v>
      </c>
      <c r="E193" s="379">
        <f t="shared" si="22"/>
        <v>25524.58</v>
      </c>
      <c r="M193" s="1" t="s">
        <v>7</v>
      </c>
      <c r="N193" s="2">
        <v>2379</v>
      </c>
      <c r="O193" s="379">
        <v>79312.25</v>
      </c>
      <c r="P193" s="379">
        <v>53787.67</v>
      </c>
      <c r="Q193" s="379">
        <f t="shared" si="21"/>
        <v>25524.58</v>
      </c>
    </row>
    <row r="194" spans="1:17">
      <c r="A194" s="1" t="s">
        <v>284</v>
      </c>
      <c r="B194" s="2" t="s">
        <v>189</v>
      </c>
      <c r="C194" s="197">
        <f t="shared" si="19"/>
        <v>1716171.17</v>
      </c>
      <c r="D194" s="197">
        <f t="shared" si="20"/>
        <v>253862.23</v>
      </c>
      <c r="E194" s="379">
        <f t="shared" si="22"/>
        <v>1462308.94</v>
      </c>
      <c r="M194" s="1" t="s">
        <v>150</v>
      </c>
      <c r="N194" s="2">
        <v>2379</v>
      </c>
      <c r="O194" s="379">
        <v>1716171.17</v>
      </c>
      <c r="P194" s="379">
        <v>253862.23</v>
      </c>
      <c r="Q194" s="379">
        <f t="shared" si="21"/>
        <v>1462308.94</v>
      </c>
    </row>
    <row r="195" spans="1:17">
      <c r="A195" s="1" t="s">
        <v>269</v>
      </c>
      <c r="B195" s="2" t="s">
        <v>189</v>
      </c>
      <c r="C195" s="197">
        <f t="shared" si="19"/>
        <v>48394.5</v>
      </c>
      <c r="D195" s="197">
        <f t="shared" si="20"/>
        <v>22281.06</v>
      </c>
      <c r="E195" s="379">
        <f t="shared" si="22"/>
        <v>26113.439999999999</v>
      </c>
      <c r="M195" s="1" t="s">
        <v>660</v>
      </c>
      <c r="N195" s="2">
        <v>2379</v>
      </c>
      <c r="O195" s="379">
        <v>48394.5</v>
      </c>
      <c r="P195" s="379">
        <v>22281.06</v>
      </c>
      <c r="Q195" s="379">
        <f t="shared" si="21"/>
        <v>26113.439999999999</v>
      </c>
    </row>
    <row r="196" spans="1:17">
      <c r="A196" s="1" t="s">
        <v>262</v>
      </c>
      <c r="B196" s="2" t="s">
        <v>190</v>
      </c>
      <c r="C196" s="197">
        <f t="shared" si="19"/>
        <v>9349290.0199999996</v>
      </c>
      <c r="D196" s="197">
        <f t="shared" si="20"/>
        <v>4276762.16</v>
      </c>
      <c r="E196" s="379">
        <f t="shared" si="22"/>
        <v>5072527.8599999994</v>
      </c>
      <c r="M196" s="1" t="s">
        <v>141</v>
      </c>
      <c r="N196" s="2">
        <v>2380</v>
      </c>
      <c r="O196" s="379">
        <v>9349290.0199999996</v>
      </c>
      <c r="P196" s="379">
        <v>4276762.16</v>
      </c>
      <c r="Q196" s="379">
        <f t="shared" si="21"/>
        <v>5072527.8599999994</v>
      </c>
    </row>
    <row r="197" spans="1:17">
      <c r="A197" s="1" t="s">
        <v>267</v>
      </c>
      <c r="B197" s="2" t="s">
        <v>190</v>
      </c>
      <c r="C197" s="197">
        <f t="shared" si="19"/>
        <v>358731.55</v>
      </c>
      <c r="D197" s="197">
        <f t="shared" si="20"/>
        <v>324741.96999999997</v>
      </c>
      <c r="E197" s="379">
        <f t="shared" si="22"/>
        <v>33989.580000000016</v>
      </c>
      <c r="M197" s="1" t="s">
        <v>162</v>
      </c>
      <c r="N197" s="2">
        <v>2380</v>
      </c>
      <c r="O197" s="379">
        <v>358731.55</v>
      </c>
      <c r="P197" s="379">
        <v>324741.96999999997</v>
      </c>
      <c r="Q197" s="379">
        <f t="shared" si="21"/>
        <v>33989.580000000016</v>
      </c>
    </row>
    <row r="198" spans="1:17">
      <c r="A198" s="1" t="s">
        <v>289</v>
      </c>
      <c r="B198" s="2" t="s">
        <v>190</v>
      </c>
      <c r="C198" s="197">
        <f t="shared" si="19"/>
        <v>81679.570000000007</v>
      </c>
      <c r="D198" s="197">
        <f t="shared" si="20"/>
        <v>54363.65</v>
      </c>
      <c r="E198" s="379">
        <f t="shared" si="22"/>
        <v>27315.920000000006</v>
      </c>
      <c r="M198" s="1" t="s">
        <v>143</v>
      </c>
      <c r="N198" s="2">
        <v>2380</v>
      </c>
      <c r="O198" s="379">
        <v>81679.570000000007</v>
      </c>
      <c r="P198" s="379">
        <v>54363.65</v>
      </c>
      <c r="Q198" s="379">
        <f t="shared" si="21"/>
        <v>27315.920000000006</v>
      </c>
    </row>
    <row r="199" spans="1:17">
      <c r="A199" s="1" t="s">
        <v>290</v>
      </c>
      <c r="B199" s="2" t="s">
        <v>190</v>
      </c>
      <c r="C199" s="197">
        <f t="shared" si="19"/>
        <v>17105.77</v>
      </c>
      <c r="D199" s="197">
        <f t="shared" si="20"/>
        <v>13557.27</v>
      </c>
      <c r="E199" s="379">
        <f t="shared" si="22"/>
        <v>3548.5</v>
      </c>
      <c r="M199" s="1" t="s">
        <v>2</v>
      </c>
      <c r="N199" s="2">
        <v>2380</v>
      </c>
      <c r="O199" s="379">
        <v>17105.77</v>
      </c>
      <c r="P199" s="379">
        <v>13557.27</v>
      </c>
      <c r="Q199" s="379">
        <f t="shared" si="21"/>
        <v>3548.5</v>
      </c>
    </row>
    <row r="200" spans="1:17">
      <c r="A200" s="1" t="s">
        <v>263</v>
      </c>
      <c r="B200" s="2" t="s">
        <v>190</v>
      </c>
      <c r="C200" s="197">
        <f t="shared" si="19"/>
        <v>44874722.75</v>
      </c>
      <c r="D200" s="197">
        <f t="shared" si="20"/>
        <v>30532977.670000002</v>
      </c>
      <c r="E200" s="379">
        <f t="shared" si="22"/>
        <v>14341745.079999998</v>
      </c>
      <c r="M200" s="1" t="s">
        <v>163</v>
      </c>
      <c r="N200" s="2">
        <v>2380</v>
      </c>
      <c r="O200" s="379">
        <v>44874722.75</v>
      </c>
      <c r="P200" s="379">
        <v>30532977.670000002</v>
      </c>
      <c r="Q200" s="379">
        <f t="shared" si="21"/>
        <v>14341745.079999998</v>
      </c>
    </row>
    <row r="201" spans="1:17">
      <c r="A201" s="1" t="s">
        <v>270</v>
      </c>
      <c r="B201" s="2" t="s">
        <v>190</v>
      </c>
      <c r="C201" s="197">
        <f t="shared" si="19"/>
        <v>27215256.309999999</v>
      </c>
      <c r="D201" s="197">
        <f t="shared" si="20"/>
        <v>18354998.16</v>
      </c>
      <c r="E201" s="379">
        <f t="shared" si="22"/>
        <v>8860258.1499999985</v>
      </c>
      <c r="M201" s="1" t="s">
        <v>164</v>
      </c>
      <c r="N201" s="2">
        <v>2380</v>
      </c>
      <c r="O201" s="379">
        <v>27215256.309999999</v>
      </c>
      <c r="P201" s="379">
        <v>18354998.16</v>
      </c>
      <c r="Q201" s="379">
        <f t="shared" si="21"/>
        <v>8860258.1499999985</v>
      </c>
    </row>
    <row r="202" spans="1:17">
      <c r="A202" s="1" t="s">
        <v>271</v>
      </c>
      <c r="B202" s="2" t="s">
        <v>190</v>
      </c>
      <c r="C202" s="197">
        <f t="shared" si="19"/>
        <v>558073.63</v>
      </c>
      <c r="D202" s="197">
        <f t="shared" si="20"/>
        <v>592527.98</v>
      </c>
      <c r="E202" s="379">
        <f t="shared" si="22"/>
        <v>-34454.349999999977</v>
      </c>
      <c r="M202" s="1" t="s">
        <v>165</v>
      </c>
      <c r="N202" s="2">
        <v>2380</v>
      </c>
      <c r="O202" s="379">
        <v>558073.63</v>
      </c>
      <c r="P202" s="379">
        <v>592527.98</v>
      </c>
      <c r="Q202" s="379">
        <f t="shared" si="21"/>
        <v>-34454.349999999977</v>
      </c>
    </row>
    <row r="203" spans="1:17">
      <c r="A203" s="1" t="s">
        <v>264</v>
      </c>
      <c r="B203" s="2" t="s">
        <v>190</v>
      </c>
      <c r="C203" s="197">
        <f t="shared" si="19"/>
        <v>44959630.25</v>
      </c>
      <c r="D203" s="197">
        <f t="shared" si="20"/>
        <v>29696393.559999999</v>
      </c>
      <c r="E203" s="379">
        <f t="shared" si="22"/>
        <v>15263236.690000001</v>
      </c>
      <c r="M203" s="1" t="s">
        <v>166</v>
      </c>
      <c r="N203" s="2">
        <v>2380</v>
      </c>
      <c r="O203" s="379">
        <v>44959630.25</v>
      </c>
      <c r="P203" s="379">
        <v>29696393.559999999</v>
      </c>
      <c r="Q203" s="379">
        <f t="shared" si="21"/>
        <v>15263236.690000001</v>
      </c>
    </row>
    <row r="204" spans="1:17">
      <c r="A204" s="1" t="s">
        <v>268</v>
      </c>
      <c r="B204" s="2" t="s">
        <v>190</v>
      </c>
      <c r="C204" s="197">
        <f t="shared" si="19"/>
        <v>4064919.31</v>
      </c>
      <c r="D204" s="197">
        <f t="shared" si="20"/>
        <v>2643704.58</v>
      </c>
      <c r="E204" s="379">
        <f t="shared" si="22"/>
        <v>1421214.73</v>
      </c>
      <c r="M204" s="1" t="s">
        <v>145</v>
      </c>
      <c r="N204" s="2">
        <v>2380</v>
      </c>
      <c r="O204" s="379">
        <v>4064919.31</v>
      </c>
      <c r="P204" s="379">
        <v>2643704.58</v>
      </c>
      <c r="Q204" s="379">
        <f t="shared" si="21"/>
        <v>1421214.73</v>
      </c>
    </row>
    <row r="205" spans="1:17">
      <c r="A205" s="1" t="s">
        <v>272</v>
      </c>
      <c r="B205" s="2" t="s">
        <v>190</v>
      </c>
      <c r="C205" s="197">
        <f t="shared" si="19"/>
        <v>13870908.109999999</v>
      </c>
      <c r="D205" s="197">
        <f t="shared" si="20"/>
        <v>5537953.4299999997</v>
      </c>
      <c r="E205" s="379">
        <f t="shared" si="22"/>
        <v>8332954.6799999997</v>
      </c>
      <c r="M205" s="1" t="s">
        <v>9</v>
      </c>
      <c r="N205" s="2">
        <v>2380</v>
      </c>
      <c r="O205" s="379">
        <v>13870908.109999999</v>
      </c>
      <c r="P205" s="379">
        <v>5537953.4299999997</v>
      </c>
      <c r="Q205" s="379">
        <f t="shared" si="21"/>
        <v>8332954.6799999997</v>
      </c>
    </row>
    <row r="206" spans="1:17">
      <c r="A206" s="1" t="s">
        <v>278</v>
      </c>
      <c r="B206" s="2" t="s">
        <v>190</v>
      </c>
      <c r="C206" s="197">
        <f t="shared" si="19"/>
        <v>624770.04</v>
      </c>
      <c r="D206" s="197">
        <f t="shared" si="20"/>
        <v>567630.96</v>
      </c>
      <c r="E206" s="379">
        <f t="shared" si="22"/>
        <v>57139.080000000075</v>
      </c>
      <c r="M206" s="1" t="s">
        <v>167</v>
      </c>
      <c r="N206" s="2">
        <v>2380</v>
      </c>
      <c r="O206" s="379">
        <v>624770.04</v>
      </c>
      <c r="P206" s="379">
        <v>567630.96</v>
      </c>
      <c r="Q206" s="379">
        <f t="shared" si="21"/>
        <v>57139.080000000075</v>
      </c>
    </row>
    <row r="207" spans="1:17">
      <c r="A207" s="1" t="s">
        <v>265</v>
      </c>
      <c r="B207" s="2" t="s">
        <v>190</v>
      </c>
      <c r="C207" s="197">
        <f t="shared" si="19"/>
        <v>18597476.280000001</v>
      </c>
      <c r="D207" s="197">
        <f t="shared" si="20"/>
        <v>9485386.5899999999</v>
      </c>
      <c r="E207" s="379">
        <f t="shared" si="22"/>
        <v>9112089.6900000013</v>
      </c>
      <c r="M207" s="1" t="s">
        <v>168</v>
      </c>
      <c r="N207" s="2">
        <v>2380</v>
      </c>
      <c r="O207" s="379">
        <v>18597476.280000001</v>
      </c>
      <c r="P207" s="379">
        <v>9485386.5899999999</v>
      </c>
      <c r="Q207" s="379">
        <f t="shared" si="21"/>
        <v>9112089.6900000013</v>
      </c>
    </row>
    <row r="208" spans="1:17">
      <c r="A208" s="1" t="s">
        <v>273</v>
      </c>
      <c r="B208" s="2" t="s">
        <v>190</v>
      </c>
      <c r="C208" s="197">
        <f t="shared" si="19"/>
        <v>33960486.109999999</v>
      </c>
      <c r="D208" s="197">
        <f t="shared" si="20"/>
        <v>26479487.309999999</v>
      </c>
      <c r="E208" s="379">
        <f t="shared" si="22"/>
        <v>7480998.8000000007</v>
      </c>
      <c r="M208" s="1" t="s">
        <v>6</v>
      </c>
      <c r="N208" s="2">
        <v>2380</v>
      </c>
      <c r="O208" s="379">
        <v>33960486.109999999</v>
      </c>
      <c r="P208" s="379">
        <v>26479487.309999999</v>
      </c>
      <c r="Q208" s="379">
        <f t="shared" si="21"/>
        <v>7480998.8000000007</v>
      </c>
    </row>
    <row r="209" spans="1:17">
      <c r="A209" s="1" t="s">
        <v>280</v>
      </c>
      <c r="B209" s="2" t="s">
        <v>190</v>
      </c>
      <c r="C209" s="197">
        <f t="shared" si="19"/>
        <v>300937.24</v>
      </c>
      <c r="D209" s="197">
        <f t="shared" si="20"/>
        <v>251796</v>
      </c>
      <c r="E209" s="379">
        <f t="shared" si="22"/>
        <v>49141.239999999991</v>
      </c>
      <c r="M209" s="1" t="s">
        <v>169</v>
      </c>
      <c r="N209" s="2">
        <v>2380</v>
      </c>
      <c r="O209" s="379">
        <v>300937.24</v>
      </c>
      <c r="P209" s="379">
        <v>251796</v>
      </c>
      <c r="Q209" s="379">
        <f t="shared" si="21"/>
        <v>49141.239999999991</v>
      </c>
    </row>
    <row r="210" spans="1:17">
      <c r="A210" s="1" t="s">
        <v>274</v>
      </c>
      <c r="B210" s="2" t="s">
        <v>190</v>
      </c>
      <c r="C210" s="197">
        <f t="shared" si="19"/>
        <v>6780180.3499999996</v>
      </c>
      <c r="D210" s="197">
        <f t="shared" si="20"/>
        <v>3775597.7</v>
      </c>
      <c r="E210" s="379">
        <f t="shared" si="22"/>
        <v>3004582.6499999994</v>
      </c>
      <c r="M210" s="1" t="s">
        <v>170</v>
      </c>
      <c r="N210" s="2">
        <v>2380</v>
      </c>
      <c r="O210" s="379">
        <v>6780180.3499999996</v>
      </c>
      <c r="P210" s="379">
        <v>3775597.7</v>
      </c>
      <c r="Q210" s="379">
        <f t="shared" si="21"/>
        <v>3004582.6499999994</v>
      </c>
    </row>
    <row r="211" spans="1:17">
      <c r="A211" s="1" t="s">
        <v>301</v>
      </c>
      <c r="B211" s="2" t="s">
        <v>190</v>
      </c>
      <c r="C211" s="197">
        <f t="shared" si="19"/>
        <v>783872.69</v>
      </c>
      <c r="D211" s="197">
        <f t="shared" si="20"/>
        <v>486116.16</v>
      </c>
      <c r="E211" s="379">
        <f t="shared" si="22"/>
        <v>297756.52999999997</v>
      </c>
      <c r="M211" s="1" t="s">
        <v>171</v>
      </c>
      <c r="N211" s="2">
        <v>2380</v>
      </c>
      <c r="O211" s="379">
        <v>783872.69</v>
      </c>
      <c r="P211" s="379">
        <v>486116.16</v>
      </c>
      <c r="Q211" s="379">
        <f t="shared" si="21"/>
        <v>297756.52999999997</v>
      </c>
    </row>
    <row r="212" spans="1:17">
      <c r="A212" s="1" t="s">
        <v>266</v>
      </c>
      <c r="B212" s="2" t="s">
        <v>190</v>
      </c>
      <c r="C212" s="197">
        <f t="shared" si="19"/>
        <v>18274545.140000001</v>
      </c>
      <c r="D212" s="197">
        <f t="shared" si="20"/>
        <v>11651680.619999999</v>
      </c>
      <c r="E212" s="379">
        <f t="shared" si="22"/>
        <v>6622864.5200000014</v>
      </c>
      <c r="M212" s="1" t="s">
        <v>172</v>
      </c>
      <c r="N212" s="2">
        <v>2380</v>
      </c>
      <c r="O212" s="379">
        <v>18274545.140000001</v>
      </c>
      <c r="P212" s="379">
        <v>11651680.619999999</v>
      </c>
      <c r="Q212" s="379">
        <f t="shared" si="21"/>
        <v>6622864.5200000014</v>
      </c>
    </row>
    <row r="213" spans="1:17">
      <c r="A213" s="1" t="s">
        <v>275</v>
      </c>
      <c r="B213" s="2" t="s">
        <v>190</v>
      </c>
      <c r="C213" s="197">
        <f t="shared" si="19"/>
        <v>5780345.0300000003</v>
      </c>
      <c r="D213" s="197">
        <f t="shared" si="20"/>
        <v>3668622.36</v>
      </c>
      <c r="E213" s="379">
        <f t="shared" si="22"/>
        <v>2111722.6700000004</v>
      </c>
      <c r="M213" s="1" t="s">
        <v>173</v>
      </c>
      <c r="N213" s="2">
        <v>2380</v>
      </c>
      <c r="O213" s="379">
        <v>5780345.0300000003</v>
      </c>
      <c r="P213" s="379">
        <v>3668622.36</v>
      </c>
      <c r="Q213" s="379">
        <f t="shared" si="21"/>
        <v>2111722.6700000004</v>
      </c>
    </row>
    <row r="214" spans="1:17">
      <c r="A214" s="1" t="s">
        <v>276</v>
      </c>
      <c r="B214" s="2" t="s">
        <v>190</v>
      </c>
      <c r="C214" s="197">
        <f t="shared" si="19"/>
        <v>23622513.98</v>
      </c>
      <c r="D214" s="197">
        <f t="shared" si="20"/>
        <v>11784697.560000001</v>
      </c>
      <c r="E214" s="379">
        <f t="shared" si="22"/>
        <v>11837816.42</v>
      </c>
      <c r="M214" s="1" t="s">
        <v>137</v>
      </c>
      <c r="N214" s="2">
        <v>2380</v>
      </c>
      <c r="O214" s="379">
        <v>23622513.98</v>
      </c>
      <c r="P214" s="379">
        <v>11784697.560000001</v>
      </c>
      <c r="Q214" s="379">
        <f t="shared" si="21"/>
        <v>11837816.42</v>
      </c>
    </row>
    <row r="215" spans="1:17">
      <c r="A215" s="1" t="s">
        <v>282</v>
      </c>
      <c r="B215" s="2" t="s">
        <v>190</v>
      </c>
      <c r="C215" s="197">
        <f t="shared" si="19"/>
        <v>160096.31</v>
      </c>
      <c r="D215" s="197">
        <f t="shared" si="20"/>
        <v>129229.52</v>
      </c>
      <c r="E215" s="379">
        <f t="shared" si="22"/>
        <v>30866.789999999994</v>
      </c>
      <c r="M215" s="1" t="s">
        <v>7</v>
      </c>
      <c r="N215" s="2">
        <v>2380</v>
      </c>
      <c r="O215" s="379">
        <v>160096.31</v>
      </c>
      <c r="P215" s="379">
        <v>129229.52</v>
      </c>
      <c r="Q215" s="379">
        <f t="shared" si="21"/>
        <v>30866.789999999994</v>
      </c>
    </row>
    <row r="216" spans="1:17">
      <c r="A216" s="1" t="s">
        <v>269</v>
      </c>
      <c r="B216" s="2" t="s">
        <v>190</v>
      </c>
      <c r="C216" s="197">
        <f t="shared" si="19"/>
        <v>7206260.2699999996</v>
      </c>
      <c r="D216" s="197">
        <f t="shared" si="20"/>
        <v>5071876.9400000004</v>
      </c>
      <c r="E216" s="379">
        <f t="shared" si="22"/>
        <v>2134383.3299999991</v>
      </c>
      <c r="M216" s="1" t="s">
        <v>660</v>
      </c>
      <c r="N216" s="2">
        <v>2380</v>
      </c>
      <c r="O216" s="379">
        <v>7206260.2699999996</v>
      </c>
      <c r="P216" s="379">
        <v>5071876.9400000004</v>
      </c>
      <c r="Q216" s="379">
        <f t="shared" si="21"/>
        <v>2134383.3299999991</v>
      </c>
    </row>
    <row r="217" spans="1:17">
      <c r="A217" s="1" t="s">
        <v>262</v>
      </c>
      <c r="B217" s="2" t="s">
        <v>191</v>
      </c>
      <c r="C217" s="197">
        <f t="shared" si="19"/>
        <v>548927.72</v>
      </c>
      <c r="D217" s="197">
        <f t="shared" si="20"/>
        <v>597747.82999999996</v>
      </c>
      <c r="E217" s="379">
        <f t="shared" si="22"/>
        <v>-48820.109999999986</v>
      </c>
      <c r="M217" s="1" t="s">
        <v>141</v>
      </c>
      <c r="N217" s="2">
        <v>2381</v>
      </c>
      <c r="O217" s="379">
        <v>548927.72</v>
      </c>
      <c r="P217" s="379">
        <v>597747.82999999996</v>
      </c>
      <c r="Q217" s="379">
        <f t="shared" si="21"/>
        <v>-48820.109999999986</v>
      </c>
    </row>
    <row r="218" spans="1:17">
      <c r="A218" s="1" t="s">
        <v>264</v>
      </c>
      <c r="B218" s="2" t="s">
        <v>191</v>
      </c>
      <c r="C218" s="197">
        <f t="shared" si="19"/>
        <v>57839393.549999997</v>
      </c>
      <c r="D218" s="197">
        <f t="shared" si="20"/>
        <v>16209522.02</v>
      </c>
      <c r="E218" s="379">
        <f t="shared" si="22"/>
        <v>41629871.530000001</v>
      </c>
      <c r="M218" s="1" t="s">
        <v>166</v>
      </c>
      <c r="N218" s="2">
        <v>2381</v>
      </c>
      <c r="O218" s="379">
        <v>57839393.549999997</v>
      </c>
      <c r="P218" s="379">
        <v>16209522.02</v>
      </c>
      <c r="Q218" s="379">
        <f t="shared" si="21"/>
        <v>41629871.530000001</v>
      </c>
    </row>
    <row r="219" spans="1:17">
      <c r="A219" s="1" t="s">
        <v>265</v>
      </c>
      <c r="B219" s="2" t="s">
        <v>191</v>
      </c>
      <c r="C219" s="197">
        <f t="shared" si="19"/>
        <v>307882.8</v>
      </c>
      <c r="D219" s="197">
        <f t="shared" si="20"/>
        <v>398706.33</v>
      </c>
      <c r="E219" s="379">
        <f t="shared" si="22"/>
        <v>-90823.530000000028</v>
      </c>
      <c r="M219" s="1" t="s">
        <v>168</v>
      </c>
      <c r="N219" s="2">
        <v>2381</v>
      </c>
      <c r="O219" s="379">
        <v>307882.8</v>
      </c>
      <c r="P219" s="379">
        <v>398706.33</v>
      </c>
      <c r="Q219" s="379">
        <f t="shared" si="21"/>
        <v>-90823.530000000028</v>
      </c>
    </row>
    <row r="220" spans="1:17">
      <c r="A220" s="1" t="s">
        <v>276</v>
      </c>
      <c r="B220" s="2" t="s">
        <v>191</v>
      </c>
      <c r="C220" s="197">
        <f t="shared" si="19"/>
        <v>22700.59</v>
      </c>
      <c r="D220" s="197">
        <f t="shared" si="20"/>
        <v>14254.92</v>
      </c>
      <c r="E220" s="379">
        <f t="shared" si="22"/>
        <v>8445.67</v>
      </c>
      <c r="M220" s="1" t="s">
        <v>137</v>
      </c>
      <c r="N220" s="2">
        <v>2381</v>
      </c>
      <c r="O220" s="379">
        <v>22700.59</v>
      </c>
      <c r="P220" s="379">
        <v>14254.92</v>
      </c>
      <c r="Q220" s="379">
        <f t="shared" si="21"/>
        <v>8445.67</v>
      </c>
    </row>
    <row r="221" spans="1:17">
      <c r="A221" s="1" t="s">
        <v>262</v>
      </c>
      <c r="B221" s="2" t="s">
        <v>192</v>
      </c>
      <c r="C221" s="197">
        <f t="shared" si="19"/>
        <v>1998460.46</v>
      </c>
      <c r="D221" s="197">
        <f t="shared" si="20"/>
        <v>539786.94999999995</v>
      </c>
      <c r="E221" s="379">
        <f t="shared" si="22"/>
        <v>1458673.51</v>
      </c>
      <c r="M221" s="1" t="s">
        <v>141</v>
      </c>
      <c r="N221" s="2">
        <v>2382</v>
      </c>
      <c r="O221" s="379">
        <v>1998460.46</v>
      </c>
      <c r="P221" s="379">
        <v>539786.94999999995</v>
      </c>
      <c r="Q221" s="379">
        <f t="shared" si="21"/>
        <v>1458673.51</v>
      </c>
    </row>
    <row r="222" spans="1:17">
      <c r="A222" s="1" t="s">
        <v>289</v>
      </c>
      <c r="B222" s="2" t="s">
        <v>192</v>
      </c>
      <c r="C222" s="197">
        <f t="shared" si="19"/>
        <v>0</v>
      </c>
      <c r="D222" s="197">
        <f t="shared" si="20"/>
        <v>0</v>
      </c>
      <c r="E222" s="379">
        <f t="shared" si="22"/>
        <v>0</v>
      </c>
      <c r="M222" s="1" t="s">
        <v>143</v>
      </c>
      <c r="N222" s="2">
        <v>2382</v>
      </c>
      <c r="O222" s="379">
        <v>0</v>
      </c>
      <c r="P222" s="379">
        <v>0</v>
      </c>
      <c r="Q222" s="379">
        <f t="shared" si="21"/>
        <v>0</v>
      </c>
    </row>
    <row r="223" spans="1:17">
      <c r="A223" s="1" t="s">
        <v>263</v>
      </c>
      <c r="B223" s="2" t="s">
        <v>192</v>
      </c>
      <c r="C223" s="197">
        <f t="shared" si="19"/>
        <v>5642340.2400000002</v>
      </c>
      <c r="D223" s="197">
        <f t="shared" si="20"/>
        <v>1467332.99</v>
      </c>
      <c r="E223" s="379">
        <f t="shared" si="22"/>
        <v>4175007.25</v>
      </c>
      <c r="M223" s="1" t="s">
        <v>163</v>
      </c>
      <c r="N223" s="2">
        <v>2382</v>
      </c>
      <c r="O223" s="379">
        <v>5642340.2400000002</v>
      </c>
      <c r="P223" s="379">
        <v>1467332.99</v>
      </c>
      <c r="Q223" s="379">
        <f t="shared" si="21"/>
        <v>4175007.25</v>
      </c>
    </row>
    <row r="224" spans="1:17">
      <c r="A224" s="1" t="s">
        <v>270</v>
      </c>
      <c r="B224" s="2" t="s">
        <v>192</v>
      </c>
      <c r="C224" s="197">
        <f t="shared" si="19"/>
        <v>3467645.31</v>
      </c>
      <c r="D224" s="197">
        <f t="shared" si="20"/>
        <v>1036787.9</v>
      </c>
      <c r="E224" s="379">
        <f t="shared" si="22"/>
        <v>2430857.41</v>
      </c>
      <c r="M224" s="1" t="s">
        <v>164</v>
      </c>
      <c r="N224" s="2">
        <v>2382</v>
      </c>
      <c r="O224" s="379">
        <v>3467645.31</v>
      </c>
      <c r="P224" s="379">
        <v>1036787.9</v>
      </c>
      <c r="Q224" s="379">
        <f t="shared" si="21"/>
        <v>2430857.41</v>
      </c>
    </row>
    <row r="225" spans="1:17">
      <c r="A225" s="1" t="s">
        <v>271</v>
      </c>
      <c r="B225" s="2" t="s">
        <v>192</v>
      </c>
      <c r="C225" s="197">
        <f t="shared" ref="C225:C288" si="23">O225</f>
        <v>57848.66</v>
      </c>
      <c r="D225" s="197">
        <f t="shared" ref="D225:D288" si="24">P225</f>
        <v>43122.34</v>
      </c>
      <c r="E225" s="379">
        <f t="shared" si="22"/>
        <v>14726.320000000007</v>
      </c>
      <c r="M225" s="1" t="s">
        <v>165</v>
      </c>
      <c r="N225" s="2">
        <v>2382</v>
      </c>
      <c r="O225" s="379">
        <v>57848.66</v>
      </c>
      <c r="P225" s="379">
        <v>43122.34</v>
      </c>
      <c r="Q225" s="379">
        <f t="shared" si="21"/>
        <v>14726.320000000007</v>
      </c>
    </row>
    <row r="226" spans="1:17">
      <c r="A226" s="1" t="s">
        <v>264</v>
      </c>
      <c r="B226" s="2" t="s">
        <v>192</v>
      </c>
      <c r="C226" s="197">
        <f t="shared" si="23"/>
        <v>9061216.75</v>
      </c>
      <c r="D226" s="197">
        <f t="shared" si="24"/>
        <v>5408954.9199999999</v>
      </c>
      <c r="E226" s="379">
        <f t="shared" si="22"/>
        <v>3652261.83</v>
      </c>
      <c r="M226" s="1" t="s">
        <v>166</v>
      </c>
      <c r="N226" s="2">
        <v>2382</v>
      </c>
      <c r="O226" s="379">
        <v>9061216.75</v>
      </c>
      <c r="P226" s="379">
        <v>5408954.9199999999</v>
      </c>
      <c r="Q226" s="379">
        <f t="shared" ref="Q226:Q289" si="25">O226-P226</f>
        <v>3652261.83</v>
      </c>
    </row>
    <row r="227" spans="1:17">
      <c r="A227" s="1" t="s">
        <v>268</v>
      </c>
      <c r="B227" s="2" t="s">
        <v>192</v>
      </c>
      <c r="C227" s="197">
        <f t="shared" si="23"/>
        <v>607851.9</v>
      </c>
      <c r="D227" s="197">
        <f t="shared" si="24"/>
        <v>316951.78999999998</v>
      </c>
      <c r="E227" s="379">
        <f t="shared" si="22"/>
        <v>290900.11000000004</v>
      </c>
      <c r="M227" s="1" t="s">
        <v>145</v>
      </c>
      <c r="N227" s="2">
        <v>2382</v>
      </c>
      <c r="O227" s="379">
        <v>607851.9</v>
      </c>
      <c r="P227" s="379">
        <v>316951.78999999998</v>
      </c>
      <c r="Q227" s="379">
        <f t="shared" si="25"/>
        <v>290900.11000000004</v>
      </c>
    </row>
    <row r="228" spans="1:17">
      <c r="A228" s="1" t="s">
        <v>272</v>
      </c>
      <c r="B228" s="2" t="s">
        <v>192</v>
      </c>
      <c r="C228" s="197">
        <f t="shared" si="23"/>
        <v>2244885.9300000002</v>
      </c>
      <c r="D228" s="197">
        <f t="shared" si="24"/>
        <v>678414.05</v>
      </c>
      <c r="E228" s="379">
        <f t="shared" ref="E228:E291" si="26">C228-D228</f>
        <v>1566471.8800000001</v>
      </c>
      <c r="M228" s="1" t="s">
        <v>9</v>
      </c>
      <c r="N228" s="2">
        <v>2382</v>
      </c>
      <c r="O228" s="379">
        <v>2244885.9300000002</v>
      </c>
      <c r="P228" s="379">
        <v>678414.05</v>
      </c>
      <c r="Q228" s="379">
        <f t="shared" si="25"/>
        <v>1566471.8800000001</v>
      </c>
    </row>
    <row r="229" spans="1:17">
      <c r="A229" s="1" t="s">
        <v>278</v>
      </c>
      <c r="B229" s="2" t="s">
        <v>192</v>
      </c>
      <c r="C229" s="197">
        <f t="shared" si="23"/>
        <v>7033.79</v>
      </c>
      <c r="D229" s="197">
        <f t="shared" si="24"/>
        <v>7908.08</v>
      </c>
      <c r="E229" s="379">
        <f t="shared" si="26"/>
        <v>-874.29</v>
      </c>
      <c r="M229" s="1" t="s">
        <v>167</v>
      </c>
      <c r="N229" s="2">
        <v>2382</v>
      </c>
      <c r="O229" s="379">
        <v>7033.79</v>
      </c>
      <c r="P229" s="379">
        <v>7908.08</v>
      </c>
      <c r="Q229" s="379">
        <f t="shared" si="25"/>
        <v>-874.29</v>
      </c>
    </row>
    <row r="230" spans="1:17">
      <c r="A230" s="1" t="s">
        <v>265</v>
      </c>
      <c r="B230" s="2" t="s">
        <v>192</v>
      </c>
      <c r="C230" s="197">
        <f t="shared" si="23"/>
        <v>5521585.04</v>
      </c>
      <c r="D230" s="197">
        <f t="shared" si="24"/>
        <v>2237850.02</v>
      </c>
      <c r="E230" s="379">
        <f t="shared" si="26"/>
        <v>3283735.02</v>
      </c>
      <c r="M230" s="1" t="s">
        <v>168</v>
      </c>
      <c r="N230" s="2">
        <v>2382</v>
      </c>
      <c r="O230" s="379">
        <v>5521585.04</v>
      </c>
      <c r="P230" s="379">
        <v>2237850.02</v>
      </c>
      <c r="Q230" s="379">
        <f t="shared" si="25"/>
        <v>3283735.02</v>
      </c>
    </row>
    <row r="231" spans="1:17">
      <c r="A231" s="1" t="s">
        <v>273</v>
      </c>
      <c r="B231" s="2" t="s">
        <v>192</v>
      </c>
      <c r="C231" s="197">
        <f t="shared" si="23"/>
        <v>6530752.0800000001</v>
      </c>
      <c r="D231" s="197">
        <f t="shared" si="24"/>
        <v>4748959.75</v>
      </c>
      <c r="E231" s="379">
        <f t="shared" si="26"/>
        <v>1781792.33</v>
      </c>
      <c r="M231" s="1" t="s">
        <v>6</v>
      </c>
      <c r="N231" s="2">
        <v>2382</v>
      </c>
      <c r="O231" s="379">
        <v>6530752.0800000001</v>
      </c>
      <c r="P231" s="379">
        <v>4748959.75</v>
      </c>
      <c r="Q231" s="379">
        <f t="shared" si="25"/>
        <v>1781792.33</v>
      </c>
    </row>
    <row r="232" spans="1:17">
      <c r="A232" s="1" t="s">
        <v>274</v>
      </c>
      <c r="B232" s="2" t="s">
        <v>192</v>
      </c>
      <c r="C232" s="197">
        <f t="shared" si="23"/>
        <v>1338895.1599999999</v>
      </c>
      <c r="D232" s="197">
        <f t="shared" si="24"/>
        <v>913193.95</v>
      </c>
      <c r="E232" s="379">
        <f t="shared" si="26"/>
        <v>425701.20999999996</v>
      </c>
      <c r="M232" s="1" t="s">
        <v>170</v>
      </c>
      <c r="N232" s="2">
        <v>2382</v>
      </c>
      <c r="O232" s="379">
        <v>1338895.1599999999</v>
      </c>
      <c r="P232" s="379">
        <v>913193.95</v>
      </c>
      <c r="Q232" s="379">
        <f t="shared" si="25"/>
        <v>425701.20999999996</v>
      </c>
    </row>
    <row r="233" spans="1:17">
      <c r="A233" s="1" t="s">
        <v>266</v>
      </c>
      <c r="B233" s="2" t="s">
        <v>192</v>
      </c>
      <c r="C233" s="197">
        <f t="shared" si="23"/>
        <v>2685434.79</v>
      </c>
      <c r="D233" s="197">
        <f t="shared" si="24"/>
        <v>2120051.9</v>
      </c>
      <c r="E233" s="379">
        <f t="shared" si="26"/>
        <v>565382.89000000013</v>
      </c>
      <c r="M233" s="1" t="s">
        <v>172</v>
      </c>
      <c r="N233" s="2">
        <v>2382</v>
      </c>
      <c r="O233" s="379">
        <v>2685434.79</v>
      </c>
      <c r="P233" s="379">
        <v>2120051.9</v>
      </c>
      <c r="Q233" s="379">
        <f t="shared" si="25"/>
        <v>565382.89000000013</v>
      </c>
    </row>
    <row r="234" spans="1:17">
      <c r="A234" s="1" t="s">
        <v>275</v>
      </c>
      <c r="B234" s="2" t="s">
        <v>192</v>
      </c>
      <c r="C234" s="197">
        <f t="shared" si="23"/>
        <v>555135.03</v>
      </c>
      <c r="D234" s="197">
        <f t="shared" si="24"/>
        <v>216939.56</v>
      </c>
      <c r="E234" s="379">
        <f t="shared" si="26"/>
        <v>338195.47000000003</v>
      </c>
      <c r="M234" s="1" t="s">
        <v>173</v>
      </c>
      <c r="N234" s="2">
        <v>2382</v>
      </c>
      <c r="O234" s="379">
        <v>555135.03</v>
      </c>
      <c r="P234" s="379">
        <v>216939.56</v>
      </c>
      <c r="Q234" s="379">
        <f t="shared" si="25"/>
        <v>338195.47000000003</v>
      </c>
    </row>
    <row r="235" spans="1:17">
      <c r="A235" s="1" t="s">
        <v>276</v>
      </c>
      <c r="B235" s="2" t="s">
        <v>192</v>
      </c>
      <c r="C235" s="197">
        <f t="shared" si="23"/>
        <v>4025384.62</v>
      </c>
      <c r="D235" s="197">
        <f t="shared" si="24"/>
        <v>2033115.59</v>
      </c>
      <c r="E235" s="379">
        <f t="shared" si="26"/>
        <v>1992269.03</v>
      </c>
      <c r="M235" s="1" t="s">
        <v>137</v>
      </c>
      <c r="N235" s="2">
        <v>2382</v>
      </c>
      <c r="O235" s="379">
        <v>4025384.62</v>
      </c>
      <c r="P235" s="379">
        <v>2033115.59</v>
      </c>
      <c r="Q235" s="379">
        <f t="shared" si="25"/>
        <v>1992269.03</v>
      </c>
    </row>
    <row r="236" spans="1:17">
      <c r="A236" s="1" t="s">
        <v>282</v>
      </c>
      <c r="B236" s="2" t="s">
        <v>192</v>
      </c>
      <c r="C236" s="197">
        <f t="shared" si="23"/>
        <v>398483.73</v>
      </c>
      <c r="D236" s="197">
        <f t="shared" si="24"/>
        <v>428905.39</v>
      </c>
      <c r="E236" s="379">
        <f t="shared" si="26"/>
        <v>-30421.660000000033</v>
      </c>
      <c r="M236" s="1" t="s">
        <v>7</v>
      </c>
      <c r="N236" s="2">
        <v>2382</v>
      </c>
      <c r="O236" s="379">
        <v>398483.73</v>
      </c>
      <c r="P236" s="379">
        <v>428905.39</v>
      </c>
      <c r="Q236" s="379">
        <f t="shared" si="25"/>
        <v>-30421.660000000033</v>
      </c>
    </row>
    <row r="237" spans="1:17">
      <c r="A237" s="1" t="s">
        <v>283</v>
      </c>
      <c r="B237" s="2" t="s">
        <v>192</v>
      </c>
      <c r="C237" s="197">
        <f t="shared" si="23"/>
        <v>37397.57</v>
      </c>
      <c r="D237" s="197">
        <f t="shared" si="24"/>
        <v>14464.98</v>
      </c>
      <c r="E237" s="379">
        <f t="shared" si="26"/>
        <v>22932.59</v>
      </c>
      <c r="M237" s="1" t="s">
        <v>1</v>
      </c>
      <c r="N237" s="2">
        <v>2382</v>
      </c>
      <c r="O237" s="379">
        <v>37397.57</v>
      </c>
      <c r="P237" s="379">
        <v>14464.98</v>
      </c>
      <c r="Q237" s="379">
        <f t="shared" si="25"/>
        <v>22932.59</v>
      </c>
    </row>
    <row r="238" spans="1:17">
      <c r="A238" s="1" t="s">
        <v>269</v>
      </c>
      <c r="B238" s="2" t="s">
        <v>192</v>
      </c>
      <c r="C238" s="197">
        <f t="shared" si="23"/>
        <v>847194.26</v>
      </c>
      <c r="D238" s="197">
        <f t="shared" si="24"/>
        <v>318790.58</v>
      </c>
      <c r="E238" s="379">
        <f t="shared" si="26"/>
        <v>528403.67999999993</v>
      </c>
      <c r="M238" s="1" t="s">
        <v>660</v>
      </c>
      <c r="N238" s="2">
        <v>2382</v>
      </c>
      <c r="O238" s="379">
        <v>847194.26</v>
      </c>
      <c r="P238" s="379">
        <v>318790.58</v>
      </c>
      <c r="Q238" s="379">
        <f t="shared" si="25"/>
        <v>528403.67999999993</v>
      </c>
    </row>
    <row r="239" spans="1:17">
      <c r="A239" s="1" t="s">
        <v>262</v>
      </c>
      <c r="B239" s="2" t="s">
        <v>193</v>
      </c>
      <c r="C239" s="197">
        <f t="shared" si="23"/>
        <v>1009272.21</v>
      </c>
      <c r="D239" s="197">
        <f t="shared" si="24"/>
        <v>586485.1</v>
      </c>
      <c r="E239" s="379">
        <f t="shared" si="26"/>
        <v>422787.11</v>
      </c>
      <c r="M239" s="1" t="s">
        <v>141</v>
      </c>
      <c r="N239" s="2">
        <v>2383</v>
      </c>
      <c r="O239" s="379">
        <v>1009272.21</v>
      </c>
      <c r="P239" s="379">
        <v>586485.1</v>
      </c>
      <c r="Q239" s="379">
        <f t="shared" si="25"/>
        <v>422787.11</v>
      </c>
    </row>
    <row r="240" spans="1:17">
      <c r="A240" s="1" t="s">
        <v>267</v>
      </c>
      <c r="B240" s="2" t="s">
        <v>193</v>
      </c>
      <c r="C240" s="197">
        <f t="shared" si="23"/>
        <v>515207.66</v>
      </c>
      <c r="D240" s="197">
        <f t="shared" si="24"/>
        <v>27749.91</v>
      </c>
      <c r="E240" s="379">
        <f t="shared" si="26"/>
        <v>487457.75</v>
      </c>
      <c r="M240" s="1" t="s">
        <v>162</v>
      </c>
      <c r="N240" s="2">
        <v>2383</v>
      </c>
      <c r="O240" s="379">
        <v>515207.66</v>
      </c>
      <c r="P240" s="379">
        <v>27749.91</v>
      </c>
      <c r="Q240" s="379">
        <f t="shared" si="25"/>
        <v>487457.75</v>
      </c>
    </row>
    <row r="241" spans="1:17">
      <c r="A241" s="1" t="s">
        <v>289</v>
      </c>
      <c r="B241" s="2" t="s">
        <v>193</v>
      </c>
      <c r="C241" s="197">
        <f t="shared" si="23"/>
        <v>271052.81</v>
      </c>
      <c r="D241" s="197">
        <f t="shared" si="24"/>
        <v>16074.36</v>
      </c>
      <c r="E241" s="379">
        <f t="shared" si="26"/>
        <v>254978.45</v>
      </c>
      <c r="M241" s="1" t="s">
        <v>143</v>
      </c>
      <c r="N241" s="2">
        <v>2383</v>
      </c>
      <c r="O241" s="379">
        <v>271052.81</v>
      </c>
      <c r="P241" s="379">
        <v>16074.36</v>
      </c>
      <c r="Q241" s="379">
        <f t="shared" si="25"/>
        <v>254978.45</v>
      </c>
    </row>
    <row r="242" spans="1:17">
      <c r="A242" s="1" t="s">
        <v>263</v>
      </c>
      <c r="B242" s="2" t="s">
        <v>193</v>
      </c>
      <c r="C242" s="197">
        <f t="shared" si="23"/>
        <v>1473774.74</v>
      </c>
      <c r="D242" s="197">
        <f t="shared" si="24"/>
        <v>382667.58</v>
      </c>
      <c r="E242" s="379">
        <f t="shared" si="26"/>
        <v>1091107.1599999999</v>
      </c>
      <c r="M242" s="1" t="s">
        <v>163</v>
      </c>
      <c r="N242" s="2">
        <v>2383</v>
      </c>
      <c r="O242" s="379">
        <v>1473774.74</v>
      </c>
      <c r="P242" s="379">
        <v>382667.58</v>
      </c>
      <c r="Q242" s="379">
        <f t="shared" si="25"/>
        <v>1091107.1599999999</v>
      </c>
    </row>
    <row r="243" spans="1:17">
      <c r="A243" s="1" t="s">
        <v>270</v>
      </c>
      <c r="B243" s="2" t="s">
        <v>193</v>
      </c>
      <c r="C243" s="197">
        <f t="shared" si="23"/>
        <v>1450886.79</v>
      </c>
      <c r="D243" s="197">
        <f t="shared" si="24"/>
        <v>800744.61</v>
      </c>
      <c r="E243" s="379">
        <f t="shared" si="26"/>
        <v>650142.18000000005</v>
      </c>
      <c r="M243" s="1" t="s">
        <v>164</v>
      </c>
      <c r="N243" s="2">
        <v>2383</v>
      </c>
      <c r="O243" s="379">
        <v>1450886.79</v>
      </c>
      <c r="P243" s="379">
        <v>800744.61</v>
      </c>
      <c r="Q243" s="379">
        <f t="shared" si="25"/>
        <v>650142.18000000005</v>
      </c>
    </row>
    <row r="244" spans="1:17">
      <c r="A244" s="1" t="s">
        <v>271</v>
      </c>
      <c r="B244" s="2" t="s">
        <v>193</v>
      </c>
      <c r="C244" s="197">
        <f t="shared" si="23"/>
        <v>18197.650000000001</v>
      </c>
      <c r="D244" s="197">
        <f t="shared" si="24"/>
        <v>11421.64</v>
      </c>
      <c r="E244" s="379">
        <f t="shared" si="26"/>
        <v>6776.010000000002</v>
      </c>
      <c r="M244" s="1" t="s">
        <v>165</v>
      </c>
      <c r="N244" s="2">
        <v>2383</v>
      </c>
      <c r="O244" s="379">
        <v>18197.650000000001</v>
      </c>
      <c r="P244" s="379">
        <v>11421.64</v>
      </c>
      <c r="Q244" s="379">
        <f t="shared" si="25"/>
        <v>6776.010000000002</v>
      </c>
    </row>
    <row r="245" spans="1:17">
      <c r="A245" s="1" t="s">
        <v>264</v>
      </c>
      <c r="B245" s="2" t="s">
        <v>193</v>
      </c>
      <c r="C245" s="197">
        <f t="shared" si="23"/>
        <v>2310093.84</v>
      </c>
      <c r="D245" s="197">
        <f t="shared" si="24"/>
        <v>781886.04</v>
      </c>
      <c r="E245" s="379">
        <f t="shared" si="26"/>
        <v>1528207.7999999998</v>
      </c>
      <c r="M245" s="1" t="s">
        <v>166</v>
      </c>
      <c r="N245" s="2">
        <v>2383</v>
      </c>
      <c r="O245" s="379">
        <v>2310093.84</v>
      </c>
      <c r="P245" s="379">
        <v>781886.04</v>
      </c>
      <c r="Q245" s="379">
        <f t="shared" si="25"/>
        <v>1528207.7999999998</v>
      </c>
    </row>
    <row r="246" spans="1:17">
      <c r="A246" s="1" t="s">
        <v>268</v>
      </c>
      <c r="B246" s="2" t="s">
        <v>193</v>
      </c>
      <c r="C246" s="197">
        <f t="shared" si="23"/>
        <v>277682.24</v>
      </c>
      <c r="D246" s="197">
        <f t="shared" si="24"/>
        <v>162540.39000000001</v>
      </c>
      <c r="E246" s="379">
        <f t="shared" si="26"/>
        <v>115141.84999999998</v>
      </c>
      <c r="M246" s="1" t="s">
        <v>145</v>
      </c>
      <c r="N246" s="2">
        <v>2383</v>
      </c>
      <c r="O246" s="379">
        <v>277682.24</v>
      </c>
      <c r="P246" s="379">
        <v>162540.39000000001</v>
      </c>
      <c r="Q246" s="379">
        <f t="shared" si="25"/>
        <v>115141.84999999998</v>
      </c>
    </row>
    <row r="247" spans="1:17">
      <c r="A247" s="1" t="s">
        <v>272</v>
      </c>
      <c r="B247" s="2" t="s">
        <v>193</v>
      </c>
      <c r="C247" s="197">
        <f t="shared" si="23"/>
        <v>349142.49</v>
      </c>
      <c r="D247" s="197">
        <f t="shared" si="24"/>
        <v>87975.15</v>
      </c>
      <c r="E247" s="379">
        <f t="shared" si="26"/>
        <v>261167.34</v>
      </c>
      <c r="M247" s="1" t="s">
        <v>9</v>
      </c>
      <c r="N247" s="2">
        <v>2383</v>
      </c>
      <c r="O247" s="379">
        <v>349142.49</v>
      </c>
      <c r="P247" s="379">
        <v>87975.15</v>
      </c>
      <c r="Q247" s="379">
        <f t="shared" si="25"/>
        <v>261167.34</v>
      </c>
    </row>
    <row r="248" spans="1:17">
      <c r="A248" s="1" t="s">
        <v>265</v>
      </c>
      <c r="B248" s="2" t="s">
        <v>193</v>
      </c>
      <c r="C248" s="197">
        <f t="shared" si="23"/>
        <v>766338.11</v>
      </c>
      <c r="D248" s="197">
        <f t="shared" si="24"/>
        <v>468740.37</v>
      </c>
      <c r="E248" s="379">
        <f t="shared" si="26"/>
        <v>297597.74</v>
      </c>
      <c r="M248" s="1" t="s">
        <v>168</v>
      </c>
      <c r="N248" s="2">
        <v>2383</v>
      </c>
      <c r="O248" s="379">
        <v>766338.11</v>
      </c>
      <c r="P248" s="379">
        <v>468740.37</v>
      </c>
      <c r="Q248" s="379">
        <f t="shared" si="25"/>
        <v>297597.74</v>
      </c>
    </row>
    <row r="249" spans="1:17">
      <c r="A249" s="1" t="s">
        <v>273</v>
      </c>
      <c r="B249" s="2" t="s">
        <v>193</v>
      </c>
      <c r="C249" s="197">
        <f t="shared" si="23"/>
        <v>2081566.59</v>
      </c>
      <c r="D249" s="197">
        <f t="shared" si="24"/>
        <v>1059385.1399999999</v>
      </c>
      <c r="E249" s="379">
        <f t="shared" si="26"/>
        <v>1022181.4500000002</v>
      </c>
      <c r="M249" s="1" t="s">
        <v>6</v>
      </c>
      <c r="N249" s="2">
        <v>2383</v>
      </c>
      <c r="O249" s="379">
        <v>2081566.59</v>
      </c>
      <c r="P249" s="379">
        <v>1059385.1399999999</v>
      </c>
      <c r="Q249" s="379">
        <f t="shared" si="25"/>
        <v>1022181.4500000002</v>
      </c>
    </row>
    <row r="250" spans="1:17">
      <c r="A250" s="1" t="s">
        <v>274</v>
      </c>
      <c r="B250" s="2" t="s">
        <v>193</v>
      </c>
      <c r="C250" s="197">
        <f t="shared" si="23"/>
        <v>242459.71</v>
      </c>
      <c r="D250" s="197">
        <f t="shared" si="24"/>
        <v>112426.48</v>
      </c>
      <c r="E250" s="379">
        <f t="shared" si="26"/>
        <v>130033.23</v>
      </c>
      <c r="M250" s="1" t="s">
        <v>170</v>
      </c>
      <c r="N250" s="2">
        <v>2383</v>
      </c>
      <c r="O250" s="379">
        <v>242459.71</v>
      </c>
      <c r="P250" s="379">
        <v>112426.48</v>
      </c>
      <c r="Q250" s="379">
        <f t="shared" si="25"/>
        <v>130033.23</v>
      </c>
    </row>
    <row r="251" spans="1:17">
      <c r="A251" s="1" t="s">
        <v>301</v>
      </c>
      <c r="B251" s="2" t="s">
        <v>193</v>
      </c>
      <c r="C251" s="197">
        <f t="shared" si="23"/>
        <v>8071.4</v>
      </c>
      <c r="D251" s="197">
        <f t="shared" si="24"/>
        <v>4947.5600000000004</v>
      </c>
      <c r="E251" s="379">
        <f t="shared" si="26"/>
        <v>3123.8399999999992</v>
      </c>
      <c r="M251" s="1" t="s">
        <v>171</v>
      </c>
      <c r="N251" s="2">
        <v>2383</v>
      </c>
      <c r="O251" s="379">
        <v>8071.4</v>
      </c>
      <c r="P251" s="379">
        <v>4947.5600000000004</v>
      </c>
      <c r="Q251" s="379">
        <f t="shared" si="25"/>
        <v>3123.8399999999992</v>
      </c>
    </row>
    <row r="252" spans="1:17">
      <c r="A252" s="1" t="s">
        <v>266</v>
      </c>
      <c r="B252" s="2" t="s">
        <v>193</v>
      </c>
      <c r="C252" s="197">
        <f t="shared" si="23"/>
        <v>1045474.93</v>
      </c>
      <c r="D252" s="197">
        <f t="shared" si="24"/>
        <v>632315.28</v>
      </c>
      <c r="E252" s="379">
        <f t="shared" si="26"/>
        <v>413159.65</v>
      </c>
      <c r="M252" s="1" t="s">
        <v>172</v>
      </c>
      <c r="N252" s="2">
        <v>2383</v>
      </c>
      <c r="O252" s="379">
        <v>1045474.93</v>
      </c>
      <c r="P252" s="379">
        <v>632315.28</v>
      </c>
      <c r="Q252" s="379">
        <f t="shared" si="25"/>
        <v>413159.65</v>
      </c>
    </row>
    <row r="253" spans="1:17">
      <c r="A253" s="1" t="s">
        <v>275</v>
      </c>
      <c r="B253" s="2" t="s">
        <v>193</v>
      </c>
      <c r="C253" s="197">
        <f t="shared" si="23"/>
        <v>351884.63</v>
      </c>
      <c r="D253" s="197">
        <f t="shared" si="24"/>
        <v>204708.82</v>
      </c>
      <c r="E253" s="379">
        <f t="shared" si="26"/>
        <v>147175.81</v>
      </c>
      <c r="M253" s="1" t="s">
        <v>173</v>
      </c>
      <c r="N253" s="2">
        <v>2383</v>
      </c>
      <c r="O253" s="379">
        <v>351884.63</v>
      </c>
      <c r="P253" s="379">
        <v>204708.82</v>
      </c>
      <c r="Q253" s="379">
        <f t="shared" si="25"/>
        <v>147175.81</v>
      </c>
    </row>
    <row r="254" spans="1:17">
      <c r="A254" s="1" t="s">
        <v>276</v>
      </c>
      <c r="B254" s="2" t="s">
        <v>193</v>
      </c>
      <c r="C254" s="197">
        <f t="shared" si="23"/>
        <v>648238.15</v>
      </c>
      <c r="D254" s="197">
        <f t="shared" si="24"/>
        <v>269880.86</v>
      </c>
      <c r="E254" s="379">
        <f t="shared" si="26"/>
        <v>378357.29000000004</v>
      </c>
      <c r="M254" s="1" t="s">
        <v>137</v>
      </c>
      <c r="N254" s="2">
        <v>2383</v>
      </c>
      <c r="O254" s="379">
        <v>648238.15</v>
      </c>
      <c r="P254" s="379">
        <v>269880.86</v>
      </c>
      <c r="Q254" s="379">
        <f t="shared" si="25"/>
        <v>378357.29000000004</v>
      </c>
    </row>
    <row r="255" spans="1:17">
      <c r="A255" s="1" t="s">
        <v>283</v>
      </c>
      <c r="B255" s="2" t="s">
        <v>193</v>
      </c>
      <c r="C255" s="197">
        <f t="shared" si="23"/>
        <v>436403.55</v>
      </c>
      <c r="D255" s="197">
        <f t="shared" si="24"/>
        <v>42756.28</v>
      </c>
      <c r="E255" s="379">
        <f t="shared" si="26"/>
        <v>393647.27</v>
      </c>
      <c r="M255" s="1" t="s">
        <v>1</v>
      </c>
      <c r="N255" s="2">
        <v>2383</v>
      </c>
      <c r="O255" s="379">
        <v>436403.55</v>
      </c>
      <c r="P255" s="379">
        <v>42756.28</v>
      </c>
      <c r="Q255" s="379">
        <f t="shared" si="25"/>
        <v>393647.27</v>
      </c>
    </row>
    <row r="256" spans="1:17">
      <c r="A256" s="1" t="s">
        <v>269</v>
      </c>
      <c r="B256" s="2" t="s">
        <v>193</v>
      </c>
      <c r="C256" s="197">
        <f t="shared" si="23"/>
        <v>307206.08</v>
      </c>
      <c r="D256" s="197">
        <f t="shared" si="24"/>
        <v>-37326.28</v>
      </c>
      <c r="E256" s="379">
        <f t="shared" si="26"/>
        <v>344532.36</v>
      </c>
      <c r="M256" s="1" t="s">
        <v>660</v>
      </c>
      <c r="N256" s="2">
        <v>2383</v>
      </c>
      <c r="O256" s="379">
        <v>307206.08</v>
      </c>
      <c r="P256" s="379">
        <v>-37326.28</v>
      </c>
      <c r="Q256" s="379">
        <f t="shared" si="25"/>
        <v>344532.36</v>
      </c>
    </row>
    <row r="257" spans="1:17">
      <c r="A257" s="1" t="s">
        <v>262</v>
      </c>
      <c r="B257" s="2" t="s">
        <v>194</v>
      </c>
      <c r="C257" s="197">
        <f t="shared" si="23"/>
        <v>1027622.72</v>
      </c>
      <c r="D257" s="197">
        <f t="shared" si="24"/>
        <v>432951.27</v>
      </c>
      <c r="E257" s="379">
        <f t="shared" si="26"/>
        <v>594671.44999999995</v>
      </c>
      <c r="M257" s="1" t="s">
        <v>141</v>
      </c>
      <c r="N257" s="2">
        <v>2384</v>
      </c>
      <c r="O257" s="379">
        <v>1027622.72</v>
      </c>
      <c r="P257" s="379">
        <v>432951.27</v>
      </c>
      <c r="Q257" s="379">
        <f t="shared" si="25"/>
        <v>594671.44999999995</v>
      </c>
    </row>
    <row r="258" spans="1:17">
      <c r="A258" s="1" t="s">
        <v>267</v>
      </c>
      <c r="B258" s="2" t="s">
        <v>194</v>
      </c>
      <c r="C258" s="197">
        <f t="shared" si="23"/>
        <v>6744.07</v>
      </c>
      <c r="D258" s="197">
        <f t="shared" si="24"/>
        <v>2325.04</v>
      </c>
      <c r="E258" s="379">
        <f t="shared" si="26"/>
        <v>4419.03</v>
      </c>
      <c r="M258" s="1" t="s">
        <v>162</v>
      </c>
      <c r="N258" s="2">
        <v>2384</v>
      </c>
      <c r="O258" s="379">
        <v>6744.07</v>
      </c>
      <c r="P258" s="379">
        <v>2325.04</v>
      </c>
      <c r="Q258" s="379">
        <f t="shared" si="25"/>
        <v>4419.03</v>
      </c>
    </row>
    <row r="259" spans="1:17">
      <c r="A259" s="1" t="s">
        <v>289</v>
      </c>
      <c r="B259" s="2" t="s">
        <v>194</v>
      </c>
      <c r="C259" s="197">
        <f t="shared" si="23"/>
        <v>0</v>
      </c>
      <c r="D259" s="197">
        <f t="shared" si="24"/>
        <v>0</v>
      </c>
      <c r="E259" s="379">
        <f t="shared" si="26"/>
        <v>0</v>
      </c>
      <c r="M259" s="1" t="s">
        <v>143</v>
      </c>
      <c r="N259" s="2">
        <v>2384</v>
      </c>
      <c r="O259" s="379">
        <v>0</v>
      </c>
      <c r="P259" s="379">
        <v>0</v>
      </c>
      <c r="Q259" s="379">
        <f t="shared" si="25"/>
        <v>0</v>
      </c>
    </row>
    <row r="260" spans="1:17">
      <c r="A260" s="1" t="s">
        <v>263</v>
      </c>
      <c r="B260" s="2" t="s">
        <v>194</v>
      </c>
      <c r="C260" s="197">
        <f t="shared" si="23"/>
        <v>2348350.2999999998</v>
      </c>
      <c r="D260" s="197">
        <f t="shared" si="24"/>
        <v>640621.55000000005</v>
      </c>
      <c r="E260" s="379">
        <f t="shared" si="26"/>
        <v>1707728.7499999998</v>
      </c>
      <c r="M260" s="1" t="s">
        <v>163</v>
      </c>
      <c r="N260" s="2">
        <v>2384</v>
      </c>
      <c r="O260" s="379">
        <v>2348350.2999999998</v>
      </c>
      <c r="P260" s="379">
        <v>640621.55000000005</v>
      </c>
      <c r="Q260" s="379">
        <f t="shared" si="25"/>
        <v>1707728.7499999998</v>
      </c>
    </row>
    <row r="261" spans="1:17">
      <c r="A261" s="1" t="s">
        <v>270</v>
      </c>
      <c r="B261" s="2" t="s">
        <v>194</v>
      </c>
      <c r="C261" s="197">
        <f t="shared" si="23"/>
        <v>1491838.19</v>
      </c>
      <c r="D261" s="197">
        <f t="shared" si="24"/>
        <v>548063.09</v>
      </c>
      <c r="E261" s="379">
        <f t="shared" si="26"/>
        <v>943775.1</v>
      </c>
      <c r="M261" s="1" t="s">
        <v>164</v>
      </c>
      <c r="N261" s="2">
        <v>2384</v>
      </c>
      <c r="O261" s="379">
        <v>1491838.19</v>
      </c>
      <c r="P261" s="379">
        <v>548063.09</v>
      </c>
      <c r="Q261" s="379">
        <f t="shared" si="25"/>
        <v>943775.1</v>
      </c>
    </row>
    <row r="262" spans="1:17">
      <c r="A262" s="1" t="s">
        <v>271</v>
      </c>
      <c r="B262" s="2" t="s">
        <v>194</v>
      </c>
      <c r="C262" s="197">
        <f t="shared" si="23"/>
        <v>20187.18</v>
      </c>
      <c r="D262" s="197">
        <f t="shared" si="24"/>
        <v>13353.66</v>
      </c>
      <c r="E262" s="379">
        <f t="shared" si="26"/>
        <v>6833.52</v>
      </c>
      <c r="M262" s="1" t="s">
        <v>165</v>
      </c>
      <c r="N262" s="2">
        <v>2384</v>
      </c>
      <c r="O262" s="379">
        <v>20187.18</v>
      </c>
      <c r="P262" s="379">
        <v>13353.66</v>
      </c>
      <c r="Q262" s="379">
        <f t="shared" si="25"/>
        <v>6833.52</v>
      </c>
    </row>
    <row r="263" spans="1:17">
      <c r="A263" s="1" t="s">
        <v>264</v>
      </c>
      <c r="B263" s="2" t="s">
        <v>194</v>
      </c>
      <c r="C263" s="197">
        <f t="shared" si="23"/>
        <v>3550742.48</v>
      </c>
      <c r="D263" s="197">
        <f t="shared" si="24"/>
        <v>2148813.2599999998</v>
      </c>
      <c r="E263" s="379">
        <f t="shared" si="26"/>
        <v>1401929.2200000002</v>
      </c>
      <c r="M263" s="1" t="s">
        <v>166</v>
      </c>
      <c r="N263" s="2">
        <v>2384</v>
      </c>
      <c r="O263" s="379">
        <v>3550742.48</v>
      </c>
      <c r="P263" s="379">
        <v>2148813.2599999998</v>
      </c>
      <c r="Q263" s="379">
        <f t="shared" si="25"/>
        <v>1401929.2200000002</v>
      </c>
    </row>
    <row r="264" spans="1:17">
      <c r="A264" s="1" t="s">
        <v>268</v>
      </c>
      <c r="B264" s="2" t="s">
        <v>194</v>
      </c>
      <c r="C264" s="197">
        <f t="shared" si="23"/>
        <v>274034.49</v>
      </c>
      <c r="D264" s="197">
        <f t="shared" si="24"/>
        <v>134427.9</v>
      </c>
      <c r="E264" s="379">
        <f t="shared" si="26"/>
        <v>139606.59</v>
      </c>
      <c r="M264" s="1" t="s">
        <v>145</v>
      </c>
      <c r="N264" s="2">
        <v>2384</v>
      </c>
      <c r="O264" s="379">
        <v>274034.49</v>
      </c>
      <c r="P264" s="379">
        <v>134427.9</v>
      </c>
      <c r="Q264" s="379">
        <f t="shared" si="25"/>
        <v>139606.59</v>
      </c>
    </row>
    <row r="265" spans="1:17">
      <c r="A265" s="1" t="s">
        <v>272</v>
      </c>
      <c r="B265" s="2" t="s">
        <v>194</v>
      </c>
      <c r="C265" s="197">
        <f t="shared" si="23"/>
        <v>1040798.62</v>
      </c>
      <c r="D265" s="197">
        <f t="shared" si="24"/>
        <v>265425.02</v>
      </c>
      <c r="E265" s="379">
        <f t="shared" si="26"/>
        <v>775373.6</v>
      </c>
      <c r="M265" s="1" t="s">
        <v>9</v>
      </c>
      <c r="N265" s="2">
        <v>2384</v>
      </c>
      <c r="O265" s="379">
        <v>1040798.62</v>
      </c>
      <c r="P265" s="379">
        <v>265425.02</v>
      </c>
      <c r="Q265" s="379">
        <f t="shared" si="25"/>
        <v>775373.6</v>
      </c>
    </row>
    <row r="266" spans="1:17">
      <c r="A266" s="1" t="s">
        <v>278</v>
      </c>
      <c r="B266" s="2" t="s">
        <v>194</v>
      </c>
      <c r="C266" s="197">
        <f t="shared" si="23"/>
        <v>16806.03</v>
      </c>
      <c r="D266" s="197">
        <f t="shared" si="24"/>
        <v>18761.73</v>
      </c>
      <c r="E266" s="379">
        <f t="shared" si="26"/>
        <v>-1955.7000000000007</v>
      </c>
      <c r="M266" s="1" t="s">
        <v>167</v>
      </c>
      <c r="N266" s="2">
        <v>2384</v>
      </c>
      <c r="O266" s="379">
        <v>16806.03</v>
      </c>
      <c r="P266" s="379">
        <v>18761.73</v>
      </c>
      <c r="Q266" s="379">
        <f t="shared" si="25"/>
        <v>-1955.7000000000007</v>
      </c>
    </row>
    <row r="267" spans="1:17">
      <c r="A267" s="1" t="s">
        <v>265</v>
      </c>
      <c r="B267" s="2" t="s">
        <v>194</v>
      </c>
      <c r="C267" s="197">
        <f t="shared" si="23"/>
        <v>2384201.14</v>
      </c>
      <c r="D267" s="197">
        <f t="shared" si="24"/>
        <v>1023770.72</v>
      </c>
      <c r="E267" s="379">
        <f t="shared" si="26"/>
        <v>1360430.4200000002</v>
      </c>
      <c r="M267" s="1" t="s">
        <v>168</v>
      </c>
      <c r="N267" s="2">
        <v>2384</v>
      </c>
      <c r="O267" s="379">
        <v>2384201.14</v>
      </c>
      <c r="P267" s="379">
        <v>1023770.72</v>
      </c>
      <c r="Q267" s="379">
        <f t="shared" si="25"/>
        <v>1360430.4200000002</v>
      </c>
    </row>
    <row r="268" spans="1:17">
      <c r="A268" s="1" t="s">
        <v>273</v>
      </c>
      <c r="B268" s="2" t="s">
        <v>194</v>
      </c>
      <c r="C268" s="197">
        <f t="shared" si="23"/>
        <v>2513815.39</v>
      </c>
      <c r="D268" s="197">
        <f t="shared" si="24"/>
        <v>1262303.7</v>
      </c>
      <c r="E268" s="379">
        <f t="shared" si="26"/>
        <v>1251511.6900000002</v>
      </c>
      <c r="M268" s="1" t="s">
        <v>6</v>
      </c>
      <c r="N268" s="2">
        <v>2384</v>
      </c>
      <c r="O268" s="379">
        <v>2513815.39</v>
      </c>
      <c r="P268" s="379">
        <v>1262303.7</v>
      </c>
      <c r="Q268" s="379">
        <f t="shared" si="25"/>
        <v>1251511.6900000002</v>
      </c>
    </row>
    <row r="269" spans="1:17">
      <c r="A269" s="1" t="s">
        <v>280</v>
      </c>
      <c r="B269" s="2" t="s">
        <v>194</v>
      </c>
      <c r="C269" s="197">
        <f t="shared" si="23"/>
        <v>53188.84</v>
      </c>
      <c r="D269" s="197">
        <f t="shared" si="24"/>
        <v>35830.239999999998</v>
      </c>
      <c r="E269" s="379">
        <f t="shared" si="26"/>
        <v>17358.599999999999</v>
      </c>
      <c r="M269" s="1" t="s">
        <v>169</v>
      </c>
      <c r="N269" s="2">
        <v>2384</v>
      </c>
      <c r="O269" s="379">
        <v>53188.84</v>
      </c>
      <c r="P269" s="379">
        <v>35830.239999999998</v>
      </c>
      <c r="Q269" s="379">
        <f t="shared" si="25"/>
        <v>17358.599999999999</v>
      </c>
    </row>
    <row r="270" spans="1:17">
      <c r="A270" s="1" t="s">
        <v>274</v>
      </c>
      <c r="B270" s="2" t="s">
        <v>194</v>
      </c>
      <c r="C270" s="197">
        <f t="shared" si="23"/>
        <v>508507.51</v>
      </c>
      <c r="D270" s="197">
        <f t="shared" si="24"/>
        <v>340112.97</v>
      </c>
      <c r="E270" s="379">
        <f t="shared" si="26"/>
        <v>168394.54000000004</v>
      </c>
      <c r="M270" s="1" t="s">
        <v>170</v>
      </c>
      <c r="N270" s="2">
        <v>2384</v>
      </c>
      <c r="O270" s="379">
        <v>508507.51</v>
      </c>
      <c r="P270" s="379">
        <v>340112.97</v>
      </c>
      <c r="Q270" s="379">
        <f t="shared" si="25"/>
        <v>168394.54000000004</v>
      </c>
    </row>
    <row r="271" spans="1:17">
      <c r="A271" s="1" t="s">
        <v>301</v>
      </c>
      <c r="B271" s="2" t="s">
        <v>194</v>
      </c>
      <c r="C271" s="197">
        <f t="shared" si="23"/>
        <v>89528.960000000006</v>
      </c>
      <c r="D271" s="197">
        <f t="shared" si="24"/>
        <v>58749.02</v>
      </c>
      <c r="E271" s="379">
        <f t="shared" si="26"/>
        <v>30779.94000000001</v>
      </c>
      <c r="M271" s="1" t="s">
        <v>171</v>
      </c>
      <c r="N271" s="2">
        <v>2384</v>
      </c>
      <c r="O271" s="379">
        <v>89528.960000000006</v>
      </c>
      <c r="P271" s="379">
        <v>58749.02</v>
      </c>
      <c r="Q271" s="379">
        <f t="shared" si="25"/>
        <v>30779.94000000001</v>
      </c>
    </row>
    <row r="272" spans="1:17">
      <c r="A272" s="1" t="s">
        <v>266</v>
      </c>
      <c r="B272" s="2" t="s">
        <v>194</v>
      </c>
      <c r="C272" s="197">
        <f t="shared" si="23"/>
        <v>808663.49</v>
      </c>
      <c r="D272" s="197">
        <f t="shared" si="24"/>
        <v>475231.71</v>
      </c>
      <c r="E272" s="379">
        <f t="shared" si="26"/>
        <v>333431.77999999997</v>
      </c>
      <c r="M272" s="1" t="s">
        <v>172</v>
      </c>
      <c r="N272" s="2">
        <v>2384</v>
      </c>
      <c r="O272" s="379">
        <v>808663.49</v>
      </c>
      <c r="P272" s="379">
        <v>475231.71</v>
      </c>
      <c r="Q272" s="379">
        <f t="shared" si="25"/>
        <v>333431.77999999997</v>
      </c>
    </row>
    <row r="273" spans="1:17">
      <c r="A273" s="1" t="s">
        <v>275</v>
      </c>
      <c r="B273" s="2" t="s">
        <v>194</v>
      </c>
      <c r="C273" s="197">
        <f t="shared" si="23"/>
        <v>227869.08</v>
      </c>
      <c r="D273" s="197">
        <f t="shared" si="24"/>
        <v>126105.95</v>
      </c>
      <c r="E273" s="379">
        <f t="shared" si="26"/>
        <v>101763.12999999999</v>
      </c>
      <c r="M273" s="1" t="s">
        <v>173</v>
      </c>
      <c r="N273" s="2">
        <v>2384</v>
      </c>
      <c r="O273" s="379">
        <v>227869.08</v>
      </c>
      <c r="P273" s="379">
        <v>126105.95</v>
      </c>
      <c r="Q273" s="379">
        <f t="shared" si="25"/>
        <v>101763.12999999999</v>
      </c>
    </row>
    <row r="274" spans="1:17">
      <c r="A274" s="1" t="s">
        <v>276</v>
      </c>
      <c r="B274" s="2" t="s">
        <v>194</v>
      </c>
      <c r="C274" s="197">
        <f t="shared" si="23"/>
        <v>1744054.04</v>
      </c>
      <c r="D274" s="197">
        <f t="shared" si="24"/>
        <v>924498.41</v>
      </c>
      <c r="E274" s="379">
        <f t="shared" si="26"/>
        <v>819555.63</v>
      </c>
      <c r="M274" s="1" t="s">
        <v>137</v>
      </c>
      <c r="N274" s="2">
        <v>2384</v>
      </c>
      <c r="O274" s="379">
        <v>1744054.04</v>
      </c>
      <c r="P274" s="379">
        <v>924498.41</v>
      </c>
      <c r="Q274" s="379">
        <f t="shared" si="25"/>
        <v>819555.63</v>
      </c>
    </row>
    <row r="275" spans="1:17">
      <c r="A275" s="1" t="s">
        <v>282</v>
      </c>
      <c r="B275" s="2" t="s">
        <v>194</v>
      </c>
      <c r="C275" s="197">
        <f t="shared" si="23"/>
        <v>14248.56</v>
      </c>
      <c r="D275" s="197">
        <f t="shared" si="24"/>
        <v>8996.82</v>
      </c>
      <c r="E275" s="379">
        <f t="shared" si="26"/>
        <v>5251.74</v>
      </c>
      <c r="M275" s="1" t="s">
        <v>7</v>
      </c>
      <c r="N275" s="2">
        <v>2384</v>
      </c>
      <c r="O275" s="379">
        <v>14248.56</v>
      </c>
      <c r="P275" s="379">
        <v>8996.82</v>
      </c>
      <c r="Q275" s="379">
        <f t="shared" si="25"/>
        <v>5251.74</v>
      </c>
    </row>
    <row r="276" spans="1:17">
      <c r="A276" s="1" t="s">
        <v>283</v>
      </c>
      <c r="B276" s="2" t="s">
        <v>194</v>
      </c>
      <c r="C276" s="197">
        <f t="shared" si="23"/>
        <v>12465.85</v>
      </c>
      <c r="D276" s="197">
        <f t="shared" si="24"/>
        <v>8441.75</v>
      </c>
      <c r="E276" s="379">
        <f t="shared" si="26"/>
        <v>4024.1000000000004</v>
      </c>
      <c r="M276" s="1" t="s">
        <v>1</v>
      </c>
      <c r="N276" s="2">
        <v>2384</v>
      </c>
      <c r="O276" s="379">
        <v>12465.85</v>
      </c>
      <c r="P276" s="379">
        <v>8441.75</v>
      </c>
      <c r="Q276" s="379">
        <f t="shared" si="25"/>
        <v>4024.1000000000004</v>
      </c>
    </row>
    <row r="277" spans="1:17">
      <c r="A277" s="1" t="s">
        <v>269</v>
      </c>
      <c r="B277" s="2" t="s">
        <v>194</v>
      </c>
      <c r="C277" s="197">
        <f t="shared" si="23"/>
        <v>335358.96999999997</v>
      </c>
      <c r="D277" s="197">
        <f t="shared" si="24"/>
        <v>161979.94</v>
      </c>
      <c r="E277" s="379">
        <f t="shared" si="26"/>
        <v>173379.02999999997</v>
      </c>
      <c r="M277" s="1" t="s">
        <v>660</v>
      </c>
      <c r="N277" s="2">
        <v>2384</v>
      </c>
      <c r="O277" s="379">
        <v>335358.96999999997</v>
      </c>
      <c r="P277" s="379">
        <v>161979.94</v>
      </c>
      <c r="Q277" s="379">
        <f t="shared" si="25"/>
        <v>173379.02999999997</v>
      </c>
    </row>
    <row r="278" spans="1:17">
      <c r="A278" s="1" t="s">
        <v>262</v>
      </c>
      <c r="B278" s="2" t="s">
        <v>195</v>
      </c>
      <c r="C278" s="197">
        <f t="shared" si="23"/>
        <v>70739.13</v>
      </c>
      <c r="D278" s="197">
        <f t="shared" si="24"/>
        <v>9088.91</v>
      </c>
      <c r="E278" s="379">
        <f t="shared" si="26"/>
        <v>61650.22</v>
      </c>
      <c r="M278" s="1" t="s">
        <v>141</v>
      </c>
      <c r="N278" s="2">
        <v>2385</v>
      </c>
      <c r="O278" s="379">
        <v>70739.13</v>
      </c>
      <c r="P278" s="379">
        <v>9088.91</v>
      </c>
      <c r="Q278" s="379">
        <f t="shared" si="25"/>
        <v>61650.22</v>
      </c>
    </row>
    <row r="279" spans="1:17">
      <c r="A279" s="1" t="s">
        <v>267</v>
      </c>
      <c r="B279" s="2" t="s">
        <v>195</v>
      </c>
      <c r="C279" s="197">
        <f t="shared" si="23"/>
        <v>50285.87</v>
      </c>
      <c r="D279" s="197">
        <f t="shared" si="24"/>
        <v>36488.43</v>
      </c>
      <c r="E279" s="379">
        <f t="shared" si="26"/>
        <v>13797.440000000002</v>
      </c>
      <c r="M279" s="1" t="s">
        <v>162</v>
      </c>
      <c r="N279" s="2">
        <v>2385</v>
      </c>
      <c r="O279" s="379">
        <v>50285.87</v>
      </c>
      <c r="P279" s="379">
        <v>36488.43</v>
      </c>
      <c r="Q279" s="379">
        <f t="shared" si="25"/>
        <v>13797.440000000002</v>
      </c>
    </row>
    <row r="280" spans="1:17">
      <c r="A280" s="1" t="s">
        <v>290</v>
      </c>
      <c r="B280" s="2" t="s">
        <v>195</v>
      </c>
      <c r="C280" s="197">
        <f t="shared" si="23"/>
        <v>2274.65</v>
      </c>
      <c r="D280" s="197">
        <f t="shared" si="24"/>
        <v>1250.23</v>
      </c>
      <c r="E280" s="379">
        <f t="shared" si="26"/>
        <v>1024.42</v>
      </c>
      <c r="M280" s="1" t="s">
        <v>2</v>
      </c>
      <c r="N280" s="2">
        <v>2385</v>
      </c>
      <c r="O280" s="379">
        <v>2274.65</v>
      </c>
      <c r="P280" s="379">
        <v>1250.23</v>
      </c>
      <c r="Q280" s="379">
        <f t="shared" si="25"/>
        <v>1024.42</v>
      </c>
    </row>
    <row r="281" spans="1:17">
      <c r="A281" s="1" t="s">
        <v>263</v>
      </c>
      <c r="B281" s="2" t="s">
        <v>195</v>
      </c>
      <c r="C281" s="197">
        <f t="shared" si="23"/>
        <v>603434.74</v>
      </c>
      <c r="D281" s="197">
        <f t="shared" si="24"/>
        <v>418989.73</v>
      </c>
      <c r="E281" s="379">
        <f t="shared" si="26"/>
        <v>184445.01</v>
      </c>
      <c r="M281" s="1" t="s">
        <v>163</v>
      </c>
      <c r="N281" s="2">
        <v>2385</v>
      </c>
      <c r="O281" s="379">
        <v>603434.74</v>
      </c>
      <c r="P281" s="379">
        <v>418989.73</v>
      </c>
      <c r="Q281" s="379">
        <f t="shared" si="25"/>
        <v>184445.01</v>
      </c>
    </row>
    <row r="282" spans="1:17">
      <c r="A282" s="1" t="s">
        <v>270</v>
      </c>
      <c r="B282" s="2" t="s">
        <v>195</v>
      </c>
      <c r="C282" s="197">
        <f t="shared" si="23"/>
        <v>2783592.47</v>
      </c>
      <c r="D282" s="197">
        <f t="shared" si="24"/>
        <v>1632466.28</v>
      </c>
      <c r="E282" s="379">
        <f t="shared" si="26"/>
        <v>1151126.1900000002</v>
      </c>
      <c r="M282" s="1" t="s">
        <v>164</v>
      </c>
      <c r="N282" s="2">
        <v>2385</v>
      </c>
      <c r="O282" s="379">
        <v>2783592.47</v>
      </c>
      <c r="P282" s="379">
        <v>1632466.28</v>
      </c>
      <c r="Q282" s="379">
        <f t="shared" si="25"/>
        <v>1151126.1900000002</v>
      </c>
    </row>
    <row r="283" spans="1:17">
      <c r="A283" s="1" t="s">
        <v>271</v>
      </c>
      <c r="B283" s="2" t="s">
        <v>195</v>
      </c>
      <c r="C283" s="197">
        <f t="shared" si="23"/>
        <v>14883.51</v>
      </c>
      <c r="D283" s="197">
        <f t="shared" si="24"/>
        <v>38.630000000000003</v>
      </c>
      <c r="E283" s="379">
        <f t="shared" si="26"/>
        <v>14844.880000000001</v>
      </c>
      <c r="M283" s="1" t="s">
        <v>165</v>
      </c>
      <c r="N283" s="2">
        <v>2385</v>
      </c>
      <c r="O283" s="379">
        <v>14883.51</v>
      </c>
      <c r="P283" s="379">
        <v>38.630000000000003</v>
      </c>
      <c r="Q283" s="379">
        <f t="shared" si="25"/>
        <v>14844.880000000001</v>
      </c>
    </row>
    <row r="284" spans="1:17">
      <c r="A284" s="1" t="s">
        <v>264</v>
      </c>
      <c r="B284" s="2" t="s">
        <v>195</v>
      </c>
      <c r="C284" s="197">
        <f t="shared" si="23"/>
        <v>1064837.3500000001</v>
      </c>
      <c r="D284" s="197">
        <f t="shared" si="24"/>
        <v>749706.62</v>
      </c>
      <c r="E284" s="379">
        <f t="shared" si="26"/>
        <v>315130.7300000001</v>
      </c>
      <c r="M284" s="1" t="s">
        <v>166</v>
      </c>
      <c r="N284" s="2">
        <v>2385</v>
      </c>
      <c r="O284" s="379">
        <v>1064837.3500000001</v>
      </c>
      <c r="P284" s="379">
        <v>749706.62</v>
      </c>
      <c r="Q284" s="379">
        <f t="shared" si="25"/>
        <v>315130.7300000001</v>
      </c>
    </row>
    <row r="285" spans="1:17">
      <c r="A285" s="1" t="s">
        <v>268</v>
      </c>
      <c r="B285" s="2" t="s">
        <v>195</v>
      </c>
      <c r="C285" s="197">
        <f t="shared" si="23"/>
        <v>229473.9</v>
      </c>
      <c r="D285" s="197">
        <f t="shared" si="24"/>
        <v>104926.75</v>
      </c>
      <c r="E285" s="379">
        <f t="shared" si="26"/>
        <v>124547.15</v>
      </c>
      <c r="M285" s="1" t="s">
        <v>145</v>
      </c>
      <c r="N285" s="2">
        <v>2385</v>
      </c>
      <c r="O285" s="379">
        <v>229473.9</v>
      </c>
      <c r="P285" s="379">
        <v>104926.75</v>
      </c>
      <c r="Q285" s="379">
        <f t="shared" si="25"/>
        <v>124547.15</v>
      </c>
    </row>
    <row r="286" spans="1:17">
      <c r="A286" s="1" t="s">
        <v>272</v>
      </c>
      <c r="B286" s="2" t="s">
        <v>195</v>
      </c>
      <c r="C286" s="197">
        <f t="shared" si="23"/>
        <v>74186.12</v>
      </c>
      <c r="D286" s="197">
        <f t="shared" si="24"/>
        <v>14219.15</v>
      </c>
      <c r="E286" s="379">
        <f t="shared" si="26"/>
        <v>59966.969999999994</v>
      </c>
      <c r="M286" s="1" t="s">
        <v>9</v>
      </c>
      <c r="N286" s="2">
        <v>2385</v>
      </c>
      <c r="O286" s="379">
        <v>74186.12</v>
      </c>
      <c r="P286" s="379">
        <v>14219.15</v>
      </c>
      <c r="Q286" s="379">
        <f t="shared" si="25"/>
        <v>59966.969999999994</v>
      </c>
    </row>
    <row r="287" spans="1:17">
      <c r="A287" s="1" t="s">
        <v>278</v>
      </c>
      <c r="B287" s="2" t="s">
        <v>195</v>
      </c>
      <c r="C287" s="197">
        <f t="shared" si="23"/>
        <v>74398.990000000005</v>
      </c>
      <c r="D287" s="197">
        <f t="shared" si="24"/>
        <v>39923.699999999997</v>
      </c>
      <c r="E287" s="379">
        <f t="shared" si="26"/>
        <v>34475.290000000008</v>
      </c>
      <c r="M287" s="1" t="s">
        <v>167</v>
      </c>
      <c r="N287" s="2">
        <v>2385</v>
      </c>
      <c r="O287" s="379">
        <v>74398.990000000005</v>
      </c>
      <c r="P287" s="379">
        <v>39923.699999999997</v>
      </c>
      <c r="Q287" s="379">
        <f t="shared" si="25"/>
        <v>34475.290000000008</v>
      </c>
    </row>
    <row r="288" spans="1:17">
      <c r="A288" s="1" t="s">
        <v>265</v>
      </c>
      <c r="B288" s="2" t="s">
        <v>195</v>
      </c>
      <c r="C288" s="197">
        <f t="shared" si="23"/>
        <v>151946.73000000001</v>
      </c>
      <c r="D288" s="197">
        <f t="shared" si="24"/>
        <v>-59559.21</v>
      </c>
      <c r="E288" s="379">
        <f t="shared" si="26"/>
        <v>211505.94</v>
      </c>
      <c r="M288" s="1" t="s">
        <v>168</v>
      </c>
      <c r="N288" s="2">
        <v>2385</v>
      </c>
      <c r="O288" s="379">
        <v>151946.73000000001</v>
      </c>
      <c r="P288" s="379">
        <v>-59559.21</v>
      </c>
      <c r="Q288" s="379">
        <f t="shared" si="25"/>
        <v>211505.94</v>
      </c>
    </row>
    <row r="289" spans="1:17">
      <c r="A289" s="1" t="s">
        <v>273</v>
      </c>
      <c r="B289" s="2" t="s">
        <v>195</v>
      </c>
      <c r="C289" s="197">
        <f t="shared" ref="C289:C352" si="27">O289</f>
        <v>2172637.37</v>
      </c>
      <c r="D289" s="197">
        <f t="shared" ref="D289:D352" si="28">P289</f>
        <v>1132387.6299999999</v>
      </c>
      <c r="E289" s="379">
        <f t="shared" si="26"/>
        <v>1040249.7400000002</v>
      </c>
      <c r="M289" s="1" t="s">
        <v>6</v>
      </c>
      <c r="N289" s="2">
        <v>2385</v>
      </c>
      <c r="O289" s="379">
        <v>2172637.37</v>
      </c>
      <c r="P289" s="379">
        <v>1132387.6299999999</v>
      </c>
      <c r="Q289" s="379">
        <f t="shared" si="25"/>
        <v>1040249.7400000002</v>
      </c>
    </row>
    <row r="290" spans="1:17">
      <c r="A290" s="1" t="s">
        <v>274</v>
      </c>
      <c r="B290" s="2" t="s">
        <v>195</v>
      </c>
      <c r="C290" s="197">
        <f t="shared" si="27"/>
        <v>43028.87</v>
      </c>
      <c r="D290" s="197">
        <f t="shared" si="28"/>
        <v>7999.71</v>
      </c>
      <c r="E290" s="379">
        <f t="shared" si="26"/>
        <v>35029.160000000003</v>
      </c>
      <c r="M290" s="1" t="s">
        <v>170</v>
      </c>
      <c r="N290" s="2">
        <v>2385</v>
      </c>
      <c r="O290" s="379">
        <v>43028.87</v>
      </c>
      <c r="P290" s="379">
        <v>7999.71</v>
      </c>
      <c r="Q290" s="379">
        <f t="shared" ref="Q290:Q353" si="29">O290-P290</f>
        <v>35029.160000000003</v>
      </c>
    </row>
    <row r="291" spans="1:17">
      <c r="A291" s="1" t="s">
        <v>301</v>
      </c>
      <c r="B291" s="2" t="s">
        <v>195</v>
      </c>
      <c r="C291" s="197">
        <f t="shared" si="27"/>
        <v>103194.87</v>
      </c>
      <c r="D291" s="197">
        <f t="shared" si="28"/>
        <v>63482.64</v>
      </c>
      <c r="E291" s="379">
        <f t="shared" si="26"/>
        <v>39712.229999999996</v>
      </c>
      <c r="M291" s="1" t="s">
        <v>171</v>
      </c>
      <c r="N291" s="2">
        <v>2385</v>
      </c>
      <c r="O291" s="379">
        <v>103194.87</v>
      </c>
      <c r="P291" s="379">
        <v>63482.64</v>
      </c>
      <c r="Q291" s="379">
        <f t="shared" si="29"/>
        <v>39712.229999999996</v>
      </c>
    </row>
    <row r="292" spans="1:17">
      <c r="A292" s="1" t="s">
        <v>266</v>
      </c>
      <c r="B292" s="2" t="s">
        <v>195</v>
      </c>
      <c r="C292" s="197">
        <f t="shared" si="27"/>
        <v>610821.28</v>
      </c>
      <c r="D292" s="197">
        <f t="shared" si="28"/>
        <v>292957.83</v>
      </c>
      <c r="E292" s="379">
        <f t="shared" ref="E292:E356" si="30">C292-D292</f>
        <v>317863.45</v>
      </c>
      <c r="M292" s="1" t="s">
        <v>172</v>
      </c>
      <c r="N292" s="2">
        <v>2385</v>
      </c>
      <c r="O292" s="379">
        <v>610821.28</v>
      </c>
      <c r="P292" s="379">
        <v>292957.83</v>
      </c>
      <c r="Q292" s="379">
        <f t="shared" si="29"/>
        <v>317863.45</v>
      </c>
    </row>
    <row r="293" spans="1:17">
      <c r="A293" s="1" t="s">
        <v>275</v>
      </c>
      <c r="B293" s="2" t="s">
        <v>195</v>
      </c>
      <c r="C293" s="197">
        <f t="shared" si="27"/>
        <v>765485.8</v>
      </c>
      <c r="D293" s="197">
        <f t="shared" si="28"/>
        <v>358042.11</v>
      </c>
      <c r="E293" s="379">
        <f t="shared" si="30"/>
        <v>407443.69000000006</v>
      </c>
      <c r="M293" s="1" t="s">
        <v>173</v>
      </c>
      <c r="N293" s="2">
        <v>2385</v>
      </c>
      <c r="O293" s="379">
        <v>765485.8</v>
      </c>
      <c r="P293" s="379">
        <v>358042.11</v>
      </c>
      <c r="Q293" s="379">
        <f t="shared" si="29"/>
        <v>407443.69000000006</v>
      </c>
    </row>
    <row r="294" spans="1:17">
      <c r="A294" s="1" t="s">
        <v>276</v>
      </c>
      <c r="B294" s="2" t="s">
        <v>195</v>
      </c>
      <c r="C294" s="197">
        <f t="shared" si="27"/>
        <v>292371.82</v>
      </c>
      <c r="D294" s="197">
        <f t="shared" si="28"/>
        <v>128687.44</v>
      </c>
      <c r="E294" s="379">
        <f t="shared" si="30"/>
        <v>163684.38</v>
      </c>
      <c r="M294" s="1" t="s">
        <v>137</v>
      </c>
      <c r="N294" s="2">
        <v>2385</v>
      </c>
      <c r="O294" s="379">
        <v>292371.82</v>
      </c>
      <c r="P294" s="379">
        <v>128687.44</v>
      </c>
      <c r="Q294" s="379">
        <f t="shared" si="29"/>
        <v>163684.38</v>
      </c>
    </row>
    <row r="295" spans="1:17">
      <c r="A295" s="1" t="s">
        <v>269</v>
      </c>
      <c r="B295" s="2" t="s">
        <v>195</v>
      </c>
      <c r="C295" s="197">
        <f t="shared" si="27"/>
        <v>89112.960000000006</v>
      </c>
      <c r="D295" s="197">
        <f t="shared" si="28"/>
        <v>39808.01</v>
      </c>
      <c r="E295" s="379">
        <f t="shared" si="30"/>
        <v>49304.950000000004</v>
      </c>
      <c r="M295" s="1" t="s">
        <v>660</v>
      </c>
      <c r="N295" s="2">
        <v>2385</v>
      </c>
      <c r="O295" s="379">
        <v>89112.960000000006</v>
      </c>
      <c r="P295" s="379">
        <v>39808.01</v>
      </c>
      <c r="Q295" s="379">
        <f t="shared" si="29"/>
        <v>49304.950000000004</v>
      </c>
    </row>
    <row r="296" spans="1:17">
      <c r="A296" s="1" t="s">
        <v>262</v>
      </c>
      <c r="B296" s="2" t="s">
        <v>196</v>
      </c>
      <c r="C296" s="197">
        <f t="shared" si="27"/>
        <v>131628.07</v>
      </c>
      <c r="D296" s="197">
        <f t="shared" si="28"/>
        <v>37285.39</v>
      </c>
      <c r="E296" s="379">
        <f t="shared" si="30"/>
        <v>94342.680000000008</v>
      </c>
      <c r="M296" s="1" t="s">
        <v>141</v>
      </c>
      <c r="N296" s="2">
        <v>2387</v>
      </c>
      <c r="O296" s="379">
        <v>131628.07</v>
      </c>
      <c r="P296" s="379">
        <v>37285.39</v>
      </c>
      <c r="Q296" s="379">
        <f t="shared" si="29"/>
        <v>94342.680000000008</v>
      </c>
    </row>
    <row r="297" spans="1:17">
      <c r="A297" s="1" t="s">
        <v>267</v>
      </c>
      <c r="B297" s="2" t="s">
        <v>196</v>
      </c>
      <c r="C297" s="197">
        <f t="shared" si="27"/>
        <v>71766.880000000005</v>
      </c>
      <c r="D297" s="197">
        <f t="shared" si="28"/>
        <v>20227.73</v>
      </c>
      <c r="E297" s="379">
        <f t="shared" si="30"/>
        <v>51539.150000000009</v>
      </c>
      <c r="M297" s="1" t="s">
        <v>162</v>
      </c>
      <c r="N297" s="2">
        <v>2387</v>
      </c>
      <c r="O297" s="379">
        <v>71766.880000000005</v>
      </c>
      <c r="P297" s="379">
        <v>20227.73</v>
      </c>
      <c r="Q297" s="379">
        <f t="shared" si="29"/>
        <v>51539.150000000009</v>
      </c>
    </row>
    <row r="298" spans="1:17">
      <c r="A298" s="1" t="s">
        <v>263</v>
      </c>
      <c r="B298" s="2" t="s">
        <v>196</v>
      </c>
      <c r="C298" s="197">
        <f t="shared" si="27"/>
        <v>493254.63</v>
      </c>
      <c r="D298" s="197">
        <f t="shared" si="28"/>
        <v>195435.97</v>
      </c>
      <c r="E298" s="379">
        <f t="shared" si="30"/>
        <v>297818.66000000003</v>
      </c>
      <c r="M298" s="1" t="s">
        <v>163</v>
      </c>
      <c r="N298" s="2">
        <v>2387</v>
      </c>
      <c r="O298" s="379">
        <v>493254.63</v>
      </c>
      <c r="P298" s="379">
        <v>195435.97</v>
      </c>
      <c r="Q298" s="379">
        <f t="shared" si="29"/>
        <v>297818.66000000003</v>
      </c>
    </row>
    <row r="299" spans="1:17">
      <c r="A299" s="1" t="s">
        <v>270</v>
      </c>
      <c r="B299" s="2" t="s">
        <v>196</v>
      </c>
      <c r="C299" s="197">
        <f t="shared" si="27"/>
        <v>353000.65</v>
      </c>
      <c r="D299" s="197">
        <f t="shared" si="28"/>
        <v>159055.31</v>
      </c>
      <c r="E299" s="379">
        <f t="shared" si="30"/>
        <v>193945.34000000003</v>
      </c>
      <c r="M299" s="1" t="s">
        <v>164</v>
      </c>
      <c r="N299" s="2">
        <v>2387</v>
      </c>
      <c r="O299" s="379">
        <v>353000.65</v>
      </c>
      <c r="P299" s="379">
        <v>159055.31</v>
      </c>
      <c r="Q299" s="379">
        <f t="shared" si="29"/>
        <v>193945.34000000003</v>
      </c>
    </row>
    <row r="300" spans="1:17">
      <c r="A300" s="1" t="s">
        <v>5</v>
      </c>
      <c r="B300" s="2">
        <v>2387</v>
      </c>
      <c r="C300" s="197">
        <f t="shared" si="27"/>
        <v>21918.58</v>
      </c>
      <c r="D300" s="197">
        <f t="shared" si="28"/>
        <v>2017.52</v>
      </c>
      <c r="E300" s="379">
        <f t="shared" si="30"/>
        <v>19901.060000000001</v>
      </c>
      <c r="M300" s="1" t="s">
        <v>5</v>
      </c>
      <c r="N300" s="2">
        <v>2387</v>
      </c>
      <c r="O300" s="379">
        <v>21918.58</v>
      </c>
      <c r="P300" s="379">
        <v>2017.52</v>
      </c>
      <c r="Q300" s="379">
        <f t="shared" si="29"/>
        <v>19901.060000000001</v>
      </c>
    </row>
    <row r="301" spans="1:17">
      <c r="A301" s="1" t="s">
        <v>271</v>
      </c>
      <c r="B301" s="2" t="s">
        <v>196</v>
      </c>
      <c r="C301" s="197">
        <f t="shared" si="27"/>
        <v>47165.2</v>
      </c>
      <c r="D301" s="197">
        <f t="shared" si="28"/>
        <v>24173.07</v>
      </c>
      <c r="E301" s="379">
        <f t="shared" si="30"/>
        <v>22992.129999999997</v>
      </c>
      <c r="M301" s="1" t="s">
        <v>165</v>
      </c>
      <c r="N301" s="2">
        <v>2387</v>
      </c>
      <c r="O301" s="379">
        <v>47165.2</v>
      </c>
      <c r="P301" s="379">
        <v>24173.07</v>
      </c>
      <c r="Q301" s="379">
        <f t="shared" si="29"/>
        <v>22992.129999999997</v>
      </c>
    </row>
    <row r="302" spans="1:17">
      <c r="A302" s="1" t="s">
        <v>264</v>
      </c>
      <c r="B302" s="2" t="s">
        <v>196</v>
      </c>
      <c r="C302" s="197">
        <f t="shared" si="27"/>
        <v>1110309.01</v>
      </c>
      <c r="D302" s="197">
        <f t="shared" si="28"/>
        <v>372046.74</v>
      </c>
      <c r="E302" s="379">
        <f t="shared" si="30"/>
        <v>738262.27</v>
      </c>
      <c r="M302" s="1" t="s">
        <v>166</v>
      </c>
      <c r="N302" s="2">
        <v>2387</v>
      </c>
      <c r="O302" s="379">
        <v>1110309.01</v>
      </c>
      <c r="P302" s="379">
        <v>372046.74</v>
      </c>
      <c r="Q302" s="379">
        <f t="shared" si="29"/>
        <v>738262.27</v>
      </c>
    </row>
    <row r="303" spans="1:17">
      <c r="A303" s="1" t="s">
        <v>268</v>
      </c>
      <c r="B303" s="2" t="s">
        <v>196</v>
      </c>
      <c r="C303" s="197">
        <f t="shared" si="27"/>
        <v>192309.35</v>
      </c>
      <c r="D303" s="197">
        <f t="shared" si="28"/>
        <v>87455.45</v>
      </c>
      <c r="E303" s="379">
        <f t="shared" si="30"/>
        <v>104853.90000000001</v>
      </c>
      <c r="M303" s="1" t="s">
        <v>145</v>
      </c>
      <c r="N303" s="2">
        <v>2387</v>
      </c>
      <c r="O303" s="379">
        <v>192309.35</v>
      </c>
      <c r="P303" s="379">
        <v>87455.45</v>
      </c>
      <c r="Q303" s="379">
        <f t="shared" si="29"/>
        <v>104853.90000000001</v>
      </c>
    </row>
    <row r="304" spans="1:17">
      <c r="A304" s="1" t="s">
        <v>272</v>
      </c>
      <c r="B304" s="2" t="s">
        <v>196</v>
      </c>
      <c r="C304" s="197">
        <f t="shared" si="27"/>
        <v>224882.31</v>
      </c>
      <c r="D304" s="197">
        <f t="shared" si="28"/>
        <v>71947</v>
      </c>
      <c r="E304" s="379">
        <f t="shared" si="30"/>
        <v>152935.31</v>
      </c>
      <c r="M304" s="1" t="s">
        <v>9</v>
      </c>
      <c r="N304" s="2">
        <v>2387</v>
      </c>
      <c r="O304" s="379">
        <v>224882.31</v>
      </c>
      <c r="P304" s="379">
        <v>71947</v>
      </c>
      <c r="Q304" s="379">
        <f t="shared" si="29"/>
        <v>152935.31</v>
      </c>
    </row>
    <row r="305" spans="1:17">
      <c r="A305" s="1" t="s">
        <v>278</v>
      </c>
      <c r="B305" s="2" t="s">
        <v>196</v>
      </c>
      <c r="C305" s="197">
        <f t="shared" si="27"/>
        <v>702.98</v>
      </c>
      <c r="D305" s="197">
        <f t="shared" si="28"/>
        <v>493.93</v>
      </c>
      <c r="E305" s="379">
        <f t="shared" si="30"/>
        <v>209.05</v>
      </c>
      <c r="M305" s="1" t="s">
        <v>167</v>
      </c>
      <c r="N305" s="2">
        <v>2387</v>
      </c>
      <c r="O305" s="379">
        <v>702.98</v>
      </c>
      <c r="P305" s="379">
        <v>493.93</v>
      </c>
      <c r="Q305" s="379">
        <f t="shared" si="29"/>
        <v>209.05</v>
      </c>
    </row>
    <row r="306" spans="1:17">
      <c r="A306" s="1" t="s">
        <v>265</v>
      </c>
      <c r="B306" s="2" t="s">
        <v>196</v>
      </c>
      <c r="C306" s="197">
        <f t="shared" si="27"/>
        <v>202466.3</v>
      </c>
      <c r="D306" s="197">
        <f t="shared" si="28"/>
        <v>56818.12</v>
      </c>
      <c r="E306" s="379">
        <f t="shared" si="30"/>
        <v>145648.18</v>
      </c>
      <c r="M306" s="1" t="s">
        <v>168</v>
      </c>
      <c r="N306" s="2">
        <v>2387</v>
      </c>
      <c r="O306" s="379">
        <v>202466.3</v>
      </c>
      <c r="P306" s="379">
        <v>56818.12</v>
      </c>
      <c r="Q306" s="379">
        <f t="shared" si="29"/>
        <v>145648.18</v>
      </c>
    </row>
    <row r="307" spans="1:17">
      <c r="A307" s="1" t="s">
        <v>273</v>
      </c>
      <c r="B307" s="2" t="s">
        <v>196</v>
      </c>
      <c r="C307" s="197">
        <f t="shared" si="27"/>
        <v>512314.63</v>
      </c>
      <c r="D307" s="197">
        <f t="shared" si="28"/>
        <v>187233.4</v>
      </c>
      <c r="E307" s="379">
        <f t="shared" si="30"/>
        <v>325081.23</v>
      </c>
      <c r="M307" s="1" t="s">
        <v>6</v>
      </c>
      <c r="N307" s="2">
        <v>2387</v>
      </c>
      <c r="O307" s="379">
        <v>512314.63</v>
      </c>
      <c r="P307" s="379">
        <v>187233.4</v>
      </c>
      <c r="Q307" s="379">
        <f t="shared" si="29"/>
        <v>325081.23</v>
      </c>
    </row>
    <row r="308" spans="1:17">
      <c r="A308" s="1" t="s">
        <v>274</v>
      </c>
      <c r="B308" s="2" t="s">
        <v>196</v>
      </c>
      <c r="C308" s="197">
        <f t="shared" si="27"/>
        <v>79172.27</v>
      </c>
      <c r="D308" s="197">
        <f t="shared" si="28"/>
        <v>37908.49</v>
      </c>
      <c r="E308" s="379">
        <f t="shared" si="30"/>
        <v>41263.780000000006</v>
      </c>
      <c r="M308" s="1" t="s">
        <v>170</v>
      </c>
      <c r="N308" s="2">
        <v>2387</v>
      </c>
      <c r="O308" s="379">
        <v>79172.27</v>
      </c>
      <c r="P308" s="379">
        <v>37908.49</v>
      </c>
      <c r="Q308" s="379">
        <f t="shared" si="29"/>
        <v>41263.780000000006</v>
      </c>
    </row>
    <row r="309" spans="1:17">
      <c r="A309" s="1" t="s">
        <v>301</v>
      </c>
      <c r="B309" s="2" t="s">
        <v>196</v>
      </c>
      <c r="C309" s="197">
        <f t="shared" si="27"/>
        <v>6908.25</v>
      </c>
      <c r="D309" s="197">
        <f t="shared" si="28"/>
        <v>4480.7700000000004</v>
      </c>
      <c r="E309" s="379">
        <f t="shared" si="30"/>
        <v>2427.4799999999996</v>
      </c>
      <c r="M309" s="1" t="s">
        <v>171</v>
      </c>
      <c r="N309" s="2">
        <v>2387</v>
      </c>
      <c r="O309" s="379">
        <v>6908.25</v>
      </c>
      <c r="P309" s="379">
        <v>4480.7700000000004</v>
      </c>
      <c r="Q309" s="379">
        <f t="shared" si="29"/>
        <v>2427.4799999999996</v>
      </c>
    </row>
    <row r="310" spans="1:17">
      <c r="A310" s="1" t="s">
        <v>266</v>
      </c>
      <c r="B310" s="2" t="s">
        <v>196</v>
      </c>
      <c r="C310" s="197">
        <f t="shared" si="27"/>
        <v>185622.18</v>
      </c>
      <c r="D310" s="197">
        <f t="shared" si="28"/>
        <v>70701.58</v>
      </c>
      <c r="E310" s="379">
        <f t="shared" si="30"/>
        <v>114920.59999999999</v>
      </c>
      <c r="M310" s="1" t="s">
        <v>172</v>
      </c>
      <c r="N310" s="2">
        <v>2387</v>
      </c>
      <c r="O310" s="379">
        <v>185622.18</v>
      </c>
      <c r="P310" s="379">
        <v>70701.58</v>
      </c>
      <c r="Q310" s="379">
        <f t="shared" si="29"/>
        <v>114920.59999999999</v>
      </c>
    </row>
    <row r="311" spans="1:17">
      <c r="A311" s="1" t="s">
        <v>275</v>
      </c>
      <c r="B311" s="2" t="s">
        <v>196</v>
      </c>
      <c r="C311" s="197">
        <f t="shared" si="27"/>
        <v>172604.51</v>
      </c>
      <c r="D311" s="197">
        <f t="shared" si="28"/>
        <v>83640.320000000007</v>
      </c>
      <c r="E311" s="379">
        <f t="shared" si="30"/>
        <v>88964.19</v>
      </c>
      <c r="M311" s="1" t="s">
        <v>173</v>
      </c>
      <c r="N311" s="2">
        <v>2387</v>
      </c>
      <c r="O311" s="379">
        <v>172604.51</v>
      </c>
      <c r="P311" s="379">
        <v>83640.320000000007</v>
      </c>
      <c r="Q311" s="379">
        <f t="shared" si="29"/>
        <v>88964.19</v>
      </c>
    </row>
    <row r="312" spans="1:17">
      <c r="A312" s="1" t="s">
        <v>276</v>
      </c>
      <c r="B312" s="2" t="s">
        <v>196</v>
      </c>
      <c r="C312" s="197">
        <f t="shared" si="27"/>
        <v>238951.66</v>
      </c>
      <c r="D312" s="197">
        <f t="shared" si="28"/>
        <v>82224.81</v>
      </c>
      <c r="E312" s="379">
        <f t="shared" si="30"/>
        <v>156726.85</v>
      </c>
      <c r="G312" s="1" t="s">
        <v>1165</v>
      </c>
      <c r="M312" s="1" t="s">
        <v>137</v>
      </c>
      <c r="N312" s="2">
        <v>2387</v>
      </c>
      <c r="O312" s="379">
        <v>238951.66</v>
      </c>
      <c r="P312" s="379">
        <v>82224.81</v>
      </c>
      <c r="Q312" s="379">
        <f t="shared" si="29"/>
        <v>156726.85</v>
      </c>
    </row>
    <row r="313" spans="1:17">
      <c r="A313" s="1" t="s">
        <v>269</v>
      </c>
      <c r="B313" s="2" t="s">
        <v>196</v>
      </c>
      <c r="C313" s="197">
        <f t="shared" si="27"/>
        <v>118930.74</v>
      </c>
      <c r="D313" s="197">
        <f t="shared" si="28"/>
        <v>36202.75</v>
      </c>
      <c r="E313" s="379">
        <f t="shared" si="30"/>
        <v>82727.990000000005</v>
      </c>
      <c r="G313" s="64">
        <f>SUM(C196:C313)</f>
        <v>410580844.81</v>
      </c>
      <c r="M313" s="1" t="s">
        <v>660</v>
      </c>
      <c r="N313" s="2">
        <v>2387</v>
      </c>
      <c r="O313" s="379">
        <v>118930.74</v>
      </c>
      <c r="P313" s="379">
        <v>36202.75</v>
      </c>
      <c r="Q313" s="379">
        <f t="shared" si="29"/>
        <v>82727.990000000005</v>
      </c>
    </row>
    <row r="314" spans="1:17">
      <c r="A314" s="1" t="s">
        <v>262</v>
      </c>
      <c r="B314" s="2" t="s">
        <v>198</v>
      </c>
      <c r="C314" s="197">
        <f t="shared" si="27"/>
        <v>189836.86</v>
      </c>
      <c r="D314" s="197">
        <f t="shared" si="28"/>
        <v>219742.49</v>
      </c>
      <c r="E314" s="379">
        <f t="shared" si="30"/>
        <v>-29905.630000000005</v>
      </c>
      <c r="M314" s="1" t="s">
        <v>141</v>
      </c>
      <c r="N314" s="2">
        <v>2391</v>
      </c>
      <c r="O314" s="379">
        <v>189836.86</v>
      </c>
      <c r="P314" s="379">
        <v>219742.49</v>
      </c>
      <c r="Q314" s="379">
        <f t="shared" si="29"/>
        <v>-29905.630000000005</v>
      </c>
    </row>
    <row r="315" spans="1:17">
      <c r="A315" s="1" t="s">
        <v>267</v>
      </c>
      <c r="B315" s="2" t="s">
        <v>198</v>
      </c>
      <c r="C315" s="197">
        <f t="shared" si="27"/>
        <v>248938.72</v>
      </c>
      <c r="D315" s="197">
        <f t="shared" si="28"/>
        <v>217204.01</v>
      </c>
      <c r="E315" s="379">
        <f t="shared" si="30"/>
        <v>31734.709999999992</v>
      </c>
      <c r="M315" s="1" t="s">
        <v>162</v>
      </c>
      <c r="N315" s="2">
        <v>2391</v>
      </c>
      <c r="O315" s="379">
        <v>248938.72</v>
      </c>
      <c r="P315" s="379">
        <v>217204.01</v>
      </c>
      <c r="Q315" s="379">
        <f t="shared" si="29"/>
        <v>31734.709999999992</v>
      </c>
    </row>
    <row r="316" spans="1:17">
      <c r="A316" s="1" t="s">
        <v>263</v>
      </c>
      <c r="B316" s="2" t="s">
        <v>198</v>
      </c>
      <c r="C316" s="197">
        <f t="shared" si="27"/>
        <v>1236333.79</v>
      </c>
      <c r="D316" s="197">
        <f t="shared" si="28"/>
        <v>943714.27</v>
      </c>
      <c r="E316" s="379">
        <f t="shared" si="30"/>
        <v>292619.52000000002</v>
      </c>
      <c r="M316" s="1" t="s">
        <v>163</v>
      </c>
      <c r="N316" s="2">
        <v>2391</v>
      </c>
      <c r="O316" s="379">
        <v>1236333.79</v>
      </c>
      <c r="P316" s="379">
        <v>943714.27</v>
      </c>
      <c r="Q316" s="379">
        <f t="shared" si="29"/>
        <v>292619.52000000002</v>
      </c>
    </row>
    <row r="317" spans="1:17">
      <c r="A317" s="1" t="s">
        <v>270</v>
      </c>
      <c r="B317" s="2" t="s">
        <v>198</v>
      </c>
      <c r="C317" s="197">
        <f t="shared" si="27"/>
        <v>400700.39</v>
      </c>
      <c r="D317" s="197">
        <f t="shared" si="28"/>
        <v>501340.99</v>
      </c>
      <c r="E317" s="379">
        <f t="shared" si="30"/>
        <v>-100640.59999999998</v>
      </c>
      <c r="M317" s="1" t="s">
        <v>164</v>
      </c>
      <c r="N317" s="2">
        <v>2391</v>
      </c>
      <c r="O317" s="379">
        <v>400700.39</v>
      </c>
      <c r="P317" s="379">
        <v>501340.99</v>
      </c>
      <c r="Q317" s="379">
        <f t="shared" si="29"/>
        <v>-100640.59999999998</v>
      </c>
    </row>
    <row r="318" spans="1:17">
      <c r="A318" s="1" t="s">
        <v>271</v>
      </c>
      <c r="B318" s="2" t="s">
        <v>198</v>
      </c>
      <c r="C318" s="197">
        <f t="shared" si="27"/>
        <v>18983.22</v>
      </c>
      <c r="D318" s="197">
        <f t="shared" si="28"/>
        <v>36153.26</v>
      </c>
      <c r="E318" s="379">
        <f t="shared" si="30"/>
        <v>-17170.04</v>
      </c>
      <c r="M318" s="1" t="s">
        <v>165</v>
      </c>
      <c r="N318" s="2">
        <v>2391</v>
      </c>
      <c r="O318" s="379">
        <v>18983.22</v>
      </c>
      <c r="P318" s="379">
        <v>36153.26</v>
      </c>
      <c r="Q318" s="379">
        <f t="shared" si="29"/>
        <v>-17170.04</v>
      </c>
    </row>
    <row r="319" spans="1:17">
      <c r="A319" s="1" t="s">
        <v>264</v>
      </c>
      <c r="B319" s="2" t="s">
        <v>198</v>
      </c>
      <c r="C319" s="197">
        <f t="shared" si="27"/>
        <v>7426798.8200000003</v>
      </c>
      <c r="D319" s="197">
        <f t="shared" si="28"/>
        <v>5151880.9400000004</v>
      </c>
      <c r="E319" s="379">
        <f t="shared" si="30"/>
        <v>2274917.88</v>
      </c>
      <c r="M319" s="1" t="s">
        <v>166</v>
      </c>
      <c r="N319" s="2">
        <v>2391</v>
      </c>
      <c r="O319" s="379">
        <v>7426798.8200000003</v>
      </c>
      <c r="P319" s="379">
        <v>5151880.9400000004</v>
      </c>
      <c r="Q319" s="379">
        <f t="shared" si="29"/>
        <v>2274917.88</v>
      </c>
    </row>
    <row r="320" spans="1:17">
      <c r="A320" s="1" t="s">
        <v>268</v>
      </c>
      <c r="B320" s="2" t="s">
        <v>198</v>
      </c>
      <c r="C320" s="197">
        <f t="shared" si="27"/>
        <v>74708.25</v>
      </c>
      <c r="D320" s="197">
        <f t="shared" si="28"/>
        <v>21887.25</v>
      </c>
      <c r="E320" s="379">
        <f t="shared" si="30"/>
        <v>52821</v>
      </c>
      <c r="M320" s="1" t="s">
        <v>145</v>
      </c>
      <c r="N320" s="2">
        <v>2391</v>
      </c>
      <c r="O320" s="379">
        <v>74708.25</v>
      </c>
      <c r="P320" s="379">
        <v>21887.25</v>
      </c>
      <c r="Q320" s="379">
        <f t="shared" si="29"/>
        <v>52821</v>
      </c>
    </row>
    <row r="321" spans="1:17">
      <c r="A321" s="1" t="s">
        <v>272</v>
      </c>
      <c r="B321" s="2" t="s">
        <v>198</v>
      </c>
      <c r="C321" s="197">
        <f t="shared" si="27"/>
        <v>264427.19</v>
      </c>
      <c r="D321" s="197">
        <f t="shared" si="28"/>
        <v>153755.03</v>
      </c>
      <c r="E321" s="379">
        <f t="shared" si="30"/>
        <v>110672.16</v>
      </c>
      <c r="M321" s="1" t="s">
        <v>9</v>
      </c>
      <c r="N321" s="2">
        <v>2391</v>
      </c>
      <c r="O321" s="379">
        <v>264427.19</v>
      </c>
      <c r="P321" s="379">
        <v>153755.03</v>
      </c>
      <c r="Q321" s="379">
        <f t="shared" si="29"/>
        <v>110672.16</v>
      </c>
    </row>
    <row r="322" spans="1:17">
      <c r="A322" s="1" t="s">
        <v>265</v>
      </c>
      <c r="B322" s="2" t="s">
        <v>198</v>
      </c>
      <c r="C322" s="197">
        <f t="shared" si="27"/>
        <v>216524.55</v>
      </c>
      <c r="D322" s="197">
        <f t="shared" si="28"/>
        <v>189293.71</v>
      </c>
      <c r="E322" s="379">
        <f t="shared" si="30"/>
        <v>27230.839999999997</v>
      </c>
      <c r="M322" s="1" t="s">
        <v>168</v>
      </c>
      <c r="N322" s="2">
        <v>2391</v>
      </c>
      <c r="O322" s="379">
        <v>216524.55</v>
      </c>
      <c r="P322" s="379">
        <v>189293.71</v>
      </c>
      <c r="Q322" s="379">
        <f t="shared" si="29"/>
        <v>27230.839999999997</v>
      </c>
    </row>
    <row r="323" spans="1:17">
      <c r="A323" s="1" t="s">
        <v>273</v>
      </c>
      <c r="B323" s="2" t="s">
        <v>198</v>
      </c>
      <c r="C323" s="197">
        <f t="shared" si="27"/>
        <v>518540.82</v>
      </c>
      <c r="D323" s="197">
        <f t="shared" si="28"/>
        <v>345582.57</v>
      </c>
      <c r="E323" s="379">
        <f t="shared" si="30"/>
        <v>172958.25</v>
      </c>
      <c r="M323" s="1" t="s">
        <v>6</v>
      </c>
      <c r="N323" s="2">
        <v>2391</v>
      </c>
      <c r="O323" s="379">
        <v>518540.82</v>
      </c>
      <c r="P323" s="379">
        <v>345582.57</v>
      </c>
      <c r="Q323" s="379">
        <f t="shared" si="29"/>
        <v>172958.25</v>
      </c>
    </row>
    <row r="324" spans="1:17">
      <c r="A324" s="1" t="s">
        <v>274</v>
      </c>
      <c r="B324" s="2" t="s">
        <v>198</v>
      </c>
      <c r="C324" s="197">
        <f t="shared" si="27"/>
        <v>121500.07</v>
      </c>
      <c r="D324" s="197">
        <f t="shared" si="28"/>
        <v>61809.64</v>
      </c>
      <c r="E324" s="379">
        <f t="shared" si="30"/>
        <v>59690.430000000008</v>
      </c>
      <c r="M324" s="1" t="s">
        <v>170</v>
      </c>
      <c r="N324" s="2">
        <v>2391</v>
      </c>
      <c r="O324" s="379">
        <v>121500.07</v>
      </c>
      <c r="P324" s="379">
        <v>61809.64</v>
      </c>
      <c r="Q324" s="379">
        <f t="shared" si="29"/>
        <v>59690.430000000008</v>
      </c>
    </row>
    <row r="325" spans="1:17">
      <c r="A325" s="1" t="s">
        <v>301</v>
      </c>
      <c r="B325" s="2" t="s">
        <v>198</v>
      </c>
      <c r="C325" s="197">
        <f t="shared" si="27"/>
        <v>13105.51</v>
      </c>
      <c r="D325" s="197">
        <f t="shared" si="28"/>
        <v>18165.39</v>
      </c>
      <c r="E325" s="379">
        <f t="shared" si="30"/>
        <v>-5059.8799999999992</v>
      </c>
      <c r="M325" s="1" t="s">
        <v>171</v>
      </c>
      <c r="N325" s="2">
        <v>2391</v>
      </c>
      <c r="O325" s="379">
        <v>13105.51</v>
      </c>
      <c r="P325" s="379">
        <v>18165.39</v>
      </c>
      <c r="Q325" s="379">
        <f t="shared" si="29"/>
        <v>-5059.8799999999992</v>
      </c>
    </row>
    <row r="326" spans="1:17">
      <c r="A326" s="1" t="s">
        <v>266</v>
      </c>
      <c r="B326" s="2" t="s">
        <v>198</v>
      </c>
      <c r="C326" s="197">
        <f t="shared" si="27"/>
        <v>207302.92</v>
      </c>
      <c r="D326" s="197">
        <f t="shared" si="28"/>
        <v>219438.85</v>
      </c>
      <c r="E326" s="379">
        <f t="shared" si="30"/>
        <v>-12135.929999999993</v>
      </c>
      <c r="M326" s="1" t="s">
        <v>172</v>
      </c>
      <c r="N326" s="2">
        <v>2391</v>
      </c>
      <c r="O326" s="379">
        <v>207302.92</v>
      </c>
      <c r="P326" s="379">
        <v>219438.85</v>
      </c>
      <c r="Q326" s="379">
        <f t="shared" si="29"/>
        <v>-12135.929999999993</v>
      </c>
    </row>
    <row r="327" spans="1:17">
      <c r="A327" s="1" t="s">
        <v>275</v>
      </c>
      <c r="B327" s="2" t="s">
        <v>198</v>
      </c>
      <c r="C327" s="197">
        <f t="shared" si="27"/>
        <v>136123.63</v>
      </c>
      <c r="D327" s="197">
        <f t="shared" si="28"/>
        <v>154131.54999999999</v>
      </c>
      <c r="E327" s="379">
        <f t="shared" si="30"/>
        <v>-18007.919999999984</v>
      </c>
      <c r="M327" s="1" t="s">
        <v>173</v>
      </c>
      <c r="N327" s="2">
        <v>2391</v>
      </c>
      <c r="O327" s="379">
        <v>136123.63</v>
      </c>
      <c r="P327" s="379">
        <v>154131.54999999999</v>
      </c>
      <c r="Q327" s="379">
        <f t="shared" si="29"/>
        <v>-18007.919999999984</v>
      </c>
    </row>
    <row r="328" spans="1:17">
      <c r="A328" s="1" t="s">
        <v>276</v>
      </c>
      <c r="B328" s="2" t="s">
        <v>198</v>
      </c>
      <c r="C328" s="197">
        <f t="shared" si="27"/>
        <v>364587.54</v>
      </c>
      <c r="D328" s="197">
        <f t="shared" si="28"/>
        <v>233813.49</v>
      </c>
      <c r="E328" s="379">
        <f t="shared" si="30"/>
        <v>130774.04999999999</v>
      </c>
      <c r="M328" s="1" t="s">
        <v>137</v>
      </c>
      <c r="N328" s="2">
        <v>2391</v>
      </c>
      <c r="O328" s="379">
        <v>364587.54</v>
      </c>
      <c r="P328" s="379">
        <v>233813.49</v>
      </c>
      <c r="Q328" s="379">
        <f t="shared" si="29"/>
        <v>130774.04999999999</v>
      </c>
    </row>
    <row r="329" spans="1:17">
      <c r="A329" s="1" t="s">
        <v>269</v>
      </c>
      <c r="B329" s="2" t="s">
        <v>198</v>
      </c>
      <c r="C329" s="197">
        <f t="shared" si="27"/>
        <v>60078.49</v>
      </c>
      <c r="D329" s="197">
        <f t="shared" si="28"/>
        <v>14992.89</v>
      </c>
      <c r="E329" s="379">
        <f t="shared" si="30"/>
        <v>45085.599999999999</v>
      </c>
      <c r="M329" s="1" t="s">
        <v>660</v>
      </c>
      <c r="N329" s="2">
        <v>2391</v>
      </c>
      <c r="O329" s="379">
        <v>60078.49</v>
      </c>
      <c r="P329" s="379">
        <v>14992.89</v>
      </c>
      <c r="Q329" s="379">
        <f t="shared" si="29"/>
        <v>45085.599999999999</v>
      </c>
    </row>
    <row r="330" spans="1:17">
      <c r="A330" s="1" t="s">
        <v>268</v>
      </c>
      <c r="B330" s="2" t="s">
        <v>200</v>
      </c>
      <c r="C330" s="197">
        <f t="shared" si="27"/>
        <v>1655.93</v>
      </c>
      <c r="D330" s="197">
        <f t="shared" si="28"/>
        <v>770.69</v>
      </c>
      <c r="E330" s="379">
        <f t="shared" si="30"/>
        <v>885.24</v>
      </c>
      <c r="M330" s="1" t="s">
        <v>145</v>
      </c>
      <c r="N330" s="2">
        <v>2393</v>
      </c>
      <c r="O330" s="379">
        <v>1655.93</v>
      </c>
      <c r="P330" s="379">
        <v>770.69</v>
      </c>
      <c r="Q330" s="379">
        <f t="shared" si="29"/>
        <v>885.24</v>
      </c>
    </row>
    <row r="331" spans="1:17">
      <c r="A331" s="1" t="s">
        <v>272</v>
      </c>
      <c r="B331" s="2" t="s">
        <v>200</v>
      </c>
      <c r="C331" s="197">
        <f t="shared" si="27"/>
        <v>4361.8500000000004</v>
      </c>
      <c r="D331" s="197">
        <f t="shared" si="28"/>
        <v>215.78</v>
      </c>
      <c r="E331" s="379">
        <f t="shared" si="30"/>
        <v>4146.0700000000006</v>
      </c>
      <c r="M331" s="1" t="s">
        <v>9</v>
      </c>
      <c r="N331" s="2">
        <v>2393</v>
      </c>
      <c r="O331" s="379">
        <v>4361.8500000000004</v>
      </c>
      <c r="P331" s="379">
        <v>215.78</v>
      </c>
      <c r="Q331" s="379">
        <f t="shared" si="29"/>
        <v>4146.0700000000006</v>
      </c>
    </row>
    <row r="332" spans="1:17">
      <c r="A332" s="1" t="s">
        <v>274</v>
      </c>
      <c r="B332" s="2" t="s">
        <v>200</v>
      </c>
      <c r="C332" s="197">
        <f t="shared" si="27"/>
        <v>490</v>
      </c>
      <c r="D332" s="197">
        <f t="shared" si="28"/>
        <v>251.38</v>
      </c>
      <c r="E332" s="379">
        <f t="shared" si="30"/>
        <v>238.62</v>
      </c>
      <c r="M332" s="1" t="s">
        <v>170</v>
      </c>
      <c r="N332" s="2">
        <v>2393</v>
      </c>
      <c r="O332" s="379">
        <v>490</v>
      </c>
      <c r="P332" s="379">
        <v>251.38</v>
      </c>
      <c r="Q332" s="379">
        <f t="shared" si="29"/>
        <v>238.62</v>
      </c>
    </row>
    <row r="333" spans="1:17">
      <c r="A333" s="1" t="s">
        <v>275</v>
      </c>
      <c r="B333" s="2" t="s">
        <v>200</v>
      </c>
      <c r="C333" s="197">
        <f t="shared" si="27"/>
        <v>2071.09</v>
      </c>
      <c r="D333" s="197">
        <f t="shared" si="28"/>
        <v>964.65</v>
      </c>
      <c r="E333" s="379">
        <f t="shared" si="30"/>
        <v>1106.44</v>
      </c>
      <c r="M333" s="1" t="s">
        <v>173</v>
      </c>
      <c r="N333" s="2">
        <v>2393</v>
      </c>
      <c r="O333" s="379">
        <v>2071.09</v>
      </c>
      <c r="P333" s="379">
        <v>964.65</v>
      </c>
      <c r="Q333" s="379">
        <f t="shared" si="29"/>
        <v>1106.44</v>
      </c>
    </row>
    <row r="334" spans="1:17">
      <c r="A334" s="1" t="s">
        <v>262</v>
      </c>
      <c r="B334" s="2" t="s">
        <v>201</v>
      </c>
      <c r="C334" s="197">
        <f t="shared" si="27"/>
        <v>126912.53</v>
      </c>
      <c r="D334" s="197">
        <f t="shared" si="28"/>
        <v>36808.46</v>
      </c>
      <c r="E334" s="379">
        <f t="shared" si="30"/>
        <v>90104.07</v>
      </c>
      <c r="M334" s="1" t="s">
        <v>141</v>
      </c>
      <c r="N334" s="2">
        <v>2394</v>
      </c>
      <c r="O334" s="379">
        <v>126912.53</v>
      </c>
      <c r="P334" s="379">
        <v>36808.46</v>
      </c>
      <c r="Q334" s="379">
        <f t="shared" si="29"/>
        <v>90104.07</v>
      </c>
    </row>
    <row r="335" spans="1:17">
      <c r="A335" s="1" t="s">
        <v>267</v>
      </c>
      <c r="B335" s="2" t="s">
        <v>201</v>
      </c>
      <c r="C335" s="197">
        <f t="shared" si="27"/>
        <v>57534.48</v>
      </c>
      <c r="D335" s="197">
        <f t="shared" si="28"/>
        <v>46697.29</v>
      </c>
      <c r="E335" s="379">
        <f t="shared" si="30"/>
        <v>10837.190000000002</v>
      </c>
      <c r="M335" s="1" t="s">
        <v>162</v>
      </c>
      <c r="N335" s="2">
        <v>2394</v>
      </c>
      <c r="O335" s="379">
        <v>57534.48</v>
      </c>
      <c r="P335" s="379">
        <v>46697.29</v>
      </c>
      <c r="Q335" s="379">
        <f t="shared" si="29"/>
        <v>10837.190000000002</v>
      </c>
    </row>
    <row r="336" spans="1:17">
      <c r="A336" s="1" t="s">
        <v>263</v>
      </c>
      <c r="B336" s="2" t="s">
        <v>201</v>
      </c>
      <c r="C336" s="197">
        <f t="shared" si="27"/>
        <v>598218.88</v>
      </c>
      <c r="D336" s="197">
        <f t="shared" si="28"/>
        <v>410918.98</v>
      </c>
      <c r="E336" s="379">
        <f t="shared" si="30"/>
        <v>187299.90000000002</v>
      </c>
      <c r="M336" s="1" t="s">
        <v>163</v>
      </c>
      <c r="N336" s="2">
        <v>2394</v>
      </c>
      <c r="O336" s="379">
        <v>598218.88</v>
      </c>
      <c r="P336" s="379">
        <v>410918.98</v>
      </c>
      <c r="Q336" s="379">
        <f t="shared" si="29"/>
        <v>187299.90000000002</v>
      </c>
    </row>
    <row r="337" spans="1:17">
      <c r="A337" s="1" t="s">
        <v>270</v>
      </c>
      <c r="B337" s="2" t="s">
        <v>201</v>
      </c>
      <c r="C337" s="197">
        <f t="shared" si="27"/>
        <v>391723.54</v>
      </c>
      <c r="D337" s="197">
        <f t="shared" si="28"/>
        <v>193104.87</v>
      </c>
      <c r="E337" s="379">
        <f t="shared" si="30"/>
        <v>198618.66999999998</v>
      </c>
      <c r="M337" s="1" t="s">
        <v>164</v>
      </c>
      <c r="N337" s="2">
        <v>2394</v>
      </c>
      <c r="O337" s="379">
        <v>391723.54</v>
      </c>
      <c r="P337" s="379">
        <v>193104.87</v>
      </c>
      <c r="Q337" s="379">
        <f t="shared" si="29"/>
        <v>198618.66999999998</v>
      </c>
    </row>
    <row r="338" spans="1:17">
      <c r="A338" s="1" t="s">
        <v>286</v>
      </c>
      <c r="B338" s="2" t="s">
        <v>201</v>
      </c>
      <c r="C338" s="197">
        <f t="shared" si="27"/>
        <v>1925.04</v>
      </c>
      <c r="D338" s="197">
        <f t="shared" si="28"/>
        <v>1736.47</v>
      </c>
      <c r="E338" s="379">
        <f t="shared" si="30"/>
        <v>188.56999999999994</v>
      </c>
      <c r="M338" s="1" t="s">
        <v>5</v>
      </c>
      <c r="N338" s="2">
        <v>2394</v>
      </c>
      <c r="O338" s="379">
        <v>1925.04</v>
      </c>
      <c r="P338" s="379">
        <v>1736.47</v>
      </c>
      <c r="Q338" s="379">
        <f t="shared" si="29"/>
        <v>188.56999999999994</v>
      </c>
    </row>
    <row r="339" spans="1:17">
      <c r="A339" s="1" t="s">
        <v>271</v>
      </c>
      <c r="B339" s="2" t="s">
        <v>201</v>
      </c>
      <c r="C339" s="197">
        <f t="shared" si="27"/>
        <v>41973.52</v>
      </c>
      <c r="D339" s="197">
        <f t="shared" si="28"/>
        <v>23417.34</v>
      </c>
      <c r="E339" s="379">
        <f t="shared" si="30"/>
        <v>18556.179999999997</v>
      </c>
      <c r="M339" s="1" t="s">
        <v>165</v>
      </c>
      <c r="N339" s="2">
        <v>2394</v>
      </c>
      <c r="O339" s="379">
        <v>41973.52</v>
      </c>
      <c r="P339" s="379">
        <v>23417.34</v>
      </c>
      <c r="Q339" s="379">
        <f t="shared" si="29"/>
        <v>18556.179999999997</v>
      </c>
    </row>
    <row r="340" spans="1:17">
      <c r="A340" s="1" t="s">
        <v>264</v>
      </c>
      <c r="B340" s="2" t="s">
        <v>201</v>
      </c>
      <c r="C340" s="197">
        <f t="shared" si="27"/>
        <v>983956.6</v>
      </c>
      <c r="D340" s="197">
        <f t="shared" si="28"/>
        <v>377879.79</v>
      </c>
      <c r="E340" s="379">
        <f t="shared" si="30"/>
        <v>606076.81000000006</v>
      </c>
      <c r="M340" s="1" t="s">
        <v>166</v>
      </c>
      <c r="N340" s="2">
        <v>2394</v>
      </c>
      <c r="O340" s="379">
        <v>983956.6</v>
      </c>
      <c r="P340" s="379">
        <v>377879.79</v>
      </c>
      <c r="Q340" s="379">
        <f t="shared" si="29"/>
        <v>606076.81000000006</v>
      </c>
    </row>
    <row r="341" spans="1:17">
      <c r="A341" s="1" t="s">
        <v>268</v>
      </c>
      <c r="B341" s="2" t="s">
        <v>201</v>
      </c>
      <c r="C341" s="197">
        <f t="shared" si="27"/>
        <v>100517.69</v>
      </c>
      <c r="D341" s="197">
        <f t="shared" si="28"/>
        <v>80682.539999999994</v>
      </c>
      <c r="E341" s="379">
        <f t="shared" si="30"/>
        <v>19835.150000000009</v>
      </c>
      <c r="M341" s="1" t="s">
        <v>145</v>
      </c>
      <c r="N341" s="2">
        <v>2394</v>
      </c>
      <c r="O341" s="379">
        <v>100517.69</v>
      </c>
      <c r="P341" s="379">
        <v>80682.539999999994</v>
      </c>
      <c r="Q341" s="379">
        <f t="shared" si="29"/>
        <v>19835.150000000009</v>
      </c>
    </row>
    <row r="342" spans="1:17">
      <c r="A342" s="1" t="s">
        <v>272</v>
      </c>
      <c r="B342" s="2" t="s">
        <v>201</v>
      </c>
      <c r="C342" s="197">
        <f t="shared" si="27"/>
        <v>177621.22</v>
      </c>
      <c r="D342" s="197">
        <f t="shared" si="28"/>
        <v>98039.05</v>
      </c>
      <c r="E342" s="379">
        <f t="shared" si="30"/>
        <v>79582.17</v>
      </c>
      <c r="M342" s="1" t="s">
        <v>9</v>
      </c>
      <c r="N342" s="2">
        <v>2394</v>
      </c>
      <c r="O342" s="379">
        <v>177621.22</v>
      </c>
      <c r="P342" s="379">
        <v>98039.05</v>
      </c>
      <c r="Q342" s="379">
        <f t="shared" si="29"/>
        <v>79582.17</v>
      </c>
    </row>
    <row r="343" spans="1:17">
      <c r="A343" s="1" t="s">
        <v>265</v>
      </c>
      <c r="B343" s="2" t="s">
        <v>201</v>
      </c>
      <c r="C343" s="197">
        <f t="shared" si="27"/>
        <v>189434.1</v>
      </c>
      <c r="D343" s="197">
        <f t="shared" si="28"/>
        <v>114438.07</v>
      </c>
      <c r="E343" s="379">
        <f t="shared" si="30"/>
        <v>74996.03</v>
      </c>
      <c r="M343" s="1" t="s">
        <v>168</v>
      </c>
      <c r="N343" s="2">
        <v>2394</v>
      </c>
      <c r="O343" s="379">
        <v>189434.1</v>
      </c>
      <c r="P343" s="379">
        <v>114438.07</v>
      </c>
      <c r="Q343" s="379">
        <f t="shared" si="29"/>
        <v>74996.03</v>
      </c>
    </row>
    <row r="344" spans="1:17">
      <c r="A344" s="1" t="s">
        <v>273</v>
      </c>
      <c r="B344" s="2" t="s">
        <v>201</v>
      </c>
      <c r="C344" s="197">
        <f t="shared" si="27"/>
        <v>461423.89</v>
      </c>
      <c r="D344" s="197">
        <f t="shared" si="28"/>
        <v>410978.4</v>
      </c>
      <c r="E344" s="379">
        <f t="shared" si="30"/>
        <v>50445.489999999991</v>
      </c>
      <c r="M344" s="1" t="s">
        <v>6</v>
      </c>
      <c r="N344" s="2">
        <v>2394</v>
      </c>
      <c r="O344" s="379">
        <v>461423.89</v>
      </c>
      <c r="P344" s="379">
        <v>410978.4</v>
      </c>
      <c r="Q344" s="379">
        <f t="shared" si="29"/>
        <v>50445.489999999991</v>
      </c>
    </row>
    <row r="345" spans="1:17">
      <c r="A345" s="1" t="s">
        <v>274</v>
      </c>
      <c r="B345" s="2" t="s">
        <v>201</v>
      </c>
      <c r="C345" s="197">
        <f t="shared" si="27"/>
        <v>79301.47</v>
      </c>
      <c r="D345" s="197">
        <f t="shared" si="28"/>
        <v>56164.97</v>
      </c>
      <c r="E345" s="379">
        <f t="shared" si="30"/>
        <v>23136.5</v>
      </c>
      <c r="M345" s="1" t="s">
        <v>170</v>
      </c>
      <c r="N345" s="2">
        <v>2394</v>
      </c>
      <c r="O345" s="379">
        <v>79301.47</v>
      </c>
      <c r="P345" s="379">
        <v>56164.97</v>
      </c>
      <c r="Q345" s="379">
        <f t="shared" si="29"/>
        <v>23136.5</v>
      </c>
    </row>
    <row r="346" spans="1:17">
      <c r="A346" s="1" t="s">
        <v>266</v>
      </c>
      <c r="B346" s="2" t="s">
        <v>201</v>
      </c>
      <c r="C346" s="197">
        <f t="shared" si="27"/>
        <v>318139.67</v>
      </c>
      <c r="D346" s="197">
        <f t="shared" si="28"/>
        <v>196031.79</v>
      </c>
      <c r="E346" s="379">
        <f t="shared" si="30"/>
        <v>122107.87999999998</v>
      </c>
      <c r="M346" s="1" t="s">
        <v>172</v>
      </c>
      <c r="N346" s="2">
        <v>2394</v>
      </c>
      <c r="O346" s="379">
        <v>318139.67</v>
      </c>
      <c r="P346" s="379">
        <v>196031.79</v>
      </c>
      <c r="Q346" s="379">
        <f t="shared" si="29"/>
        <v>122107.87999999998</v>
      </c>
    </row>
    <row r="347" spans="1:17">
      <c r="A347" s="1" t="s">
        <v>275</v>
      </c>
      <c r="B347" s="2" t="s">
        <v>201</v>
      </c>
      <c r="C347" s="197">
        <f t="shared" si="27"/>
        <v>90754.09</v>
      </c>
      <c r="D347" s="197">
        <f t="shared" si="28"/>
        <v>104447.99</v>
      </c>
      <c r="E347" s="379">
        <f t="shared" si="30"/>
        <v>-13693.900000000009</v>
      </c>
      <c r="M347" s="1" t="s">
        <v>173</v>
      </c>
      <c r="N347" s="2">
        <v>2394</v>
      </c>
      <c r="O347" s="379">
        <v>90754.09</v>
      </c>
      <c r="P347" s="379">
        <v>104447.99</v>
      </c>
      <c r="Q347" s="379">
        <f t="shared" si="29"/>
        <v>-13693.900000000009</v>
      </c>
    </row>
    <row r="348" spans="1:17">
      <c r="A348" s="1" t="s">
        <v>276</v>
      </c>
      <c r="B348" s="2" t="s">
        <v>201</v>
      </c>
      <c r="C348" s="197">
        <f t="shared" si="27"/>
        <v>156932.85</v>
      </c>
      <c r="D348" s="197">
        <f t="shared" si="28"/>
        <v>67220.42</v>
      </c>
      <c r="E348" s="379">
        <f t="shared" si="30"/>
        <v>89712.430000000008</v>
      </c>
      <c r="M348" s="1" t="s">
        <v>137</v>
      </c>
      <c r="N348" s="2">
        <v>2394</v>
      </c>
      <c r="O348" s="379">
        <v>156932.85</v>
      </c>
      <c r="P348" s="379">
        <v>67220.42</v>
      </c>
      <c r="Q348" s="379">
        <f t="shared" si="29"/>
        <v>89712.430000000008</v>
      </c>
    </row>
    <row r="349" spans="1:17">
      <c r="A349" s="1" t="s">
        <v>269</v>
      </c>
      <c r="B349" s="2" t="s">
        <v>201</v>
      </c>
      <c r="C349" s="197">
        <f t="shared" si="27"/>
        <v>202125.01</v>
      </c>
      <c r="D349" s="197">
        <f t="shared" si="28"/>
        <v>127605.39</v>
      </c>
      <c r="E349" s="379">
        <f t="shared" si="30"/>
        <v>74519.62000000001</v>
      </c>
      <c r="M349" s="1" t="s">
        <v>660</v>
      </c>
      <c r="N349" s="2">
        <v>2394</v>
      </c>
      <c r="O349" s="379">
        <v>202125.01</v>
      </c>
      <c r="P349" s="379">
        <v>127605.39</v>
      </c>
      <c r="Q349" s="379">
        <f t="shared" si="29"/>
        <v>74519.62000000001</v>
      </c>
    </row>
    <row r="350" spans="1:17">
      <c r="A350" s="1" t="s">
        <v>263</v>
      </c>
      <c r="B350" s="2" t="s">
        <v>202</v>
      </c>
      <c r="C350" s="197">
        <f t="shared" si="27"/>
        <v>16833.22</v>
      </c>
      <c r="D350" s="197">
        <f t="shared" si="28"/>
        <v>-17122.68</v>
      </c>
      <c r="E350" s="379">
        <f t="shared" si="30"/>
        <v>33955.9</v>
      </c>
      <c r="M350" s="1" t="s">
        <v>163</v>
      </c>
      <c r="N350" s="2">
        <v>2395</v>
      </c>
      <c r="O350" s="379">
        <v>16833.22</v>
      </c>
      <c r="P350" s="379">
        <v>-17122.68</v>
      </c>
      <c r="Q350" s="379">
        <f t="shared" si="29"/>
        <v>33955.9</v>
      </c>
    </row>
    <row r="351" spans="1:17">
      <c r="A351" s="1" t="s">
        <v>264</v>
      </c>
      <c r="B351" s="2" t="s">
        <v>202</v>
      </c>
      <c r="C351" s="197">
        <f t="shared" si="27"/>
        <v>29611.34</v>
      </c>
      <c r="D351" s="197">
        <f t="shared" si="28"/>
        <v>56388.44</v>
      </c>
      <c r="E351" s="379">
        <f t="shared" si="30"/>
        <v>-26777.100000000002</v>
      </c>
      <c r="M351" s="1" t="s">
        <v>166</v>
      </c>
      <c r="N351" s="2">
        <v>2395</v>
      </c>
      <c r="O351" s="379">
        <v>29611.34</v>
      </c>
      <c r="P351" s="379">
        <v>56388.44</v>
      </c>
      <c r="Q351" s="379">
        <f t="shared" si="29"/>
        <v>-26777.100000000002</v>
      </c>
    </row>
    <row r="352" spans="1:17">
      <c r="A352" s="1" t="s">
        <v>262</v>
      </c>
      <c r="B352" s="2" t="s">
        <v>203</v>
      </c>
      <c r="C352" s="197">
        <f t="shared" si="27"/>
        <v>64096.14</v>
      </c>
      <c r="D352" s="197">
        <f t="shared" si="28"/>
        <v>38283.22</v>
      </c>
      <c r="E352" s="379">
        <f t="shared" si="30"/>
        <v>25812.92</v>
      </c>
      <c r="M352" s="1" t="s">
        <v>141</v>
      </c>
      <c r="N352" s="2">
        <v>2396</v>
      </c>
      <c r="O352" s="379">
        <v>64096.14</v>
      </c>
      <c r="P352" s="379">
        <v>38283.22</v>
      </c>
      <c r="Q352" s="379">
        <f t="shared" si="29"/>
        <v>25812.92</v>
      </c>
    </row>
    <row r="353" spans="1:17">
      <c r="A353" s="1" t="s">
        <v>263</v>
      </c>
      <c r="B353" s="2" t="s">
        <v>203</v>
      </c>
      <c r="C353" s="197">
        <f t="shared" ref="C353:C395" si="31">O353</f>
        <v>478971.97</v>
      </c>
      <c r="D353" s="197">
        <f t="shared" ref="D353:D395" si="32">P353</f>
        <v>271733.57</v>
      </c>
      <c r="E353" s="379">
        <f t="shared" si="30"/>
        <v>207238.39999999997</v>
      </c>
      <c r="M353" s="1" t="s">
        <v>163</v>
      </c>
      <c r="N353" s="2">
        <v>2396</v>
      </c>
      <c r="O353" s="379">
        <v>478971.97</v>
      </c>
      <c r="P353" s="379">
        <v>271733.57</v>
      </c>
      <c r="Q353" s="379">
        <f t="shared" si="29"/>
        <v>207238.39999999997</v>
      </c>
    </row>
    <row r="354" spans="1:17">
      <c r="A354" s="1" t="s">
        <v>270</v>
      </c>
      <c r="B354" s="2" t="s">
        <v>203</v>
      </c>
      <c r="C354" s="197">
        <f t="shared" si="31"/>
        <v>235746.45</v>
      </c>
      <c r="D354" s="197">
        <f t="shared" si="32"/>
        <v>110524.77</v>
      </c>
      <c r="E354" s="379">
        <f t="shared" si="30"/>
        <v>125221.68000000001</v>
      </c>
      <c r="M354" s="1" t="s">
        <v>164</v>
      </c>
      <c r="N354" s="2">
        <v>2396</v>
      </c>
      <c r="O354" s="379">
        <v>235746.45</v>
      </c>
      <c r="P354" s="379">
        <v>110524.77</v>
      </c>
      <c r="Q354" s="379">
        <f t="shared" ref="Q354:Q395" si="33">O354-P354</f>
        <v>125221.68000000001</v>
      </c>
    </row>
    <row r="355" spans="1:17">
      <c r="A355" s="1" t="s">
        <v>271</v>
      </c>
      <c r="B355" s="2" t="s">
        <v>203</v>
      </c>
      <c r="C355" s="197">
        <f t="shared" si="31"/>
        <v>83331.23</v>
      </c>
      <c r="D355" s="197">
        <f t="shared" si="32"/>
        <v>61906.79</v>
      </c>
      <c r="E355" s="379">
        <f t="shared" si="30"/>
        <v>21424.439999999995</v>
      </c>
      <c r="M355" s="1" t="s">
        <v>165</v>
      </c>
      <c r="N355" s="2">
        <v>2396</v>
      </c>
      <c r="O355" s="379">
        <v>83331.23</v>
      </c>
      <c r="P355" s="379">
        <v>61906.79</v>
      </c>
      <c r="Q355" s="379">
        <f t="shared" si="33"/>
        <v>21424.439999999995</v>
      </c>
    </row>
    <row r="356" spans="1:17">
      <c r="A356" s="1" t="s">
        <v>264</v>
      </c>
      <c r="B356" s="2" t="s">
        <v>203</v>
      </c>
      <c r="C356" s="197">
        <f t="shared" si="31"/>
        <v>327760.89</v>
      </c>
      <c r="D356" s="197">
        <f t="shared" si="32"/>
        <v>118869.34</v>
      </c>
      <c r="E356" s="379">
        <f t="shared" si="30"/>
        <v>208891.55000000002</v>
      </c>
      <c r="M356" s="1" t="s">
        <v>166</v>
      </c>
      <c r="N356" s="2">
        <v>2396</v>
      </c>
      <c r="O356" s="379">
        <v>327760.89</v>
      </c>
      <c r="P356" s="379">
        <v>118869.34</v>
      </c>
      <c r="Q356" s="379">
        <f t="shared" si="33"/>
        <v>208891.55000000002</v>
      </c>
    </row>
    <row r="357" spans="1:17">
      <c r="A357" s="1" t="s">
        <v>268</v>
      </c>
      <c r="B357" s="2" t="s">
        <v>203</v>
      </c>
      <c r="C357" s="197">
        <f t="shared" si="31"/>
        <v>86702.18</v>
      </c>
      <c r="D357" s="197">
        <f t="shared" si="32"/>
        <v>65083.17</v>
      </c>
      <c r="E357" s="379">
        <f t="shared" ref="E357:E395" si="34">C357-D357</f>
        <v>21619.009999999995</v>
      </c>
      <c r="M357" s="1" t="s">
        <v>145</v>
      </c>
      <c r="N357" s="2">
        <v>2396</v>
      </c>
      <c r="O357" s="379">
        <v>86702.18</v>
      </c>
      <c r="P357" s="379">
        <v>65083.17</v>
      </c>
      <c r="Q357" s="379">
        <f t="shared" si="33"/>
        <v>21619.009999999995</v>
      </c>
    </row>
    <row r="358" spans="1:17">
      <c r="A358" s="1" t="s">
        <v>272</v>
      </c>
      <c r="B358" s="2" t="s">
        <v>203</v>
      </c>
      <c r="C358" s="197">
        <f t="shared" si="31"/>
        <v>13016.98</v>
      </c>
      <c r="D358" s="197">
        <f t="shared" si="32"/>
        <v>6507.42</v>
      </c>
      <c r="E358" s="379">
        <f t="shared" si="34"/>
        <v>6509.5599999999995</v>
      </c>
      <c r="M358" s="1" t="s">
        <v>9</v>
      </c>
      <c r="N358" s="2">
        <v>2396</v>
      </c>
      <c r="O358" s="379">
        <v>13016.98</v>
      </c>
      <c r="P358" s="379">
        <v>6507.42</v>
      </c>
      <c r="Q358" s="379">
        <f t="shared" si="33"/>
        <v>6509.5599999999995</v>
      </c>
    </row>
    <row r="359" spans="1:17">
      <c r="A359" s="1" t="s">
        <v>265</v>
      </c>
      <c r="B359" s="2" t="s">
        <v>203</v>
      </c>
      <c r="C359" s="197">
        <f t="shared" si="31"/>
        <v>52942.62</v>
      </c>
      <c r="D359" s="197">
        <f t="shared" si="32"/>
        <v>33164.57</v>
      </c>
      <c r="E359" s="379">
        <f t="shared" si="34"/>
        <v>19778.050000000003</v>
      </c>
      <c r="M359" s="1" t="s">
        <v>168</v>
      </c>
      <c r="N359" s="2">
        <v>2396</v>
      </c>
      <c r="O359" s="379">
        <v>52942.62</v>
      </c>
      <c r="P359" s="379">
        <v>33164.57</v>
      </c>
      <c r="Q359" s="379">
        <f t="shared" si="33"/>
        <v>19778.050000000003</v>
      </c>
    </row>
    <row r="360" spans="1:17">
      <c r="A360" s="1" t="s">
        <v>273</v>
      </c>
      <c r="B360" s="2" t="s">
        <v>203</v>
      </c>
      <c r="C360" s="197">
        <f t="shared" si="31"/>
        <v>121542.51</v>
      </c>
      <c r="D360" s="197">
        <f t="shared" si="32"/>
        <v>143613.34</v>
      </c>
      <c r="E360" s="379">
        <f t="shared" si="34"/>
        <v>-22070.83</v>
      </c>
      <c r="M360" s="1" t="s">
        <v>6</v>
      </c>
      <c r="N360" s="2">
        <v>2396</v>
      </c>
      <c r="O360" s="379">
        <v>121542.51</v>
      </c>
      <c r="P360" s="379">
        <v>143613.34</v>
      </c>
      <c r="Q360" s="379">
        <f t="shared" si="33"/>
        <v>-22070.83</v>
      </c>
    </row>
    <row r="361" spans="1:17">
      <c r="A361" s="1" t="s">
        <v>266</v>
      </c>
      <c r="B361" s="2" t="s">
        <v>203</v>
      </c>
      <c r="C361" s="197">
        <f t="shared" si="31"/>
        <v>170034.37</v>
      </c>
      <c r="D361" s="197">
        <f t="shared" si="32"/>
        <v>103924.94</v>
      </c>
      <c r="E361" s="379">
        <f t="shared" si="34"/>
        <v>66109.429999999993</v>
      </c>
      <c r="M361" s="1" t="s">
        <v>172</v>
      </c>
      <c r="N361" s="2">
        <v>2396</v>
      </c>
      <c r="O361" s="379">
        <v>170034.37</v>
      </c>
      <c r="P361" s="379">
        <v>103924.94</v>
      </c>
      <c r="Q361" s="379">
        <f t="shared" si="33"/>
        <v>66109.429999999993</v>
      </c>
    </row>
    <row r="362" spans="1:17">
      <c r="A362" s="1" t="s">
        <v>275</v>
      </c>
      <c r="B362" s="2" t="s">
        <v>203</v>
      </c>
      <c r="C362" s="197">
        <f t="shared" si="31"/>
        <v>25918.77</v>
      </c>
      <c r="D362" s="197">
        <f t="shared" si="32"/>
        <v>18084.169999999998</v>
      </c>
      <c r="E362" s="379">
        <f t="shared" si="34"/>
        <v>7834.6000000000022</v>
      </c>
      <c r="M362" s="1" t="s">
        <v>173</v>
      </c>
      <c r="N362" s="2">
        <v>2396</v>
      </c>
      <c r="O362" s="379">
        <v>25918.77</v>
      </c>
      <c r="P362" s="379">
        <v>18084.169999999998</v>
      </c>
      <c r="Q362" s="379">
        <f t="shared" si="33"/>
        <v>7834.6000000000022</v>
      </c>
    </row>
    <row r="363" spans="1:17">
      <c r="A363" s="1" t="s">
        <v>276</v>
      </c>
      <c r="B363" s="2" t="s">
        <v>203</v>
      </c>
      <c r="C363" s="197">
        <f t="shared" si="31"/>
        <v>9538.34</v>
      </c>
      <c r="D363" s="197">
        <f t="shared" si="32"/>
        <v>-14114.78</v>
      </c>
      <c r="E363" s="379">
        <f t="shared" si="34"/>
        <v>23653.120000000003</v>
      </c>
      <c r="M363" s="1" t="s">
        <v>137</v>
      </c>
      <c r="N363" s="2">
        <v>2396</v>
      </c>
      <c r="O363" s="379">
        <v>9538.34</v>
      </c>
      <c r="P363" s="379">
        <v>-14114.78</v>
      </c>
      <c r="Q363" s="379">
        <f t="shared" si="33"/>
        <v>23653.120000000003</v>
      </c>
    </row>
    <row r="364" spans="1:17">
      <c r="A364" s="1" t="s">
        <v>269</v>
      </c>
      <c r="B364" s="2" t="s">
        <v>203</v>
      </c>
      <c r="C364" s="197">
        <f t="shared" si="31"/>
        <v>91324.18</v>
      </c>
      <c r="D364" s="197">
        <f t="shared" si="32"/>
        <v>76227.88</v>
      </c>
      <c r="E364" s="379">
        <f t="shared" si="34"/>
        <v>15096.299999999988</v>
      </c>
      <c r="M364" s="1" t="s">
        <v>660</v>
      </c>
      <c r="N364" s="2">
        <v>2396</v>
      </c>
      <c r="O364" s="379">
        <v>91324.18</v>
      </c>
      <c r="P364" s="379">
        <v>76227.88</v>
      </c>
      <c r="Q364" s="379">
        <f t="shared" si="33"/>
        <v>15096.299999999988</v>
      </c>
    </row>
    <row r="365" spans="1:17">
      <c r="A365" s="1" t="s">
        <v>262</v>
      </c>
      <c r="B365" s="2" t="s">
        <v>204</v>
      </c>
      <c r="C365" s="197">
        <f t="shared" si="31"/>
        <v>35249.17</v>
      </c>
      <c r="D365" s="197">
        <f t="shared" si="32"/>
        <v>26716.25</v>
      </c>
      <c r="E365" s="379">
        <f t="shared" si="34"/>
        <v>8532.9199999999983</v>
      </c>
      <c r="M365" s="1" t="s">
        <v>141</v>
      </c>
      <c r="N365" s="2">
        <v>2397</v>
      </c>
      <c r="O365" s="379">
        <v>35249.17</v>
      </c>
      <c r="P365" s="379">
        <v>26716.25</v>
      </c>
      <c r="Q365" s="379">
        <f t="shared" si="33"/>
        <v>8532.9199999999983</v>
      </c>
    </row>
    <row r="366" spans="1:17">
      <c r="A366" s="1" t="s">
        <v>267</v>
      </c>
      <c r="B366" s="2" t="s">
        <v>204</v>
      </c>
      <c r="C366" s="197">
        <f t="shared" si="31"/>
        <v>178424.28</v>
      </c>
      <c r="D366" s="197">
        <f t="shared" si="32"/>
        <v>165798.54</v>
      </c>
      <c r="E366" s="379">
        <f t="shared" si="34"/>
        <v>12625.739999999991</v>
      </c>
      <c r="M366" s="1" t="s">
        <v>162</v>
      </c>
      <c r="N366" s="2">
        <v>2397</v>
      </c>
      <c r="O366" s="379">
        <v>178424.28</v>
      </c>
      <c r="P366" s="379">
        <v>165798.54</v>
      </c>
      <c r="Q366" s="379">
        <f t="shared" si="33"/>
        <v>12625.739999999991</v>
      </c>
    </row>
    <row r="367" spans="1:17">
      <c r="A367" s="1" t="s">
        <v>263</v>
      </c>
      <c r="B367" s="2" t="s">
        <v>204</v>
      </c>
      <c r="C367" s="197">
        <f t="shared" si="31"/>
        <v>797938.06</v>
      </c>
      <c r="D367" s="197">
        <f t="shared" si="32"/>
        <v>598064.11</v>
      </c>
      <c r="E367" s="379">
        <f t="shared" si="34"/>
        <v>199873.95000000007</v>
      </c>
      <c r="M367" s="1" t="s">
        <v>163</v>
      </c>
      <c r="N367" s="2">
        <v>2397</v>
      </c>
      <c r="O367" s="379">
        <v>797938.06</v>
      </c>
      <c r="P367" s="379">
        <v>598064.11</v>
      </c>
      <c r="Q367" s="379">
        <f t="shared" si="33"/>
        <v>199873.95000000007</v>
      </c>
    </row>
    <row r="368" spans="1:17">
      <c r="A368" s="1" t="s">
        <v>270</v>
      </c>
      <c r="B368" s="2" t="s">
        <v>204</v>
      </c>
      <c r="C368" s="197">
        <f t="shared" si="31"/>
        <v>305990.21000000002</v>
      </c>
      <c r="D368" s="197">
        <f t="shared" si="32"/>
        <v>320208.34999999998</v>
      </c>
      <c r="E368" s="379">
        <f t="shared" si="34"/>
        <v>-14218.139999999956</v>
      </c>
      <c r="M368" s="1" t="s">
        <v>164</v>
      </c>
      <c r="N368" s="2">
        <v>2397</v>
      </c>
      <c r="O368" s="379">
        <v>305990.21000000002</v>
      </c>
      <c r="P368" s="379">
        <v>320208.34999999998</v>
      </c>
      <c r="Q368" s="379">
        <f t="shared" si="33"/>
        <v>-14218.139999999956</v>
      </c>
    </row>
    <row r="369" spans="1:17">
      <c r="A369" s="1" t="s">
        <v>264</v>
      </c>
      <c r="B369" s="2" t="s">
        <v>204</v>
      </c>
      <c r="C369" s="197">
        <f t="shared" si="31"/>
        <v>4192101.35</v>
      </c>
      <c r="D369" s="197">
        <f t="shared" si="32"/>
        <v>2518270.6800000002</v>
      </c>
      <c r="E369" s="379">
        <f t="shared" si="34"/>
        <v>1673830.67</v>
      </c>
      <c r="M369" s="1" t="s">
        <v>166</v>
      </c>
      <c r="N369" s="2">
        <v>2397</v>
      </c>
      <c r="O369" s="379">
        <v>4192101.35</v>
      </c>
      <c r="P369" s="379">
        <v>2518270.6800000002</v>
      </c>
      <c r="Q369" s="379">
        <f t="shared" si="33"/>
        <v>1673830.67</v>
      </c>
    </row>
    <row r="370" spans="1:17">
      <c r="A370" s="1" t="s">
        <v>268</v>
      </c>
      <c r="B370" s="2" t="s">
        <v>204</v>
      </c>
      <c r="C370" s="197">
        <f t="shared" si="31"/>
        <v>72830.759999999995</v>
      </c>
      <c r="D370" s="197">
        <f t="shared" si="32"/>
        <v>33257.760000000002</v>
      </c>
      <c r="E370" s="379">
        <f t="shared" si="34"/>
        <v>39572.999999999993</v>
      </c>
      <c r="M370" s="1" t="s">
        <v>145</v>
      </c>
      <c r="N370" s="2">
        <v>2397</v>
      </c>
      <c r="O370" s="379">
        <v>72830.759999999995</v>
      </c>
      <c r="P370" s="379">
        <v>33257.760000000002</v>
      </c>
      <c r="Q370" s="379">
        <f t="shared" si="33"/>
        <v>39572.999999999993</v>
      </c>
    </row>
    <row r="371" spans="1:17">
      <c r="A371" s="1" t="s">
        <v>272</v>
      </c>
      <c r="B371" s="2" t="s">
        <v>204</v>
      </c>
      <c r="C371" s="197">
        <f t="shared" si="31"/>
        <v>310455.21999999997</v>
      </c>
      <c r="D371" s="197">
        <f t="shared" si="32"/>
        <v>273425.84000000003</v>
      </c>
      <c r="E371" s="379">
        <f t="shared" si="34"/>
        <v>37029.379999999946</v>
      </c>
      <c r="M371" s="1" t="s">
        <v>9</v>
      </c>
      <c r="N371" s="2">
        <v>2397</v>
      </c>
      <c r="O371" s="379">
        <v>310455.21999999997</v>
      </c>
      <c r="P371" s="379">
        <v>273425.84000000003</v>
      </c>
      <c r="Q371" s="379">
        <f t="shared" si="33"/>
        <v>37029.379999999946</v>
      </c>
    </row>
    <row r="372" spans="1:17">
      <c r="A372" s="1" t="s">
        <v>278</v>
      </c>
      <c r="B372" s="2" t="s">
        <v>204</v>
      </c>
      <c r="C372" s="197">
        <f t="shared" si="31"/>
        <v>4991.29</v>
      </c>
      <c r="D372" s="197">
        <f t="shared" si="32"/>
        <v>5003.8100000000004</v>
      </c>
      <c r="E372" s="379">
        <f t="shared" si="34"/>
        <v>-12.520000000000437</v>
      </c>
      <c r="M372" s="1" t="s">
        <v>167</v>
      </c>
      <c r="N372" s="2">
        <v>2397</v>
      </c>
      <c r="O372" s="379">
        <v>4991.29</v>
      </c>
      <c r="P372" s="379">
        <v>5003.8100000000004</v>
      </c>
      <c r="Q372" s="379">
        <f t="shared" si="33"/>
        <v>-12.520000000000437</v>
      </c>
    </row>
    <row r="373" spans="1:17">
      <c r="A373" s="1" t="s">
        <v>265</v>
      </c>
      <c r="B373" s="2" t="s">
        <v>204</v>
      </c>
      <c r="C373" s="197">
        <f t="shared" si="31"/>
        <v>181880.77</v>
      </c>
      <c r="D373" s="197">
        <f t="shared" si="32"/>
        <v>112027.5</v>
      </c>
      <c r="E373" s="379">
        <f t="shared" si="34"/>
        <v>69853.26999999999</v>
      </c>
      <c r="M373" s="1" t="s">
        <v>168</v>
      </c>
      <c r="N373" s="2">
        <v>2397</v>
      </c>
      <c r="O373" s="379">
        <v>181880.77</v>
      </c>
      <c r="P373" s="379">
        <v>112027.5</v>
      </c>
      <c r="Q373" s="379">
        <f t="shared" si="33"/>
        <v>69853.26999999999</v>
      </c>
    </row>
    <row r="374" spans="1:17">
      <c r="A374" s="1" t="s">
        <v>273</v>
      </c>
      <c r="B374" s="2" t="s">
        <v>204</v>
      </c>
      <c r="C374" s="197">
        <f t="shared" si="31"/>
        <v>426462.39</v>
      </c>
      <c r="D374" s="197">
        <f t="shared" si="32"/>
        <v>122991.98</v>
      </c>
      <c r="E374" s="379">
        <f t="shared" si="34"/>
        <v>303470.41000000003</v>
      </c>
      <c r="M374" s="1" t="s">
        <v>6</v>
      </c>
      <c r="N374" s="2">
        <v>2397</v>
      </c>
      <c r="O374" s="379">
        <v>426462.39</v>
      </c>
      <c r="P374" s="379">
        <v>122991.98</v>
      </c>
      <c r="Q374" s="379">
        <f t="shared" si="33"/>
        <v>303470.41000000003</v>
      </c>
    </row>
    <row r="375" spans="1:17">
      <c r="A375" s="1" t="s">
        <v>274</v>
      </c>
      <c r="B375" s="2" t="s">
        <v>204</v>
      </c>
      <c r="C375" s="197">
        <f t="shared" si="31"/>
        <v>154195.57</v>
      </c>
      <c r="D375" s="197">
        <f t="shared" si="32"/>
        <v>84142.11</v>
      </c>
      <c r="E375" s="379">
        <f t="shared" si="34"/>
        <v>70053.460000000006</v>
      </c>
      <c r="M375" s="1" t="s">
        <v>170</v>
      </c>
      <c r="N375" s="2">
        <v>2397</v>
      </c>
      <c r="O375" s="379">
        <v>154195.57</v>
      </c>
      <c r="P375" s="379">
        <v>84142.11</v>
      </c>
      <c r="Q375" s="379">
        <f t="shared" si="33"/>
        <v>70053.460000000006</v>
      </c>
    </row>
    <row r="376" spans="1:17">
      <c r="A376" s="1" t="s">
        <v>266</v>
      </c>
      <c r="B376" s="2" t="s">
        <v>204</v>
      </c>
      <c r="C376" s="197">
        <f t="shared" si="31"/>
        <v>80565.39</v>
      </c>
      <c r="D376" s="197">
        <f t="shared" si="32"/>
        <v>47847.360000000001</v>
      </c>
      <c r="E376" s="379">
        <f t="shared" si="34"/>
        <v>32718.03</v>
      </c>
      <c r="M376" s="1" t="s">
        <v>172</v>
      </c>
      <c r="N376" s="2">
        <v>2397</v>
      </c>
      <c r="O376" s="379">
        <v>80565.39</v>
      </c>
      <c r="P376" s="379">
        <v>47847.360000000001</v>
      </c>
      <c r="Q376" s="379">
        <f t="shared" si="33"/>
        <v>32718.03</v>
      </c>
    </row>
    <row r="377" spans="1:17">
      <c r="A377" s="1" t="s">
        <v>275</v>
      </c>
      <c r="B377" s="2" t="s">
        <v>204</v>
      </c>
      <c r="C377" s="197">
        <f t="shared" si="31"/>
        <v>134147.67000000001</v>
      </c>
      <c r="D377" s="197">
        <f t="shared" si="32"/>
        <v>92322.15</v>
      </c>
      <c r="E377" s="379">
        <f t="shared" si="34"/>
        <v>41825.520000000019</v>
      </c>
      <c r="M377" s="1" t="s">
        <v>173</v>
      </c>
      <c r="N377" s="2">
        <v>2397</v>
      </c>
      <c r="O377" s="379">
        <v>134147.67000000001</v>
      </c>
      <c r="P377" s="379">
        <v>92322.15</v>
      </c>
      <c r="Q377" s="379">
        <f t="shared" si="33"/>
        <v>41825.520000000019</v>
      </c>
    </row>
    <row r="378" spans="1:17">
      <c r="A378" s="1" t="s">
        <v>276</v>
      </c>
      <c r="B378" s="2" t="s">
        <v>204</v>
      </c>
      <c r="C378" s="197">
        <f t="shared" si="31"/>
        <v>158101.32999999999</v>
      </c>
      <c r="D378" s="197">
        <f t="shared" si="32"/>
        <v>149922.79</v>
      </c>
      <c r="E378" s="379">
        <f t="shared" si="34"/>
        <v>8178.539999999979</v>
      </c>
      <c r="M378" s="1" t="s">
        <v>137</v>
      </c>
      <c r="N378" s="2">
        <v>2397</v>
      </c>
      <c r="O378" s="379">
        <v>158101.32999999999</v>
      </c>
      <c r="P378" s="379">
        <v>149922.79</v>
      </c>
      <c r="Q378" s="379">
        <f t="shared" si="33"/>
        <v>8178.539999999979</v>
      </c>
    </row>
    <row r="379" spans="1:17">
      <c r="A379" s="1" t="s">
        <v>269</v>
      </c>
      <c r="B379" s="2" t="s">
        <v>204</v>
      </c>
      <c r="C379" s="197">
        <f t="shared" si="31"/>
        <v>65912.850000000006</v>
      </c>
      <c r="D379" s="197">
        <f t="shared" si="32"/>
        <v>57488.959999999999</v>
      </c>
      <c r="E379" s="379">
        <f t="shared" si="34"/>
        <v>8423.8900000000067</v>
      </c>
      <c r="M379" s="1" t="s">
        <v>660</v>
      </c>
      <c r="N379" s="2">
        <v>2397</v>
      </c>
      <c r="O379" s="379">
        <v>65912.850000000006</v>
      </c>
      <c r="P379" s="379">
        <v>57488.959999999999</v>
      </c>
      <c r="Q379" s="379">
        <f t="shared" si="33"/>
        <v>8423.8900000000067</v>
      </c>
    </row>
    <row r="380" spans="1:17">
      <c r="A380" s="1" t="s">
        <v>302</v>
      </c>
      <c r="B380" s="2" t="s">
        <v>204</v>
      </c>
      <c r="C380" s="197">
        <f t="shared" si="31"/>
        <v>5950</v>
      </c>
      <c r="D380" s="197">
        <f t="shared" si="32"/>
        <v>5948.08</v>
      </c>
      <c r="E380" s="379">
        <f t="shared" si="34"/>
        <v>1.9200000000000728</v>
      </c>
      <c r="M380" s="1" t="s">
        <v>153</v>
      </c>
      <c r="N380" s="2">
        <v>2397</v>
      </c>
      <c r="O380" s="379">
        <v>5950</v>
      </c>
      <c r="P380" s="379">
        <v>5948.08</v>
      </c>
      <c r="Q380" s="379">
        <f t="shared" si="33"/>
        <v>1.9200000000000728</v>
      </c>
    </row>
    <row r="381" spans="1:17">
      <c r="A381" s="1" t="s">
        <v>262</v>
      </c>
      <c r="B381" s="2" t="s">
        <v>205</v>
      </c>
      <c r="C381" s="197">
        <f t="shared" si="31"/>
        <v>7731.81</v>
      </c>
      <c r="D381" s="197">
        <f t="shared" si="32"/>
        <v>3157.48</v>
      </c>
      <c r="E381" s="379">
        <f t="shared" si="34"/>
        <v>4574.33</v>
      </c>
      <c r="M381" s="1" t="s">
        <v>141</v>
      </c>
      <c r="N381" s="2">
        <v>2398</v>
      </c>
      <c r="O381" s="379">
        <v>7731.81</v>
      </c>
      <c r="P381" s="379">
        <v>3157.48</v>
      </c>
      <c r="Q381" s="379">
        <f t="shared" si="33"/>
        <v>4574.33</v>
      </c>
    </row>
    <row r="382" spans="1:17">
      <c r="A382" s="1" t="s">
        <v>267</v>
      </c>
      <c r="B382" s="2" t="s">
        <v>205</v>
      </c>
      <c r="C382" s="197">
        <f t="shared" si="31"/>
        <v>1290.1600000000001</v>
      </c>
      <c r="D382" s="197">
        <f t="shared" si="32"/>
        <v>61.96</v>
      </c>
      <c r="E382" s="379">
        <f t="shared" si="34"/>
        <v>1228.2</v>
      </c>
      <c r="M382" s="1" t="s">
        <v>162</v>
      </c>
      <c r="N382" s="2">
        <v>2398</v>
      </c>
      <c r="O382" s="379">
        <v>1290.1600000000001</v>
      </c>
      <c r="P382" s="379">
        <v>61.96</v>
      </c>
      <c r="Q382" s="379">
        <f t="shared" si="33"/>
        <v>1228.2</v>
      </c>
    </row>
    <row r="383" spans="1:17">
      <c r="A383" s="1" t="s">
        <v>263</v>
      </c>
      <c r="B383" s="2" t="s">
        <v>205</v>
      </c>
      <c r="C383" s="197">
        <f t="shared" si="31"/>
        <v>71037.55</v>
      </c>
      <c r="D383" s="197">
        <f t="shared" si="32"/>
        <v>19882.07</v>
      </c>
      <c r="E383" s="379">
        <f t="shared" si="34"/>
        <v>51155.48</v>
      </c>
      <c r="M383" s="1" t="s">
        <v>163</v>
      </c>
      <c r="N383" s="2">
        <v>2398</v>
      </c>
      <c r="O383" s="379">
        <v>71037.55</v>
      </c>
      <c r="P383" s="379">
        <v>19882.07</v>
      </c>
      <c r="Q383" s="379">
        <f t="shared" si="33"/>
        <v>51155.48</v>
      </c>
    </row>
    <row r="384" spans="1:17">
      <c r="A384" s="1" t="s">
        <v>270</v>
      </c>
      <c r="B384" s="2" t="s">
        <v>205</v>
      </c>
      <c r="C384" s="197">
        <f t="shared" si="31"/>
        <v>9699.66</v>
      </c>
      <c r="D384" s="197">
        <f t="shared" si="32"/>
        <v>4513.8500000000004</v>
      </c>
      <c r="E384" s="379">
        <f t="shared" si="34"/>
        <v>5185.8099999999995</v>
      </c>
      <c r="M384" s="1" t="s">
        <v>164</v>
      </c>
      <c r="N384" s="2">
        <v>2398</v>
      </c>
      <c r="O384" s="379">
        <v>9699.66</v>
      </c>
      <c r="P384" s="379">
        <v>4513.8500000000004</v>
      </c>
      <c r="Q384" s="379">
        <f t="shared" si="33"/>
        <v>5185.8099999999995</v>
      </c>
    </row>
    <row r="385" spans="1:18">
      <c r="A385" s="1" t="s">
        <v>271</v>
      </c>
      <c r="B385" s="2" t="s">
        <v>205</v>
      </c>
      <c r="C385" s="197">
        <f t="shared" si="31"/>
        <v>4155.2</v>
      </c>
      <c r="D385" s="197">
        <f t="shared" si="32"/>
        <v>-542.15</v>
      </c>
      <c r="E385" s="379">
        <f t="shared" si="34"/>
        <v>4697.3499999999995</v>
      </c>
      <c r="M385" s="1" t="s">
        <v>165</v>
      </c>
      <c r="N385" s="2">
        <v>2398</v>
      </c>
      <c r="O385" s="379">
        <v>4155.2</v>
      </c>
      <c r="P385" s="379">
        <v>-542.15</v>
      </c>
      <c r="Q385" s="379">
        <f t="shared" si="33"/>
        <v>4697.3499999999995</v>
      </c>
    </row>
    <row r="386" spans="1:18">
      <c r="A386" s="1" t="s">
        <v>264</v>
      </c>
      <c r="B386" s="2" t="s">
        <v>205</v>
      </c>
      <c r="C386" s="197">
        <f t="shared" si="31"/>
        <v>21044.04</v>
      </c>
      <c r="D386" s="197">
        <f t="shared" si="32"/>
        <v>3494.4</v>
      </c>
      <c r="E386" s="379">
        <f t="shared" si="34"/>
        <v>17549.64</v>
      </c>
      <c r="M386" s="1" t="s">
        <v>166</v>
      </c>
      <c r="N386" s="2">
        <v>2398</v>
      </c>
      <c r="O386" s="379">
        <v>21044.04</v>
      </c>
      <c r="P386" s="379">
        <v>3494.4</v>
      </c>
      <c r="Q386" s="379">
        <f t="shared" si="33"/>
        <v>17549.64</v>
      </c>
    </row>
    <row r="387" spans="1:18">
      <c r="A387" s="1" t="s">
        <v>268</v>
      </c>
      <c r="B387" s="2" t="s">
        <v>205</v>
      </c>
      <c r="C387" s="197">
        <f t="shared" si="31"/>
        <v>4277.41</v>
      </c>
      <c r="D387" s="197">
        <f t="shared" si="32"/>
        <v>708.26</v>
      </c>
      <c r="E387" s="379">
        <f t="shared" si="34"/>
        <v>3569.1499999999996</v>
      </c>
      <c r="M387" s="1" t="s">
        <v>145</v>
      </c>
      <c r="N387" s="2">
        <v>2398</v>
      </c>
      <c r="O387" s="379">
        <v>4277.41</v>
      </c>
      <c r="P387" s="379">
        <v>708.26</v>
      </c>
      <c r="Q387" s="379">
        <f t="shared" si="33"/>
        <v>3569.1499999999996</v>
      </c>
    </row>
    <row r="388" spans="1:18">
      <c r="A388" s="1" t="s">
        <v>272</v>
      </c>
      <c r="B388" s="2" t="s">
        <v>205</v>
      </c>
      <c r="C388" s="197">
        <f t="shared" si="31"/>
        <v>4414.4799999999996</v>
      </c>
      <c r="D388" s="197">
        <f t="shared" si="32"/>
        <v>1063.04</v>
      </c>
      <c r="E388" s="379">
        <f t="shared" si="34"/>
        <v>3351.4399999999996</v>
      </c>
      <c r="M388" s="1" t="s">
        <v>9</v>
      </c>
      <c r="N388" s="2">
        <v>2398</v>
      </c>
      <c r="O388" s="379">
        <v>4414.4799999999996</v>
      </c>
      <c r="P388" s="379">
        <v>1063.04</v>
      </c>
      <c r="Q388" s="379">
        <f t="shared" si="33"/>
        <v>3351.4399999999996</v>
      </c>
    </row>
    <row r="389" spans="1:18">
      <c r="A389" s="1" t="s">
        <v>265</v>
      </c>
      <c r="B389" s="2" t="s">
        <v>205</v>
      </c>
      <c r="C389" s="197">
        <f t="shared" si="31"/>
        <v>135333.75</v>
      </c>
      <c r="D389" s="197">
        <f t="shared" si="32"/>
        <v>163865.32</v>
      </c>
      <c r="E389" s="379">
        <f t="shared" si="34"/>
        <v>-28531.570000000007</v>
      </c>
      <c r="M389" s="1" t="s">
        <v>168</v>
      </c>
      <c r="N389" s="2">
        <v>2398</v>
      </c>
      <c r="O389" s="379">
        <v>135333.75</v>
      </c>
      <c r="P389" s="379">
        <v>163865.32</v>
      </c>
      <c r="Q389" s="379">
        <f t="shared" si="33"/>
        <v>-28531.570000000007</v>
      </c>
    </row>
    <row r="390" spans="1:18">
      <c r="A390" s="1" t="s">
        <v>273</v>
      </c>
      <c r="B390" s="2" t="s">
        <v>205</v>
      </c>
      <c r="C390" s="197">
        <f t="shared" si="31"/>
        <v>13001.55</v>
      </c>
      <c r="D390" s="197">
        <f t="shared" si="32"/>
        <v>-30698.87</v>
      </c>
      <c r="E390" s="379">
        <f t="shared" si="34"/>
        <v>43700.42</v>
      </c>
      <c r="M390" s="1" t="s">
        <v>6</v>
      </c>
      <c r="N390" s="2">
        <v>2398</v>
      </c>
      <c r="O390" s="379">
        <v>13001.55</v>
      </c>
      <c r="P390" s="379">
        <v>-30698.87</v>
      </c>
      <c r="Q390" s="379">
        <f t="shared" si="33"/>
        <v>43700.42</v>
      </c>
    </row>
    <row r="391" spans="1:18">
      <c r="A391" s="1" t="s">
        <v>274</v>
      </c>
      <c r="B391" s="2" t="s">
        <v>205</v>
      </c>
      <c r="C391" s="197">
        <f t="shared" si="31"/>
        <v>8777.06</v>
      </c>
      <c r="D391" s="197">
        <f t="shared" si="32"/>
        <v>1948.59</v>
      </c>
      <c r="E391" s="379">
        <f t="shared" si="34"/>
        <v>6828.4699999999993</v>
      </c>
      <c r="M391" s="1" t="s">
        <v>170</v>
      </c>
      <c r="N391" s="2">
        <v>2398</v>
      </c>
      <c r="O391" s="379">
        <v>8777.06</v>
      </c>
      <c r="P391" s="379">
        <v>1948.59</v>
      </c>
      <c r="Q391" s="379">
        <f t="shared" si="33"/>
        <v>6828.4699999999993</v>
      </c>
    </row>
    <row r="392" spans="1:18">
      <c r="A392" s="1" t="s">
        <v>266</v>
      </c>
      <c r="B392" s="2" t="s">
        <v>205</v>
      </c>
      <c r="C392" s="197">
        <f t="shared" si="31"/>
        <v>9385.8700000000008</v>
      </c>
      <c r="D392" s="197">
        <f t="shared" si="32"/>
        <v>4510.21</v>
      </c>
      <c r="E392" s="379">
        <f t="shared" si="34"/>
        <v>4875.6600000000008</v>
      </c>
      <c r="M392" s="1" t="s">
        <v>172</v>
      </c>
      <c r="N392" s="2">
        <v>2398</v>
      </c>
      <c r="O392" s="379">
        <v>9385.8700000000008</v>
      </c>
      <c r="P392" s="379">
        <v>4510.21</v>
      </c>
      <c r="Q392" s="379">
        <f t="shared" si="33"/>
        <v>4875.6600000000008</v>
      </c>
    </row>
    <row r="393" spans="1:18">
      <c r="A393" s="1" t="s">
        <v>275</v>
      </c>
      <c r="B393" s="2" t="s">
        <v>205</v>
      </c>
      <c r="C393" s="197">
        <f t="shared" si="31"/>
        <v>4221.92</v>
      </c>
      <c r="D393" s="197">
        <f t="shared" si="32"/>
        <v>-2006.88</v>
      </c>
      <c r="E393" s="379">
        <f t="shared" si="34"/>
        <v>6228.8</v>
      </c>
      <c r="M393" s="1" t="s">
        <v>173</v>
      </c>
      <c r="N393" s="2">
        <v>2398</v>
      </c>
      <c r="O393" s="379">
        <v>4221.92</v>
      </c>
      <c r="P393" s="379">
        <v>-2006.88</v>
      </c>
      <c r="Q393" s="379">
        <f t="shared" si="33"/>
        <v>6228.8</v>
      </c>
    </row>
    <row r="394" spans="1:18">
      <c r="A394" s="1" t="s">
        <v>276</v>
      </c>
      <c r="B394" s="2" t="s">
        <v>205</v>
      </c>
      <c r="C394" s="197">
        <f t="shared" si="31"/>
        <v>141867.37</v>
      </c>
      <c r="D394" s="197">
        <f t="shared" si="32"/>
        <v>117121.9</v>
      </c>
      <c r="E394" s="379">
        <f t="shared" si="34"/>
        <v>24745.47</v>
      </c>
      <c r="M394" s="1" t="s">
        <v>137</v>
      </c>
      <c r="N394" s="2">
        <v>2398</v>
      </c>
      <c r="O394" s="379">
        <v>141867.37</v>
      </c>
      <c r="P394" s="379">
        <v>117121.9</v>
      </c>
      <c r="Q394" s="379">
        <f t="shared" si="33"/>
        <v>24745.47</v>
      </c>
    </row>
    <row r="395" spans="1:18">
      <c r="A395" s="1" t="s">
        <v>269</v>
      </c>
      <c r="B395" s="2" t="s">
        <v>205</v>
      </c>
      <c r="C395" s="197">
        <f t="shared" si="31"/>
        <v>6908.1</v>
      </c>
      <c r="D395" s="197">
        <f t="shared" si="32"/>
        <v>1271.08</v>
      </c>
      <c r="E395" s="379">
        <f t="shared" si="34"/>
        <v>5637.02</v>
      </c>
      <c r="M395" s="1" t="s">
        <v>660</v>
      </c>
      <c r="N395" s="2">
        <v>2398</v>
      </c>
      <c r="O395" s="379">
        <v>6908.1</v>
      </c>
      <c r="P395" s="379">
        <v>1271.08</v>
      </c>
      <c r="Q395" s="379">
        <f t="shared" si="33"/>
        <v>5637.02</v>
      </c>
    </row>
    <row r="396" spans="1:18">
      <c r="C396" s="373">
        <f>SUM(C96:C395)</f>
        <v>1176998752.9799995</v>
      </c>
      <c r="D396" s="373">
        <f>SUM(D96:D395)</f>
        <v>567918158.60000086</v>
      </c>
      <c r="E396" s="373">
        <f>SUM(E96:E395)</f>
        <v>609080594.37999976</v>
      </c>
      <c r="N396" s="2"/>
      <c r="O396" s="406">
        <f>SUM(O96:O395)</f>
        <v>1176998752.9799995</v>
      </c>
      <c r="P396" s="406">
        <f>SUM(P96:P395)</f>
        <v>567918158.60000086</v>
      </c>
      <c r="Q396" s="406">
        <f>SUM(Q96:Q395)</f>
        <v>609080594.37999976</v>
      </c>
    </row>
    <row r="397" spans="1:18" ht="13.5" thickBot="1">
      <c r="A397" s="198"/>
      <c r="B397" s="198"/>
      <c r="C397" s="374">
        <f>C396+C93</f>
        <v>1243593916.5299995</v>
      </c>
      <c r="D397" s="374">
        <f>D396+D93</f>
        <v>597340628.42000091</v>
      </c>
      <c r="E397" s="374">
        <f>E396+E93</f>
        <v>646253288.10999978</v>
      </c>
      <c r="N397" s="2"/>
      <c r="O397" s="406">
        <f>O396+O93</f>
        <v>1243593916.5299995</v>
      </c>
      <c r="P397" s="406">
        <f>P396+P93</f>
        <v>597340628.42000091</v>
      </c>
      <c r="Q397" s="406">
        <f>Q396+Q93</f>
        <v>646253288.10999978</v>
      </c>
    </row>
    <row r="398" spans="1:18" ht="13.5" thickTop="1">
      <c r="A398" s="198"/>
      <c r="B398" s="198"/>
      <c r="C398" s="199"/>
      <c r="D398" s="199"/>
      <c r="E398" s="199"/>
      <c r="N398" s="2"/>
      <c r="O398" s="380">
        <f>O396</f>
        <v>1176998752.9799995</v>
      </c>
      <c r="P398" s="380" t="s">
        <v>1135</v>
      </c>
      <c r="Q398" s="380"/>
      <c r="R398" s="380"/>
    </row>
    <row r="399" spans="1:18">
      <c r="A399" s="198"/>
      <c r="B399" s="198"/>
      <c r="C399" s="199"/>
      <c r="D399" s="199"/>
      <c r="E399" s="199"/>
      <c r="N399" s="2"/>
      <c r="O399" s="379"/>
      <c r="P399" s="379"/>
      <c r="Q399" s="379"/>
    </row>
    <row r="400" spans="1:18">
      <c r="A400" s="198"/>
      <c r="B400" s="198"/>
      <c r="C400" s="199"/>
      <c r="D400" s="199"/>
      <c r="E400" s="199"/>
      <c r="N400" s="2"/>
      <c r="O400" s="379"/>
      <c r="P400" s="379"/>
      <c r="Q400" s="379"/>
    </row>
    <row r="401" spans="1:17">
      <c r="A401" s="1" t="s">
        <v>287</v>
      </c>
      <c r="B401" s="2" t="s">
        <v>187</v>
      </c>
      <c r="C401" s="197">
        <v>2045559.74</v>
      </c>
      <c r="D401" s="197">
        <v>1122160.93</v>
      </c>
      <c r="E401" s="379">
        <f t="shared" ref="E401:E465" si="35">C401-D401</f>
        <v>923398.81</v>
      </c>
      <c r="G401" s="1" t="s">
        <v>287</v>
      </c>
      <c r="H401" s="2" t="s">
        <v>187</v>
      </c>
      <c r="I401" s="197">
        <f>C401</f>
        <v>2045559.74</v>
      </c>
      <c r="L401" s="64">
        <v>0</v>
      </c>
      <c r="M401" s="1" t="s">
        <v>289</v>
      </c>
      <c r="N401" s="2"/>
      <c r="O401" s="379"/>
      <c r="P401" s="379"/>
      <c r="Q401" s="379"/>
    </row>
    <row r="402" spans="1:17">
      <c r="A402" s="1" t="s">
        <v>287</v>
      </c>
      <c r="B402" s="2" t="s">
        <v>189</v>
      </c>
      <c r="C402" s="197">
        <v>15819.69</v>
      </c>
      <c r="D402" s="197">
        <v>1868.97</v>
      </c>
      <c r="E402" s="379">
        <f t="shared" si="35"/>
        <v>13950.720000000001</v>
      </c>
      <c r="G402" s="1" t="s">
        <v>287</v>
      </c>
      <c r="H402" s="2" t="s">
        <v>189</v>
      </c>
      <c r="I402" s="197">
        <f t="shared" ref="I402:I466" si="36">C402</f>
        <v>15819.69</v>
      </c>
      <c r="J402" s="64">
        <f>I402+I401</f>
        <v>2061379.43</v>
      </c>
      <c r="L402" s="64">
        <v>0</v>
      </c>
      <c r="M402" s="1" t="s">
        <v>289</v>
      </c>
      <c r="N402" s="2"/>
      <c r="O402" s="379"/>
      <c r="P402" s="379"/>
      <c r="Q402" s="379"/>
    </row>
    <row r="403" spans="1:17">
      <c r="A403" s="1" t="s">
        <v>262</v>
      </c>
      <c r="B403" s="2" t="s">
        <v>187</v>
      </c>
      <c r="C403" s="197">
        <v>15193180.85</v>
      </c>
      <c r="D403" s="197">
        <v>10325826.970000001</v>
      </c>
      <c r="E403" s="379">
        <f t="shared" si="35"/>
        <v>4867353.879999999</v>
      </c>
      <c r="G403" s="1" t="s">
        <v>262</v>
      </c>
      <c r="H403" s="2" t="s">
        <v>187</v>
      </c>
      <c r="I403" s="197">
        <f t="shared" si="36"/>
        <v>15193180.85</v>
      </c>
      <c r="L403" s="64">
        <v>490</v>
      </c>
      <c r="M403" s="1" t="s">
        <v>274</v>
      </c>
      <c r="N403" s="2"/>
      <c r="O403" s="379"/>
      <c r="P403" s="379"/>
      <c r="Q403" s="379"/>
    </row>
    <row r="404" spans="1:17">
      <c r="A404" s="1" t="s">
        <v>262</v>
      </c>
      <c r="B404" s="2" t="s">
        <v>188</v>
      </c>
      <c r="C404" s="197">
        <v>311934.84000000003</v>
      </c>
      <c r="D404" s="197">
        <v>91612</v>
      </c>
      <c r="E404" s="379">
        <f t="shared" si="35"/>
        <v>220322.84000000003</v>
      </c>
      <c r="G404" s="1" t="s">
        <v>262</v>
      </c>
      <c r="H404" s="2" t="s">
        <v>188</v>
      </c>
      <c r="I404" s="197">
        <f t="shared" si="36"/>
        <v>311934.84000000003</v>
      </c>
      <c r="L404" s="64">
        <v>702.98</v>
      </c>
      <c r="M404" s="1" t="s">
        <v>278</v>
      </c>
      <c r="N404" s="2"/>
      <c r="O404" s="379"/>
      <c r="P404" s="379"/>
      <c r="Q404" s="379"/>
    </row>
    <row r="405" spans="1:17">
      <c r="A405" s="1" t="s">
        <v>262</v>
      </c>
      <c r="B405" s="2" t="s">
        <v>189</v>
      </c>
      <c r="C405" s="197">
        <v>1915402.95</v>
      </c>
      <c r="D405" s="197">
        <v>248524.53</v>
      </c>
      <c r="E405" s="379">
        <f t="shared" si="35"/>
        <v>1666878.42</v>
      </c>
      <c r="G405" s="1" t="s">
        <v>262</v>
      </c>
      <c r="H405" s="2" t="s">
        <v>189</v>
      </c>
      <c r="I405" s="197">
        <f t="shared" si="36"/>
        <v>1915402.95</v>
      </c>
      <c r="L405" s="64">
        <v>1290.1600000000001</v>
      </c>
      <c r="M405" s="1" t="s">
        <v>267</v>
      </c>
      <c r="N405" s="2"/>
      <c r="O405" s="379"/>
      <c r="P405" s="379"/>
      <c r="Q405" s="379"/>
    </row>
    <row r="406" spans="1:17">
      <c r="A406" s="1" t="s">
        <v>262</v>
      </c>
      <c r="B406" s="2" t="s">
        <v>190</v>
      </c>
      <c r="C406" s="197">
        <v>9349290.0199999996</v>
      </c>
      <c r="D406" s="197">
        <v>4276762.16</v>
      </c>
      <c r="E406" s="379">
        <f t="shared" si="35"/>
        <v>5072527.8599999994</v>
      </c>
      <c r="G406" s="1" t="s">
        <v>262</v>
      </c>
      <c r="H406" s="2" t="s">
        <v>190</v>
      </c>
      <c r="I406" s="197">
        <f t="shared" si="36"/>
        <v>9349290.0199999996</v>
      </c>
      <c r="L406" s="64">
        <v>1655.93</v>
      </c>
      <c r="M406" s="1" t="s">
        <v>268</v>
      </c>
      <c r="N406" s="2"/>
      <c r="O406" s="379"/>
      <c r="P406" s="379"/>
      <c r="Q406" s="379"/>
    </row>
    <row r="407" spans="1:17">
      <c r="A407" s="1" t="s">
        <v>262</v>
      </c>
      <c r="B407" s="2" t="s">
        <v>191</v>
      </c>
      <c r="C407" s="197">
        <v>548927.72</v>
      </c>
      <c r="D407" s="197">
        <v>597747.82999999996</v>
      </c>
      <c r="E407" s="379">
        <f t="shared" si="35"/>
        <v>-48820.109999999986</v>
      </c>
      <c r="G407" s="1" t="s">
        <v>262</v>
      </c>
      <c r="H407" s="2" t="s">
        <v>191</v>
      </c>
      <c r="I407" s="197">
        <f t="shared" si="36"/>
        <v>548927.72</v>
      </c>
      <c r="L407" s="64">
        <v>1925.04</v>
      </c>
      <c r="M407" s="1" t="s">
        <v>286</v>
      </c>
      <c r="N407" s="2"/>
      <c r="O407" s="379"/>
      <c r="P407" s="379"/>
      <c r="Q407" s="379"/>
    </row>
    <row r="408" spans="1:17">
      <c r="A408" s="1" t="s">
        <v>262</v>
      </c>
      <c r="B408" s="2" t="s">
        <v>192</v>
      </c>
      <c r="C408" s="197">
        <v>1998460.46</v>
      </c>
      <c r="D408" s="197">
        <v>539786.94999999995</v>
      </c>
      <c r="E408" s="379">
        <f t="shared" si="35"/>
        <v>1458673.51</v>
      </c>
      <c r="G408" s="1" t="s">
        <v>262</v>
      </c>
      <c r="H408" s="2" t="s">
        <v>192</v>
      </c>
      <c r="I408" s="197">
        <f t="shared" si="36"/>
        <v>1998460.46</v>
      </c>
      <c r="L408" s="64">
        <v>2071.09</v>
      </c>
      <c r="M408" s="1" t="s">
        <v>275</v>
      </c>
      <c r="N408" s="2"/>
      <c r="O408" s="379"/>
      <c r="P408" s="379"/>
      <c r="Q408" s="379"/>
    </row>
    <row r="409" spans="1:17">
      <c r="A409" s="1" t="s">
        <v>262</v>
      </c>
      <c r="B409" s="2" t="s">
        <v>193</v>
      </c>
      <c r="C409" s="197">
        <v>1009272.21</v>
      </c>
      <c r="D409" s="197">
        <v>586485.1</v>
      </c>
      <c r="E409" s="379">
        <f t="shared" si="35"/>
        <v>422787.11</v>
      </c>
      <c r="G409" s="1" t="s">
        <v>262</v>
      </c>
      <c r="H409" s="2" t="s">
        <v>193</v>
      </c>
      <c r="I409" s="197">
        <f t="shared" si="36"/>
        <v>1009272.21</v>
      </c>
      <c r="L409" s="64">
        <v>2274.65</v>
      </c>
      <c r="M409" s="1" t="s">
        <v>290</v>
      </c>
      <c r="N409" s="2"/>
      <c r="O409" s="379"/>
      <c r="P409" s="379"/>
      <c r="Q409" s="379"/>
    </row>
    <row r="410" spans="1:17">
      <c r="A410" s="1" t="s">
        <v>262</v>
      </c>
      <c r="B410" s="2" t="s">
        <v>194</v>
      </c>
      <c r="C410" s="197">
        <v>1027622.72</v>
      </c>
      <c r="D410" s="197">
        <v>432951.27</v>
      </c>
      <c r="E410" s="379">
        <f t="shared" si="35"/>
        <v>594671.44999999995</v>
      </c>
      <c r="G410" s="1" t="s">
        <v>262</v>
      </c>
      <c r="H410" s="2" t="s">
        <v>194</v>
      </c>
      <c r="I410" s="197">
        <f t="shared" si="36"/>
        <v>1027622.72</v>
      </c>
      <c r="L410" s="64">
        <v>2859.66</v>
      </c>
      <c r="M410" s="1" t="s">
        <v>297</v>
      </c>
      <c r="N410" s="2"/>
      <c r="O410" s="379"/>
      <c r="P410" s="379"/>
      <c r="Q410" s="379"/>
    </row>
    <row r="411" spans="1:17">
      <c r="A411" s="1" t="s">
        <v>262</v>
      </c>
      <c r="B411" s="2" t="s">
        <v>195</v>
      </c>
      <c r="C411" s="197">
        <v>70739.13</v>
      </c>
      <c r="D411" s="197">
        <v>9088.91</v>
      </c>
      <c r="E411" s="379">
        <f t="shared" si="35"/>
        <v>61650.22</v>
      </c>
      <c r="G411" s="1" t="s">
        <v>262</v>
      </c>
      <c r="H411" s="2" t="s">
        <v>195</v>
      </c>
      <c r="I411" s="197">
        <f t="shared" si="36"/>
        <v>70739.13</v>
      </c>
      <c r="L411" s="64">
        <v>4034.82</v>
      </c>
      <c r="M411" s="1" t="s">
        <v>274</v>
      </c>
      <c r="N411" s="2"/>
      <c r="O411" s="379"/>
      <c r="P411" s="379"/>
      <c r="Q411" s="379"/>
    </row>
    <row r="412" spans="1:17">
      <c r="A412" s="1" t="s">
        <v>262</v>
      </c>
      <c r="B412" s="2" t="s">
        <v>196</v>
      </c>
      <c r="C412" s="197">
        <v>131628.07</v>
      </c>
      <c r="D412" s="197">
        <v>37285.39</v>
      </c>
      <c r="E412" s="379">
        <f t="shared" si="35"/>
        <v>94342.680000000008</v>
      </c>
      <c r="G412" s="1" t="s">
        <v>262</v>
      </c>
      <c r="H412" s="2" t="s">
        <v>196</v>
      </c>
      <c r="I412" s="197">
        <f t="shared" si="36"/>
        <v>131628.07</v>
      </c>
      <c r="L412" s="64">
        <v>4155.2</v>
      </c>
      <c r="M412" s="1" t="s">
        <v>271</v>
      </c>
      <c r="N412" s="2"/>
      <c r="O412" s="379"/>
      <c r="P412" s="379"/>
      <c r="Q412" s="379"/>
    </row>
    <row r="413" spans="1:17">
      <c r="A413" s="1" t="s">
        <v>262</v>
      </c>
      <c r="B413" s="2" t="s">
        <v>198</v>
      </c>
      <c r="C413" s="197">
        <v>189836.86</v>
      </c>
      <c r="D413" s="197">
        <v>219742.49</v>
      </c>
      <c r="E413" s="379">
        <f t="shared" si="35"/>
        <v>-29905.630000000005</v>
      </c>
      <c r="G413" s="1" t="s">
        <v>262</v>
      </c>
      <c r="H413" s="2" t="s">
        <v>198</v>
      </c>
      <c r="I413" s="197">
        <f t="shared" si="36"/>
        <v>189836.86</v>
      </c>
      <c r="L413" s="64">
        <v>4221.92</v>
      </c>
      <c r="M413" s="1" t="s">
        <v>275</v>
      </c>
      <c r="N413" s="2"/>
      <c r="O413" s="379"/>
      <c r="P413" s="379"/>
      <c r="Q413" s="379"/>
    </row>
    <row r="414" spans="1:17">
      <c r="A414" s="1" t="s">
        <v>262</v>
      </c>
      <c r="B414" s="2" t="s">
        <v>201</v>
      </c>
      <c r="C414" s="197">
        <v>126912.53</v>
      </c>
      <c r="D414" s="197">
        <v>36808.46</v>
      </c>
      <c r="E414" s="379">
        <f t="shared" si="35"/>
        <v>90104.07</v>
      </c>
      <c r="G414" s="1" t="s">
        <v>262</v>
      </c>
      <c r="H414" s="2" t="s">
        <v>201</v>
      </c>
      <c r="I414" s="197">
        <f t="shared" si="36"/>
        <v>126912.53</v>
      </c>
      <c r="L414" s="64">
        <v>4277.41</v>
      </c>
      <c r="M414" s="1" t="s">
        <v>268</v>
      </c>
      <c r="N414" s="2"/>
      <c r="O414" s="379"/>
      <c r="P414" s="379"/>
      <c r="Q414" s="379"/>
    </row>
    <row r="415" spans="1:17">
      <c r="A415" s="1" t="s">
        <v>262</v>
      </c>
      <c r="B415" s="2" t="s">
        <v>203</v>
      </c>
      <c r="C415" s="197">
        <v>64096.14</v>
      </c>
      <c r="D415" s="197">
        <v>38283.22</v>
      </c>
      <c r="E415" s="379">
        <f t="shared" si="35"/>
        <v>25812.92</v>
      </c>
      <c r="G415" s="1" t="s">
        <v>262</v>
      </c>
      <c r="H415" s="2" t="s">
        <v>203</v>
      </c>
      <c r="I415" s="197">
        <f t="shared" si="36"/>
        <v>64096.14</v>
      </c>
      <c r="L415" s="64">
        <v>4361.8500000000004</v>
      </c>
      <c r="M415" s="1" t="s">
        <v>272</v>
      </c>
      <c r="N415" s="2"/>
      <c r="O415" s="379"/>
      <c r="P415" s="379"/>
      <c r="Q415" s="379"/>
    </row>
    <row r="416" spans="1:17">
      <c r="A416" s="1" t="s">
        <v>262</v>
      </c>
      <c r="B416" s="2" t="s">
        <v>204</v>
      </c>
      <c r="C416" s="197">
        <v>35249.17</v>
      </c>
      <c r="D416" s="197">
        <v>26716.25</v>
      </c>
      <c r="E416" s="379">
        <f t="shared" si="35"/>
        <v>8532.9199999999983</v>
      </c>
      <c r="G416" s="1" t="s">
        <v>262</v>
      </c>
      <c r="H416" s="2" t="s">
        <v>204</v>
      </c>
      <c r="I416" s="197">
        <f t="shared" si="36"/>
        <v>35249.17</v>
      </c>
      <c r="L416" s="64">
        <v>4414.4799999999996</v>
      </c>
      <c r="M416" s="1" t="s">
        <v>272</v>
      </c>
      <c r="N416" s="2"/>
      <c r="O416" s="379"/>
      <c r="P416" s="379"/>
      <c r="Q416" s="379"/>
    </row>
    <row r="417" spans="1:17">
      <c r="A417" s="1" t="s">
        <v>262</v>
      </c>
      <c r="B417" s="2" t="s">
        <v>205</v>
      </c>
      <c r="C417" s="197">
        <v>7731.81</v>
      </c>
      <c r="D417" s="197">
        <v>3157.48</v>
      </c>
      <c r="E417" s="379">
        <f t="shared" si="35"/>
        <v>4574.33</v>
      </c>
      <c r="G417" s="1" t="s">
        <v>262</v>
      </c>
      <c r="H417" s="2" t="s">
        <v>205</v>
      </c>
      <c r="I417" s="197">
        <f t="shared" si="36"/>
        <v>7731.81</v>
      </c>
      <c r="J417" s="64">
        <f>SUM(I403:I417)</f>
        <v>31980285.48</v>
      </c>
      <c r="L417" s="64">
        <v>4991.29</v>
      </c>
      <c r="M417" s="1" t="s">
        <v>278</v>
      </c>
      <c r="N417" s="2"/>
      <c r="O417" s="379"/>
      <c r="P417" s="379"/>
      <c r="Q417" s="379"/>
    </row>
    <row r="418" spans="1:17">
      <c r="A418" s="1" t="s">
        <v>288</v>
      </c>
      <c r="B418" s="2" t="s">
        <v>187</v>
      </c>
      <c r="C418" s="197">
        <v>98906.46</v>
      </c>
      <c r="D418" s="197">
        <v>25572.49</v>
      </c>
      <c r="E418" s="379">
        <f t="shared" si="35"/>
        <v>73333.97</v>
      </c>
      <c r="G418" s="1" t="s">
        <v>288</v>
      </c>
      <c r="H418" s="2" t="s">
        <v>187</v>
      </c>
      <c r="I418" s="197">
        <f t="shared" si="36"/>
        <v>98906.46</v>
      </c>
      <c r="L418" s="64">
        <v>5950</v>
      </c>
      <c r="M418" s="1" t="s">
        <v>302</v>
      </c>
      <c r="N418" s="2"/>
      <c r="O418" s="379"/>
      <c r="P418" s="379"/>
      <c r="Q418" s="379"/>
    </row>
    <row r="419" spans="1:17">
      <c r="A419" s="1" t="s">
        <v>288</v>
      </c>
      <c r="B419" s="2" t="s">
        <v>189</v>
      </c>
      <c r="C419" s="197">
        <v>268144.71999999997</v>
      </c>
      <c r="D419" s="197">
        <v>17320.13</v>
      </c>
      <c r="E419" s="379">
        <f t="shared" si="35"/>
        <v>250824.58999999997</v>
      </c>
      <c r="G419" s="1" t="s">
        <v>288</v>
      </c>
      <c r="H419" s="2" t="s">
        <v>189</v>
      </c>
      <c r="I419" s="197">
        <f t="shared" si="36"/>
        <v>268144.71999999997</v>
      </c>
      <c r="J419" s="64">
        <f>I419+I418</f>
        <v>367051.18</v>
      </c>
      <c r="L419" s="64">
        <v>6744.07</v>
      </c>
      <c r="M419" s="1" t="s">
        <v>267</v>
      </c>
      <c r="N419" s="2"/>
      <c r="O419" s="379"/>
      <c r="P419" s="379"/>
      <c r="Q419" s="379"/>
    </row>
    <row r="420" spans="1:17">
      <c r="A420" s="28" t="s">
        <v>1159</v>
      </c>
      <c r="B420" s="266" t="s">
        <v>189</v>
      </c>
      <c r="C420" s="197">
        <v>2952795.08</v>
      </c>
      <c r="D420" s="197">
        <v>39018.199999999997</v>
      </c>
      <c r="E420" s="379">
        <f t="shared" si="35"/>
        <v>2913776.88</v>
      </c>
      <c r="G420" s="28" t="s">
        <v>1159</v>
      </c>
      <c r="H420" s="266" t="s">
        <v>189</v>
      </c>
      <c r="I420" s="197">
        <f t="shared" si="36"/>
        <v>2952795.08</v>
      </c>
      <c r="J420" s="64">
        <f>I420</f>
        <v>2952795.08</v>
      </c>
      <c r="L420" s="64">
        <v>6908.1</v>
      </c>
      <c r="M420" s="1" t="s">
        <v>269</v>
      </c>
      <c r="N420" s="2"/>
      <c r="O420" s="379"/>
      <c r="P420" s="379"/>
      <c r="Q420" s="379"/>
    </row>
    <row r="421" spans="1:17">
      <c r="A421" s="1" t="s">
        <v>267</v>
      </c>
      <c r="B421" s="2" t="s">
        <v>187</v>
      </c>
      <c r="C421" s="197">
        <v>38113595.530000001</v>
      </c>
      <c r="D421" s="197">
        <v>17873130.210000001</v>
      </c>
      <c r="E421" s="379">
        <f t="shared" si="35"/>
        <v>20240465.32</v>
      </c>
      <c r="G421" s="1" t="s">
        <v>267</v>
      </c>
      <c r="H421" s="2" t="s">
        <v>187</v>
      </c>
      <c r="I421" s="197">
        <f t="shared" si="36"/>
        <v>38113595.530000001</v>
      </c>
      <c r="L421" s="64">
        <v>6908.25</v>
      </c>
      <c r="M421" s="1" t="s">
        <v>301</v>
      </c>
      <c r="N421" s="2"/>
      <c r="O421" s="379"/>
      <c r="P421" s="379"/>
      <c r="Q421" s="379"/>
    </row>
    <row r="422" spans="1:17">
      <c r="A422" s="1" t="s">
        <v>267</v>
      </c>
      <c r="B422" s="2" t="s">
        <v>188</v>
      </c>
      <c r="C422" s="197">
        <v>390920.59</v>
      </c>
      <c r="D422" s="197">
        <v>42867.91</v>
      </c>
      <c r="E422" s="379">
        <f t="shared" si="35"/>
        <v>348052.68000000005</v>
      </c>
      <c r="G422" s="1" t="s">
        <v>267</v>
      </c>
      <c r="H422" s="2" t="s">
        <v>188</v>
      </c>
      <c r="I422" s="197">
        <f t="shared" si="36"/>
        <v>390920.59</v>
      </c>
      <c r="L422" s="64">
        <v>7033.79</v>
      </c>
      <c r="M422" s="1" t="s">
        <v>278</v>
      </c>
      <c r="N422" s="2"/>
      <c r="O422" s="379"/>
      <c r="P422" s="379"/>
      <c r="Q422" s="379"/>
    </row>
    <row r="423" spans="1:17">
      <c r="A423" s="1" t="s">
        <v>267</v>
      </c>
      <c r="B423" s="2" t="s">
        <v>189</v>
      </c>
      <c r="C423" s="197">
        <v>712994.92</v>
      </c>
      <c r="D423" s="197">
        <v>332321.68</v>
      </c>
      <c r="E423" s="379">
        <f t="shared" si="35"/>
        <v>380673.24000000005</v>
      </c>
      <c r="G423" s="1" t="s">
        <v>267</v>
      </c>
      <c r="H423" s="2" t="s">
        <v>189</v>
      </c>
      <c r="I423" s="197">
        <f t="shared" si="36"/>
        <v>712994.92</v>
      </c>
      <c r="L423" s="64">
        <v>7731.81</v>
      </c>
      <c r="M423" s="1" t="s">
        <v>262</v>
      </c>
      <c r="N423" s="2"/>
      <c r="O423" s="379"/>
      <c r="P423" s="379"/>
      <c r="Q423" s="379"/>
    </row>
    <row r="424" spans="1:17">
      <c r="A424" s="1" t="s">
        <v>267</v>
      </c>
      <c r="B424" s="2" t="s">
        <v>190</v>
      </c>
      <c r="C424" s="197">
        <v>358731.55</v>
      </c>
      <c r="D424" s="197">
        <v>324741.96999999997</v>
      </c>
      <c r="E424" s="379">
        <f t="shared" si="35"/>
        <v>33989.580000000016</v>
      </c>
      <c r="G424" s="1" t="s">
        <v>267</v>
      </c>
      <c r="H424" s="2" t="s">
        <v>190</v>
      </c>
      <c r="I424" s="197">
        <f t="shared" si="36"/>
        <v>358731.55</v>
      </c>
      <c r="L424" s="64">
        <v>8071.4</v>
      </c>
      <c r="M424" s="1" t="s">
        <v>301</v>
      </c>
      <c r="N424" s="2"/>
      <c r="O424" s="379"/>
      <c r="P424" s="379"/>
      <c r="Q424" s="379"/>
    </row>
    <row r="425" spans="1:17">
      <c r="A425" s="1" t="s">
        <v>267</v>
      </c>
      <c r="B425" s="2" t="s">
        <v>193</v>
      </c>
      <c r="C425" s="197">
        <v>515207.66</v>
      </c>
      <c r="D425" s="197">
        <v>27749.91</v>
      </c>
      <c r="E425" s="379">
        <f t="shared" si="35"/>
        <v>487457.75</v>
      </c>
      <c r="G425" s="1" t="s">
        <v>267</v>
      </c>
      <c r="H425" s="2" t="s">
        <v>193</v>
      </c>
      <c r="I425" s="197">
        <f t="shared" si="36"/>
        <v>515207.66</v>
      </c>
      <c r="L425" s="64">
        <v>8777.06</v>
      </c>
      <c r="M425" s="1" t="s">
        <v>274</v>
      </c>
      <c r="N425" s="2"/>
      <c r="O425" s="379"/>
      <c r="P425" s="379"/>
      <c r="Q425" s="379"/>
    </row>
    <row r="426" spans="1:17">
      <c r="A426" s="1" t="s">
        <v>267</v>
      </c>
      <c r="B426" s="2" t="s">
        <v>194</v>
      </c>
      <c r="C426" s="197">
        <v>6744.07</v>
      </c>
      <c r="D426" s="197">
        <v>2325.04</v>
      </c>
      <c r="E426" s="379">
        <f t="shared" si="35"/>
        <v>4419.03</v>
      </c>
      <c r="G426" s="1" t="s">
        <v>267</v>
      </c>
      <c r="H426" s="2" t="s">
        <v>194</v>
      </c>
      <c r="I426" s="197">
        <f t="shared" si="36"/>
        <v>6744.07</v>
      </c>
      <c r="L426" s="64">
        <v>9385.8700000000008</v>
      </c>
      <c r="M426" s="1" t="s">
        <v>266</v>
      </c>
      <c r="N426" s="2"/>
      <c r="O426" s="379"/>
      <c r="P426" s="379"/>
      <c r="Q426" s="379"/>
    </row>
    <row r="427" spans="1:17">
      <c r="A427" s="1" t="s">
        <v>267</v>
      </c>
      <c r="B427" s="2" t="s">
        <v>195</v>
      </c>
      <c r="C427" s="197">
        <v>50285.87</v>
      </c>
      <c r="D427" s="197">
        <v>36488.43</v>
      </c>
      <c r="E427" s="379">
        <f t="shared" si="35"/>
        <v>13797.440000000002</v>
      </c>
      <c r="G427" s="1" t="s">
        <v>267</v>
      </c>
      <c r="H427" s="2" t="s">
        <v>195</v>
      </c>
      <c r="I427" s="197">
        <f t="shared" si="36"/>
        <v>50285.87</v>
      </c>
      <c r="L427" s="64">
        <v>9538.34</v>
      </c>
      <c r="M427" s="1" t="s">
        <v>276</v>
      </c>
      <c r="N427" s="2"/>
      <c r="O427" s="379"/>
      <c r="P427" s="379"/>
      <c r="Q427" s="379"/>
    </row>
    <row r="428" spans="1:17">
      <c r="A428" s="1" t="s">
        <v>267</v>
      </c>
      <c r="B428" s="2" t="s">
        <v>196</v>
      </c>
      <c r="C428" s="197">
        <v>71766.880000000005</v>
      </c>
      <c r="D428" s="197">
        <v>20227.73</v>
      </c>
      <c r="E428" s="379">
        <f t="shared" si="35"/>
        <v>51539.150000000009</v>
      </c>
      <c r="G428" s="1" t="s">
        <v>267</v>
      </c>
      <c r="H428" s="2" t="s">
        <v>196</v>
      </c>
      <c r="I428" s="197">
        <f t="shared" si="36"/>
        <v>71766.880000000005</v>
      </c>
      <c r="L428" s="64">
        <v>9699.66</v>
      </c>
      <c r="M428" s="1" t="s">
        <v>270</v>
      </c>
      <c r="N428" s="2"/>
      <c r="O428" s="379"/>
      <c r="P428" s="379"/>
      <c r="Q428" s="379"/>
    </row>
    <row r="429" spans="1:17">
      <c r="A429" s="1" t="s">
        <v>267</v>
      </c>
      <c r="B429" s="2" t="s">
        <v>198</v>
      </c>
      <c r="C429" s="197">
        <v>248938.72</v>
      </c>
      <c r="D429" s="197">
        <v>217204.01</v>
      </c>
      <c r="E429" s="379">
        <f t="shared" si="35"/>
        <v>31734.709999999992</v>
      </c>
      <c r="G429" s="1" t="s">
        <v>267</v>
      </c>
      <c r="H429" s="2" t="s">
        <v>198</v>
      </c>
      <c r="I429" s="197">
        <f t="shared" si="36"/>
        <v>248938.72</v>
      </c>
      <c r="L429" s="64">
        <v>12465.85</v>
      </c>
      <c r="M429" s="1" t="s">
        <v>283</v>
      </c>
      <c r="N429" s="2"/>
      <c r="O429" s="379"/>
      <c r="P429" s="379"/>
      <c r="Q429" s="379"/>
    </row>
    <row r="430" spans="1:17">
      <c r="A430" s="1" t="s">
        <v>267</v>
      </c>
      <c r="B430" s="2" t="s">
        <v>201</v>
      </c>
      <c r="C430" s="197">
        <v>57534.48</v>
      </c>
      <c r="D430" s="197">
        <v>46697.29</v>
      </c>
      <c r="E430" s="379">
        <f t="shared" si="35"/>
        <v>10837.190000000002</v>
      </c>
      <c r="G430" s="1" t="s">
        <v>267</v>
      </c>
      <c r="H430" s="2" t="s">
        <v>201</v>
      </c>
      <c r="I430" s="197">
        <f t="shared" si="36"/>
        <v>57534.48</v>
      </c>
      <c r="L430" s="64">
        <v>12851.77</v>
      </c>
      <c r="M430" s="1" t="s">
        <v>290</v>
      </c>
      <c r="N430" s="2"/>
      <c r="O430" s="379"/>
      <c r="P430" s="379"/>
      <c r="Q430" s="379"/>
    </row>
    <row r="431" spans="1:17">
      <c r="A431" s="1" t="s">
        <v>267</v>
      </c>
      <c r="B431" s="2" t="s">
        <v>204</v>
      </c>
      <c r="C431" s="197">
        <v>178424.28</v>
      </c>
      <c r="D431" s="197">
        <v>165798.54</v>
      </c>
      <c r="E431" s="379">
        <f t="shared" si="35"/>
        <v>12625.739999999991</v>
      </c>
      <c r="G431" s="1" t="s">
        <v>267</v>
      </c>
      <c r="H431" s="2" t="s">
        <v>204</v>
      </c>
      <c r="I431" s="197">
        <f t="shared" si="36"/>
        <v>178424.28</v>
      </c>
      <c r="L431" s="64">
        <v>13001.55</v>
      </c>
      <c r="M431" s="1" t="s">
        <v>273</v>
      </c>
      <c r="N431" s="2"/>
      <c r="O431" s="379"/>
      <c r="P431" s="379"/>
      <c r="Q431" s="379"/>
    </row>
    <row r="432" spans="1:17">
      <c r="A432" s="1" t="s">
        <v>267</v>
      </c>
      <c r="B432" s="2" t="s">
        <v>205</v>
      </c>
      <c r="C432" s="197">
        <v>1290.1600000000001</v>
      </c>
      <c r="D432" s="197">
        <v>61.96</v>
      </c>
      <c r="E432" s="379">
        <f t="shared" si="35"/>
        <v>1228.2</v>
      </c>
      <c r="G432" s="1" t="s">
        <v>267</v>
      </c>
      <c r="H432" s="2" t="s">
        <v>205</v>
      </c>
      <c r="I432" s="197">
        <f t="shared" si="36"/>
        <v>1290.1600000000001</v>
      </c>
      <c r="J432" s="64">
        <f>SUM(I421:I432)</f>
        <v>40706434.709999993</v>
      </c>
      <c r="L432" s="64">
        <v>13016.98</v>
      </c>
      <c r="M432" s="1" t="s">
        <v>272</v>
      </c>
      <c r="N432" s="2"/>
      <c r="O432" s="379"/>
      <c r="P432" s="379"/>
      <c r="Q432" s="379"/>
    </row>
    <row r="433" spans="1:17">
      <c r="A433" s="1" t="s">
        <v>289</v>
      </c>
      <c r="B433" s="2" t="s">
        <v>187</v>
      </c>
      <c r="C433" s="197">
        <v>15025835.960000001</v>
      </c>
      <c r="D433" s="197">
        <v>6279114.8700000001</v>
      </c>
      <c r="E433" s="379">
        <f t="shared" si="35"/>
        <v>8746721.0899999999</v>
      </c>
      <c r="G433" s="1" t="s">
        <v>289</v>
      </c>
      <c r="H433" s="2" t="s">
        <v>187</v>
      </c>
      <c r="I433" s="197">
        <f t="shared" si="36"/>
        <v>15025835.960000001</v>
      </c>
      <c r="L433" s="64">
        <v>13105.51</v>
      </c>
      <c r="M433" s="1" t="s">
        <v>301</v>
      </c>
      <c r="N433" s="2"/>
      <c r="O433" s="379"/>
      <c r="P433" s="379"/>
      <c r="Q433" s="379"/>
    </row>
    <row r="434" spans="1:17">
      <c r="A434" s="1" t="s">
        <v>289</v>
      </c>
      <c r="B434" s="2" t="s">
        <v>188</v>
      </c>
      <c r="C434" s="197">
        <v>170814.98</v>
      </c>
      <c r="D434" s="197">
        <v>50818.73</v>
      </c>
      <c r="E434" s="379">
        <f t="shared" si="35"/>
        <v>119996.25</v>
      </c>
      <c r="G434" s="1" t="s">
        <v>289</v>
      </c>
      <c r="H434" s="2" t="s">
        <v>188</v>
      </c>
      <c r="I434" s="197">
        <f t="shared" si="36"/>
        <v>170814.98</v>
      </c>
      <c r="L434" s="64">
        <v>14248.56</v>
      </c>
      <c r="M434" s="1" t="s">
        <v>282</v>
      </c>
      <c r="N434" s="2"/>
      <c r="O434" s="379"/>
      <c r="P434" s="379"/>
      <c r="Q434" s="379"/>
    </row>
    <row r="435" spans="1:17">
      <c r="A435" s="1" t="s">
        <v>289</v>
      </c>
      <c r="B435" s="2" t="s">
        <v>190</v>
      </c>
      <c r="C435" s="197">
        <v>81679.570000000007</v>
      </c>
      <c r="D435" s="197">
        <v>54363.65</v>
      </c>
      <c r="E435" s="379">
        <f t="shared" si="35"/>
        <v>27315.920000000006</v>
      </c>
      <c r="G435" s="1" t="s">
        <v>289</v>
      </c>
      <c r="H435" s="2" t="s">
        <v>190</v>
      </c>
      <c r="I435" s="197">
        <f t="shared" si="36"/>
        <v>81679.570000000007</v>
      </c>
      <c r="L435" s="64">
        <v>14883.51</v>
      </c>
      <c r="M435" s="1" t="s">
        <v>271</v>
      </c>
      <c r="N435" s="2"/>
      <c r="O435" s="379"/>
      <c r="P435" s="379"/>
      <c r="Q435" s="379"/>
    </row>
    <row r="436" spans="1:17">
      <c r="A436" s="1" t="s">
        <v>289</v>
      </c>
      <c r="B436" s="2" t="s">
        <v>192</v>
      </c>
      <c r="C436" s="197">
        <v>0</v>
      </c>
      <c r="D436" s="197">
        <v>0</v>
      </c>
      <c r="E436" s="379">
        <f t="shared" si="35"/>
        <v>0</v>
      </c>
      <c r="G436" s="1" t="s">
        <v>289</v>
      </c>
      <c r="H436" s="2" t="s">
        <v>192</v>
      </c>
      <c r="I436" s="197">
        <f t="shared" si="36"/>
        <v>0</v>
      </c>
      <c r="L436" s="64">
        <v>15819.69</v>
      </c>
      <c r="M436" s="1" t="s">
        <v>287</v>
      </c>
      <c r="N436" s="2"/>
      <c r="O436" s="379"/>
      <c r="P436" s="379"/>
      <c r="Q436" s="379"/>
    </row>
    <row r="437" spans="1:17">
      <c r="A437" s="1" t="s">
        <v>289</v>
      </c>
      <c r="B437" s="2" t="s">
        <v>193</v>
      </c>
      <c r="C437" s="197">
        <v>271052.81</v>
      </c>
      <c r="D437" s="197">
        <v>16074.36</v>
      </c>
      <c r="E437" s="379">
        <f t="shared" si="35"/>
        <v>254978.45</v>
      </c>
      <c r="G437" s="1" t="s">
        <v>289</v>
      </c>
      <c r="H437" s="2" t="s">
        <v>193</v>
      </c>
      <c r="I437" s="197">
        <f t="shared" si="36"/>
        <v>271052.81</v>
      </c>
      <c r="L437" s="64">
        <v>16806.03</v>
      </c>
      <c r="M437" s="1" t="s">
        <v>278</v>
      </c>
      <c r="N437" s="2"/>
      <c r="O437" s="379"/>
      <c r="P437" s="379"/>
      <c r="Q437" s="379"/>
    </row>
    <row r="438" spans="1:17">
      <c r="A438" s="1" t="s">
        <v>289</v>
      </c>
      <c r="B438" s="2" t="s">
        <v>194</v>
      </c>
      <c r="C438" s="197">
        <v>0</v>
      </c>
      <c r="D438" s="197">
        <v>0</v>
      </c>
      <c r="E438" s="379">
        <f t="shared" si="35"/>
        <v>0</v>
      </c>
      <c r="G438" s="1" t="s">
        <v>289</v>
      </c>
      <c r="H438" s="2" t="s">
        <v>194</v>
      </c>
      <c r="I438" s="197">
        <f t="shared" si="36"/>
        <v>0</v>
      </c>
      <c r="J438" s="64">
        <f>SUM(I433:I438)</f>
        <v>15549383.320000002</v>
      </c>
      <c r="L438" s="64">
        <v>16833.22</v>
      </c>
      <c r="M438" s="1" t="s">
        <v>263</v>
      </c>
      <c r="N438" s="2"/>
      <c r="O438" s="379"/>
      <c r="P438" s="379"/>
      <c r="Q438" s="379"/>
    </row>
    <row r="439" spans="1:17">
      <c r="A439" s="1" t="s">
        <v>290</v>
      </c>
      <c r="B439" s="2" t="s">
        <v>187</v>
      </c>
      <c r="C439" s="197">
        <v>5391301.9100000001</v>
      </c>
      <c r="D439" s="197">
        <v>1686771.66</v>
      </c>
      <c r="E439" s="379">
        <f t="shared" si="35"/>
        <v>3704530.25</v>
      </c>
      <c r="G439" s="1" t="s">
        <v>290</v>
      </c>
      <c r="H439" s="2" t="s">
        <v>187</v>
      </c>
      <c r="I439" s="197">
        <f t="shared" si="36"/>
        <v>5391301.9100000001</v>
      </c>
      <c r="L439" s="64">
        <v>17105.77</v>
      </c>
      <c r="M439" s="1" t="s">
        <v>290</v>
      </c>
      <c r="N439" s="2"/>
      <c r="O439" s="379"/>
      <c r="P439" s="379"/>
      <c r="Q439" s="379"/>
    </row>
    <row r="440" spans="1:17">
      <c r="A440" s="1" t="s">
        <v>290</v>
      </c>
      <c r="B440" s="2" t="s">
        <v>188</v>
      </c>
      <c r="C440" s="197">
        <v>12851.77</v>
      </c>
      <c r="D440" s="197">
        <v>992.91</v>
      </c>
      <c r="E440" s="379">
        <f t="shared" si="35"/>
        <v>11858.86</v>
      </c>
      <c r="G440" s="1" t="s">
        <v>290</v>
      </c>
      <c r="H440" s="2" t="s">
        <v>188</v>
      </c>
      <c r="I440" s="197">
        <f t="shared" si="36"/>
        <v>12851.77</v>
      </c>
      <c r="L440" s="64">
        <v>18197.650000000001</v>
      </c>
      <c r="M440" s="1" t="s">
        <v>271</v>
      </c>
      <c r="N440" s="2"/>
      <c r="O440" s="379"/>
      <c r="P440" s="379"/>
      <c r="Q440" s="379"/>
    </row>
    <row r="441" spans="1:17">
      <c r="A441" s="1" t="s">
        <v>290</v>
      </c>
      <c r="B441" s="2" t="s">
        <v>189</v>
      </c>
      <c r="C441" s="197">
        <v>1843238.51</v>
      </c>
      <c r="D441" s="197">
        <v>120412.38</v>
      </c>
      <c r="E441" s="379">
        <f t="shared" si="35"/>
        <v>1722826.13</v>
      </c>
      <c r="G441" s="1" t="s">
        <v>290</v>
      </c>
      <c r="H441" s="2" t="s">
        <v>189</v>
      </c>
      <c r="I441" s="197">
        <f t="shared" si="36"/>
        <v>1843238.51</v>
      </c>
      <c r="L441" s="64">
        <v>18983.22</v>
      </c>
      <c r="M441" s="1" t="s">
        <v>271</v>
      </c>
      <c r="N441" s="2"/>
      <c r="O441" s="379"/>
      <c r="P441" s="379"/>
      <c r="Q441" s="379"/>
    </row>
    <row r="442" spans="1:17">
      <c r="A442" s="1" t="s">
        <v>290</v>
      </c>
      <c r="B442" s="2" t="s">
        <v>190</v>
      </c>
      <c r="C442" s="197">
        <v>17105.77</v>
      </c>
      <c r="D442" s="197">
        <v>13557.27</v>
      </c>
      <c r="E442" s="379">
        <f t="shared" si="35"/>
        <v>3548.5</v>
      </c>
      <c r="G442" s="1" t="s">
        <v>290</v>
      </c>
      <c r="H442" s="2" t="s">
        <v>190</v>
      </c>
      <c r="I442" s="197">
        <f t="shared" si="36"/>
        <v>17105.77</v>
      </c>
      <c r="L442" s="64">
        <v>20187.18</v>
      </c>
      <c r="M442" s="1" t="s">
        <v>271</v>
      </c>
      <c r="N442" s="2"/>
      <c r="O442" s="379"/>
      <c r="P442" s="379"/>
      <c r="Q442" s="379"/>
    </row>
    <row r="443" spans="1:17">
      <c r="A443" s="1" t="s">
        <v>290</v>
      </c>
      <c r="B443" s="2" t="s">
        <v>195</v>
      </c>
      <c r="C443" s="197">
        <v>2274.65</v>
      </c>
      <c r="D443" s="197">
        <v>1250.23</v>
      </c>
      <c r="E443" s="379">
        <f t="shared" si="35"/>
        <v>1024.42</v>
      </c>
      <c r="G443" s="1" t="s">
        <v>290</v>
      </c>
      <c r="H443" s="2" t="s">
        <v>195</v>
      </c>
      <c r="I443" s="197">
        <f t="shared" si="36"/>
        <v>2274.65</v>
      </c>
      <c r="J443" s="64">
        <f>SUM(I439:I443)</f>
        <v>7266772.6099999994</v>
      </c>
      <c r="L443" s="64">
        <v>21044.04</v>
      </c>
      <c r="M443" s="1" t="s">
        <v>264</v>
      </c>
      <c r="N443" s="2"/>
      <c r="O443" s="379"/>
      <c r="P443" s="379"/>
      <c r="Q443" s="379"/>
    </row>
    <row r="444" spans="1:17">
      <c r="A444" s="1" t="s">
        <v>291</v>
      </c>
      <c r="B444" s="2" t="s">
        <v>187</v>
      </c>
      <c r="C444" s="197">
        <v>21093625.760000002</v>
      </c>
      <c r="D444" s="197">
        <v>6389466.3499999996</v>
      </c>
      <c r="E444" s="379">
        <f t="shared" si="35"/>
        <v>14704159.410000002</v>
      </c>
      <c r="G444" s="1" t="s">
        <v>291</v>
      </c>
      <c r="H444" s="2" t="s">
        <v>187</v>
      </c>
      <c r="I444" s="197">
        <f t="shared" si="36"/>
        <v>21093625.760000002</v>
      </c>
      <c r="L444" s="64">
        <v>21918.58</v>
      </c>
      <c r="M444" s="1" t="s">
        <v>5</v>
      </c>
      <c r="N444" s="2"/>
      <c r="O444" s="379"/>
      <c r="P444" s="379"/>
      <c r="Q444" s="379"/>
    </row>
    <row r="445" spans="1:17">
      <c r="A445" s="1" t="s">
        <v>291</v>
      </c>
      <c r="B445" s="2" t="s">
        <v>188</v>
      </c>
      <c r="C445" s="197">
        <v>186967.88</v>
      </c>
      <c r="D445" s="197">
        <v>46322.82</v>
      </c>
      <c r="E445" s="379">
        <f t="shared" si="35"/>
        <v>140645.06</v>
      </c>
      <c r="G445" s="1" t="s">
        <v>291</v>
      </c>
      <c r="H445" s="2" t="s">
        <v>188</v>
      </c>
      <c r="I445" s="197">
        <f t="shared" si="36"/>
        <v>186967.88</v>
      </c>
      <c r="J445" s="64">
        <f>I445+I444</f>
        <v>21280593.640000001</v>
      </c>
      <c r="L445" s="64">
        <v>22263.35</v>
      </c>
      <c r="M445" s="1" t="s">
        <v>271</v>
      </c>
      <c r="N445" s="2"/>
      <c r="O445" s="379"/>
      <c r="P445" s="379"/>
      <c r="Q445" s="379"/>
    </row>
    <row r="446" spans="1:17">
      <c r="A446" s="1" t="s">
        <v>292</v>
      </c>
      <c r="B446" s="2" t="s">
        <v>187</v>
      </c>
      <c r="C446" s="197">
        <v>209636.34</v>
      </c>
      <c r="D446" s="197">
        <v>112774.82</v>
      </c>
      <c r="E446" s="379">
        <f t="shared" si="35"/>
        <v>96861.51999999999</v>
      </c>
      <c r="G446" s="1" t="s">
        <v>292</v>
      </c>
      <c r="H446" s="2" t="s">
        <v>187</v>
      </c>
      <c r="I446" s="197">
        <f t="shared" si="36"/>
        <v>209636.34</v>
      </c>
      <c r="J446" s="64">
        <f>I446</f>
        <v>209636.34</v>
      </c>
      <c r="L446" s="64">
        <v>22700.59</v>
      </c>
      <c r="M446" s="1" t="s">
        <v>276</v>
      </c>
      <c r="N446" s="2"/>
      <c r="O446" s="379"/>
      <c r="P446" s="379"/>
      <c r="Q446" s="379"/>
    </row>
    <row r="447" spans="1:17">
      <c r="A447" s="1" t="s">
        <v>263</v>
      </c>
      <c r="B447" s="2" t="s">
        <v>187</v>
      </c>
      <c r="C447" s="197">
        <v>43265777.049999997</v>
      </c>
      <c r="D447" s="197">
        <v>36071842.939999998</v>
      </c>
      <c r="E447" s="379">
        <f t="shared" si="35"/>
        <v>7193934.1099999994</v>
      </c>
      <c r="G447" s="1" t="s">
        <v>263</v>
      </c>
      <c r="H447" s="2" t="s">
        <v>187</v>
      </c>
      <c r="I447" s="197">
        <f t="shared" si="36"/>
        <v>43265777.049999997</v>
      </c>
      <c r="L447" s="64">
        <v>23564.93</v>
      </c>
      <c r="M447" s="1" t="s">
        <v>298</v>
      </c>
      <c r="N447" s="2"/>
      <c r="O447" s="379"/>
      <c r="P447" s="379"/>
      <c r="Q447" s="379"/>
    </row>
    <row r="448" spans="1:17">
      <c r="A448" s="1" t="s">
        <v>263</v>
      </c>
      <c r="B448" s="2" t="s">
        <v>188</v>
      </c>
      <c r="C448" s="197">
        <v>442897.07</v>
      </c>
      <c r="D448" s="197">
        <v>166434.54</v>
      </c>
      <c r="E448" s="379">
        <f t="shared" si="35"/>
        <v>276462.53000000003</v>
      </c>
      <c r="G448" s="1" t="s">
        <v>263</v>
      </c>
      <c r="H448" s="2" t="s">
        <v>188</v>
      </c>
      <c r="I448" s="197">
        <f t="shared" si="36"/>
        <v>442897.07</v>
      </c>
      <c r="L448" s="64">
        <v>25918.77</v>
      </c>
      <c r="M448" s="1" t="s">
        <v>275</v>
      </c>
      <c r="N448" s="2"/>
      <c r="O448" s="379"/>
      <c r="P448" s="379"/>
      <c r="Q448" s="379"/>
    </row>
    <row r="449" spans="1:17">
      <c r="A449" s="1" t="s">
        <v>263</v>
      </c>
      <c r="B449" s="2" t="s">
        <v>189</v>
      </c>
      <c r="C449" s="197">
        <v>322631.99</v>
      </c>
      <c r="D449" s="197">
        <v>218911.37</v>
      </c>
      <c r="E449" s="379">
        <f t="shared" si="35"/>
        <v>103720.62</v>
      </c>
      <c r="G449" s="1" t="s">
        <v>263</v>
      </c>
      <c r="H449" s="2" t="s">
        <v>189</v>
      </c>
      <c r="I449" s="197">
        <f t="shared" si="36"/>
        <v>322631.99</v>
      </c>
      <c r="L449" s="64">
        <v>29611.34</v>
      </c>
      <c r="M449" s="1" t="s">
        <v>264</v>
      </c>
      <c r="N449" s="2"/>
      <c r="O449" s="379"/>
      <c r="P449" s="379"/>
      <c r="Q449" s="379"/>
    </row>
    <row r="450" spans="1:17">
      <c r="A450" s="1" t="s">
        <v>263</v>
      </c>
      <c r="B450" s="2" t="s">
        <v>190</v>
      </c>
      <c r="C450" s="197">
        <v>44874722.75</v>
      </c>
      <c r="D450" s="197">
        <v>30532977.670000002</v>
      </c>
      <c r="E450" s="379">
        <f t="shared" si="35"/>
        <v>14341745.079999998</v>
      </c>
      <c r="G450" s="1" t="s">
        <v>263</v>
      </c>
      <c r="H450" s="2" t="s">
        <v>190</v>
      </c>
      <c r="I450" s="197">
        <f t="shared" si="36"/>
        <v>44874722.75</v>
      </c>
      <c r="L450" s="64">
        <v>35249.17</v>
      </c>
      <c r="M450" s="1" t="s">
        <v>262</v>
      </c>
      <c r="N450" s="2"/>
      <c r="O450" s="379"/>
      <c r="P450" s="379"/>
      <c r="Q450" s="379"/>
    </row>
    <row r="451" spans="1:17">
      <c r="A451" s="1" t="s">
        <v>263</v>
      </c>
      <c r="B451" s="2" t="s">
        <v>192</v>
      </c>
      <c r="C451" s="197">
        <v>5642340.2400000002</v>
      </c>
      <c r="D451" s="197">
        <v>1467332.99</v>
      </c>
      <c r="E451" s="379">
        <f t="shared" si="35"/>
        <v>4175007.25</v>
      </c>
      <c r="G451" s="1" t="s">
        <v>263</v>
      </c>
      <c r="H451" s="2" t="s">
        <v>192</v>
      </c>
      <c r="I451" s="197">
        <f t="shared" si="36"/>
        <v>5642340.2400000002</v>
      </c>
      <c r="L451" s="64">
        <v>37397.57</v>
      </c>
      <c r="M451" s="1" t="s">
        <v>283</v>
      </c>
      <c r="N451" s="2"/>
      <c r="O451" s="379"/>
      <c r="P451" s="379"/>
      <c r="Q451" s="379"/>
    </row>
    <row r="452" spans="1:17">
      <c r="A452" s="1" t="s">
        <v>263</v>
      </c>
      <c r="B452" s="2" t="s">
        <v>193</v>
      </c>
      <c r="C452" s="197">
        <v>1473774.74</v>
      </c>
      <c r="D452" s="197">
        <v>382667.58</v>
      </c>
      <c r="E452" s="379">
        <f t="shared" si="35"/>
        <v>1091107.1599999999</v>
      </c>
      <c r="G452" s="1" t="s">
        <v>263</v>
      </c>
      <c r="H452" s="2" t="s">
        <v>193</v>
      </c>
      <c r="I452" s="197">
        <f t="shared" si="36"/>
        <v>1473774.74</v>
      </c>
      <c r="L452" s="64">
        <v>41669.83</v>
      </c>
      <c r="M452" s="1" t="s">
        <v>271</v>
      </c>
      <c r="N452" s="2"/>
      <c r="O452" s="379"/>
      <c r="P452" s="379"/>
      <c r="Q452" s="379"/>
    </row>
    <row r="453" spans="1:17">
      <c r="A453" s="1" t="s">
        <v>263</v>
      </c>
      <c r="B453" s="2" t="s">
        <v>194</v>
      </c>
      <c r="C453" s="197">
        <v>2348350.2999999998</v>
      </c>
      <c r="D453" s="197">
        <v>640621.55000000005</v>
      </c>
      <c r="E453" s="379">
        <f t="shared" si="35"/>
        <v>1707728.7499999998</v>
      </c>
      <c r="G453" s="1" t="s">
        <v>263</v>
      </c>
      <c r="H453" s="2" t="s">
        <v>194</v>
      </c>
      <c r="I453" s="197">
        <f t="shared" si="36"/>
        <v>2348350.2999999998</v>
      </c>
      <c r="L453" s="64">
        <v>41973.52</v>
      </c>
      <c r="M453" s="1" t="s">
        <v>271</v>
      </c>
      <c r="N453" s="2"/>
      <c r="O453" s="379"/>
      <c r="P453" s="379"/>
      <c r="Q453" s="379"/>
    </row>
    <row r="454" spans="1:17">
      <c r="A454" s="1" t="s">
        <v>263</v>
      </c>
      <c r="B454" s="2" t="s">
        <v>195</v>
      </c>
      <c r="C454" s="197">
        <v>603434.74</v>
      </c>
      <c r="D454" s="197">
        <v>418989.73</v>
      </c>
      <c r="E454" s="379">
        <f t="shared" si="35"/>
        <v>184445.01</v>
      </c>
      <c r="G454" s="1" t="s">
        <v>263</v>
      </c>
      <c r="H454" s="2" t="s">
        <v>195</v>
      </c>
      <c r="I454" s="197">
        <f t="shared" si="36"/>
        <v>603434.74</v>
      </c>
      <c r="L454" s="64">
        <v>43028.87</v>
      </c>
      <c r="M454" s="1" t="s">
        <v>274</v>
      </c>
      <c r="N454" s="2"/>
      <c r="O454" s="379"/>
      <c r="P454" s="379"/>
      <c r="Q454" s="379"/>
    </row>
    <row r="455" spans="1:17">
      <c r="A455" s="1" t="s">
        <v>263</v>
      </c>
      <c r="B455" s="2" t="s">
        <v>196</v>
      </c>
      <c r="C455" s="197">
        <v>493254.63</v>
      </c>
      <c r="D455" s="197">
        <v>195435.97</v>
      </c>
      <c r="E455" s="379">
        <f t="shared" si="35"/>
        <v>297818.66000000003</v>
      </c>
      <c r="G455" s="1" t="s">
        <v>263</v>
      </c>
      <c r="H455" s="2" t="s">
        <v>196</v>
      </c>
      <c r="I455" s="197">
        <f t="shared" si="36"/>
        <v>493254.63</v>
      </c>
      <c r="L455" s="64">
        <v>47165.2</v>
      </c>
      <c r="M455" s="1" t="s">
        <v>271</v>
      </c>
      <c r="N455" s="2"/>
      <c r="O455" s="379"/>
      <c r="P455" s="379"/>
      <c r="Q455" s="379"/>
    </row>
    <row r="456" spans="1:17">
      <c r="A456" s="1" t="s">
        <v>263</v>
      </c>
      <c r="B456" s="2" t="s">
        <v>198</v>
      </c>
      <c r="C456" s="197">
        <v>1236333.79</v>
      </c>
      <c r="D456" s="197">
        <v>943714.27</v>
      </c>
      <c r="E456" s="379">
        <f t="shared" si="35"/>
        <v>292619.52000000002</v>
      </c>
      <c r="G456" s="1" t="s">
        <v>263</v>
      </c>
      <c r="H456" s="2" t="s">
        <v>198</v>
      </c>
      <c r="I456" s="197">
        <f t="shared" si="36"/>
        <v>1236333.79</v>
      </c>
      <c r="L456" s="64">
        <v>48394.5</v>
      </c>
      <c r="M456" s="1" t="s">
        <v>269</v>
      </c>
      <c r="N456" s="2"/>
      <c r="O456" s="379"/>
      <c r="P456" s="379"/>
      <c r="Q456" s="379"/>
    </row>
    <row r="457" spans="1:17">
      <c r="A457" s="1" t="s">
        <v>263</v>
      </c>
      <c r="B457" s="2" t="s">
        <v>201</v>
      </c>
      <c r="C457" s="197">
        <v>598218.88</v>
      </c>
      <c r="D457" s="197">
        <v>410918.98</v>
      </c>
      <c r="E457" s="379">
        <f t="shared" si="35"/>
        <v>187299.90000000002</v>
      </c>
      <c r="G457" s="1" t="s">
        <v>263</v>
      </c>
      <c r="H457" s="2" t="s">
        <v>201</v>
      </c>
      <c r="I457" s="197">
        <f t="shared" si="36"/>
        <v>598218.88</v>
      </c>
      <c r="L457" s="64">
        <v>49506.23</v>
      </c>
      <c r="M457" s="1" t="s">
        <v>282</v>
      </c>
      <c r="N457" s="2"/>
      <c r="O457" s="379"/>
      <c r="P457" s="379"/>
      <c r="Q457" s="379"/>
    </row>
    <row r="458" spans="1:17">
      <c r="A458" s="1" t="s">
        <v>263</v>
      </c>
      <c r="B458" s="2" t="s">
        <v>202</v>
      </c>
      <c r="C458" s="197">
        <v>16833.22</v>
      </c>
      <c r="D458" s="197">
        <v>-17122.68</v>
      </c>
      <c r="E458" s="379">
        <f t="shared" si="35"/>
        <v>33955.9</v>
      </c>
      <c r="G458" s="1" t="s">
        <v>263</v>
      </c>
      <c r="H458" s="2" t="s">
        <v>202</v>
      </c>
      <c r="I458" s="197">
        <f t="shared" si="36"/>
        <v>16833.22</v>
      </c>
      <c r="L458" s="64">
        <v>50285.87</v>
      </c>
      <c r="M458" s="1" t="s">
        <v>267</v>
      </c>
      <c r="N458" s="2"/>
      <c r="O458" s="379"/>
      <c r="P458" s="379"/>
      <c r="Q458" s="379"/>
    </row>
    <row r="459" spans="1:17">
      <c r="A459" s="1" t="s">
        <v>263</v>
      </c>
      <c r="B459" s="2" t="s">
        <v>203</v>
      </c>
      <c r="C459" s="197">
        <v>478971.97</v>
      </c>
      <c r="D459" s="197">
        <v>271733.57</v>
      </c>
      <c r="E459" s="379">
        <f t="shared" si="35"/>
        <v>207238.39999999997</v>
      </c>
      <c r="G459" s="1" t="s">
        <v>263</v>
      </c>
      <c r="H459" s="2" t="s">
        <v>203</v>
      </c>
      <c r="I459" s="197">
        <f t="shared" si="36"/>
        <v>478971.97</v>
      </c>
      <c r="L459" s="64">
        <v>50344.3</v>
      </c>
      <c r="M459" s="1" t="s">
        <v>286</v>
      </c>
      <c r="N459" s="2"/>
      <c r="O459" s="379"/>
      <c r="P459" s="379"/>
      <c r="Q459" s="379"/>
    </row>
    <row r="460" spans="1:17">
      <c r="A460" s="1" t="s">
        <v>263</v>
      </c>
      <c r="B460" s="2" t="s">
        <v>204</v>
      </c>
      <c r="C460" s="197">
        <v>797938.06</v>
      </c>
      <c r="D460" s="197">
        <v>598064.11</v>
      </c>
      <c r="E460" s="379">
        <f t="shared" si="35"/>
        <v>199873.95000000007</v>
      </c>
      <c r="G460" s="1" t="s">
        <v>263</v>
      </c>
      <c r="H460" s="2" t="s">
        <v>204</v>
      </c>
      <c r="I460" s="197">
        <f t="shared" si="36"/>
        <v>797938.06</v>
      </c>
      <c r="L460" s="64">
        <v>50914.3</v>
      </c>
      <c r="M460" s="1" t="s">
        <v>293</v>
      </c>
      <c r="N460" s="2"/>
      <c r="O460" s="379"/>
      <c r="P460" s="379"/>
      <c r="Q460" s="379"/>
    </row>
    <row r="461" spans="1:17">
      <c r="A461" s="1" t="s">
        <v>263</v>
      </c>
      <c r="B461" s="2" t="s">
        <v>205</v>
      </c>
      <c r="C461" s="197">
        <v>71037.55</v>
      </c>
      <c r="D461" s="197">
        <v>19882.07</v>
      </c>
      <c r="E461" s="379">
        <f t="shared" si="35"/>
        <v>51155.48</v>
      </c>
      <c r="G461" s="1" t="s">
        <v>263</v>
      </c>
      <c r="H461" s="2" t="s">
        <v>205</v>
      </c>
      <c r="I461" s="197">
        <f t="shared" si="36"/>
        <v>71037.55</v>
      </c>
      <c r="J461" s="64">
        <f>SUM(I447:I461)</f>
        <v>102666516.97999997</v>
      </c>
      <c r="L461" s="64">
        <v>52942.62</v>
      </c>
      <c r="M461" s="1" t="s">
        <v>265</v>
      </c>
      <c r="N461" s="2"/>
      <c r="O461" s="379"/>
      <c r="P461" s="379"/>
      <c r="Q461" s="379"/>
    </row>
    <row r="462" spans="1:17">
      <c r="A462" s="1" t="s">
        <v>270</v>
      </c>
      <c r="B462" s="2" t="s">
        <v>187</v>
      </c>
      <c r="C462" s="197">
        <v>87394838.689999998</v>
      </c>
      <c r="D462" s="197">
        <v>48937164.520000003</v>
      </c>
      <c r="E462" s="379">
        <f t="shared" si="35"/>
        <v>38457674.169999994</v>
      </c>
      <c r="G462" s="1" t="s">
        <v>270</v>
      </c>
      <c r="H462" s="2" t="s">
        <v>187</v>
      </c>
      <c r="I462" s="197">
        <f t="shared" si="36"/>
        <v>87394838.689999998</v>
      </c>
      <c r="L462" s="64">
        <v>53188.84</v>
      </c>
      <c r="M462" s="1" t="s">
        <v>280</v>
      </c>
      <c r="N462" s="2"/>
      <c r="O462" s="379"/>
      <c r="P462" s="379"/>
      <c r="Q462" s="379"/>
    </row>
    <row r="463" spans="1:17">
      <c r="A463" s="1" t="s">
        <v>270</v>
      </c>
      <c r="B463" s="2" t="s">
        <v>188</v>
      </c>
      <c r="C463" s="197">
        <v>3392816.07</v>
      </c>
      <c r="D463" s="197">
        <v>418328.6</v>
      </c>
      <c r="E463" s="379">
        <f t="shared" si="35"/>
        <v>2974487.4699999997</v>
      </c>
      <c r="G463" s="1" t="s">
        <v>270</v>
      </c>
      <c r="H463" s="2" t="s">
        <v>188</v>
      </c>
      <c r="I463" s="197">
        <f t="shared" si="36"/>
        <v>3392816.07</v>
      </c>
      <c r="L463" s="64">
        <v>56255.62</v>
      </c>
      <c r="M463" s="1" t="s">
        <v>285</v>
      </c>
      <c r="N463" s="2"/>
      <c r="O463" s="379"/>
      <c r="P463" s="379"/>
      <c r="Q463" s="379"/>
    </row>
    <row r="464" spans="1:17">
      <c r="A464" s="1" t="s">
        <v>270</v>
      </c>
      <c r="B464" s="2" t="s">
        <v>189</v>
      </c>
      <c r="C464" s="197">
        <v>1464980.06</v>
      </c>
      <c r="D464" s="197">
        <v>381586.3</v>
      </c>
      <c r="E464" s="379">
        <f t="shared" si="35"/>
        <v>1083393.76</v>
      </c>
      <c r="G464" s="1" t="s">
        <v>270</v>
      </c>
      <c r="H464" s="2" t="s">
        <v>189</v>
      </c>
      <c r="I464" s="197">
        <f t="shared" si="36"/>
        <v>1464980.06</v>
      </c>
      <c r="L464" s="64">
        <v>57534.48</v>
      </c>
      <c r="M464" s="1" t="s">
        <v>267</v>
      </c>
      <c r="N464" s="2"/>
      <c r="O464" s="379"/>
      <c r="P464" s="379"/>
      <c r="Q464" s="379"/>
    </row>
    <row r="465" spans="1:17">
      <c r="A465" s="1" t="s">
        <v>270</v>
      </c>
      <c r="B465" s="2" t="s">
        <v>190</v>
      </c>
      <c r="C465" s="197">
        <v>27215256.309999999</v>
      </c>
      <c r="D465" s="197">
        <v>18354998.16</v>
      </c>
      <c r="E465" s="379">
        <f t="shared" si="35"/>
        <v>8860258.1499999985</v>
      </c>
      <c r="G465" s="1" t="s">
        <v>270</v>
      </c>
      <c r="H465" s="2" t="s">
        <v>190</v>
      </c>
      <c r="I465" s="197">
        <f t="shared" si="36"/>
        <v>27215256.309999999</v>
      </c>
      <c r="L465" s="64">
        <v>57848.66</v>
      </c>
      <c r="M465" s="1" t="s">
        <v>271</v>
      </c>
      <c r="N465" s="2"/>
      <c r="O465" s="379"/>
      <c r="P465" s="379"/>
      <c r="Q465" s="379"/>
    </row>
    <row r="466" spans="1:17">
      <c r="A466" s="1" t="s">
        <v>270</v>
      </c>
      <c r="B466" s="2" t="s">
        <v>192</v>
      </c>
      <c r="C466" s="197">
        <v>3467645.31</v>
      </c>
      <c r="D466" s="197">
        <v>1036787.9</v>
      </c>
      <c r="E466" s="379">
        <f t="shared" ref="E466:E530" si="37">C466-D466</f>
        <v>2430857.41</v>
      </c>
      <c r="G466" s="1" t="s">
        <v>270</v>
      </c>
      <c r="H466" s="2" t="s">
        <v>192</v>
      </c>
      <c r="I466" s="197">
        <f t="shared" si="36"/>
        <v>3467645.31</v>
      </c>
      <c r="L466" s="64">
        <v>58346.080000000002</v>
      </c>
      <c r="M466" s="1" t="s">
        <v>300</v>
      </c>
      <c r="N466" s="2"/>
      <c r="O466" s="379"/>
      <c r="P466" s="379"/>
      <c r="Q466" s="379"/>
    </row>
    <row r="467" spans="1:17">
      <c r="A467" s="1" t="s">
        <v>270</v>
      </c>
      <c r="B467" s="2" t="s">
        <v>193</v>
      </c>
      <c r="C467" s="197">
        <v>1450886.79</v>
      </c>
      <c r="D467" s="197">
        <v>800744.61</v>
      </c>
      <c r="E467" s="379">
        <f t="shared" si="37"/>
        <v>650142.18000000005</v>
      </c>
      <c r="G467" s="1" t="s">
        <v>270</v>
      </c>
      <c r="H467" s="2" t="s">
        <v>193</v>
      </c>
      <c r="I467" s="197">
        <f t="shared" ref="I467:I531" si="38">C467</f>
        <v>1450886.79</v>
      </c>
      <c r="L467" s="64">
        <v>60078.49</v>
      </c>
      <c r="M467" s="1" t="s">
        <v>269</v>
      </c>
      <c r="N467" s="2"/>
      <c r="O467" s="379"/>
      <c r="P467" s="379"/>
      <c r="Q467" s="379"/>
    </row>
    <row r="468" spans="1:17">
      <c r="A468" s="1" t="s">
        <v>270</v>
      </c>
      <c r="B468" s="2" t="s">
        <v>194</v>
      </c>
      <c r="C468" s="197">
        <v>1491838.19</v>
      </c>
      <c r="D468" s="197">
        <v>548063.09</v>
      </c>
      <c r="E468" s="379">
        <f t="shared" si="37"/>
        <v>943775.1</v>
      </c>
      <c r="G468" s="1" t="s">
        <v>270</v>
      </c>
      <c r="H468" s="2" t="s">
        <v>194</v>
      </c>
      <c r="I468" s="197">
        <f t="shared" si="38"/>
        <v>1491838.19</v>
      </c>
      <c r="L468" s="64">
        <v>61449.15</v>
      </c>
      <c r="M468" s="1" t="s">
        <v>296</v>
      </c>
      <c r="N468" s="2"/>
      <c r="O468" s="379"/>
      <c r="P468" s="379"/>
      <c r="Q468" s="379"/>
    </row>
    <row r="469" spans="1:17">
      <c r="A469" s="1" t="s">
        <v>270</v>
      </c>
      <c r="B469" s="2" t="s">
        <v>195</v>
      </c>
      <c r="C469" s="197">
        <v>2783592.47</v>
      </c>
      <c r="D469" s="197">
        <v>1632466.28</v>
      </c>
      <c r="E469" s="379">
        <f t="shared" si="37"/>
        <v>1151126.1900000002</v>
      </c>
      <c r="G469" s="1" t="s">
        <v>270</v>
      </c>
      <c r="H469" s="2" t="s">
        <v>195</v>
      </c>
      <c r="I469" s="197">
        <f t="shared" si="38"/>
        <v>2783592.47</v>
      </c>
      <c r="L469" s="64">
        <v>64096.14</v>
      </c>
      <c r="M469" s="1" t="s">
        <v>262</v>
      </c>
      <c r="N469" s="2"/>
      <c r="O469" s="379"/>
      <c r="P469" s="379"/>
      <c r="Q469" s="379"/>
    </row>
    <row r="470" spans="1:17">
      <c r="A470" s="1" t="s">
        <v>270</v>
      </c>
      <c r="B470" s="2" t="s">
        <v>196</v>
      </c>
      <c r="C470" s="197">
        <v>353000.65</v>
      </c>
      <c r="D470" s="197">
        <v>159055.31</v>
      </c>
      <c r="E470" s="379">
        <f t="shared" si="37"/>
        <v>193945.34000000003</v>
      </c>
      <c r="G470" s="1" t="s">
        <v>270</v>
      </c>
      <c r="H470" s="2" t="s">
        <v>196</v>
      </c>
      <c r="I470" s="197">
        <f t="shared" si="38"/>
        <v>353000.65</v>
      </c>
      <c r="L470" s="64">
        <v>65912.850000000006</v>
      </c>
      <c r="M470" s="1" t="s">
        <v>269</v>
      </c>
      <c r="N470" s="2"/>
      <c r="O470" s="379"/>
      <c r="P470" s="379"/>
      <c r="Q470" s="379"/>
    </row>
    <row r="471" spans="1:17">
      <c r="A471" s="1" t="s">
        <v>270</v>
      </c>
      <c r="B471" s="2" t="s">
        <v>198</v>
      </c>
      <c r="C471" s="197">
        <v>400700.39</v>
      </c>
      <c r="D471" s="197">
        <v>501340.99</v>
      </c>
      <c r="E471" s="379">
        <f t="shared" si="37"/>
        <v>-100640.59999999998</v>
      </c>
      <c r="G471" s="1" t="s">
        <v>270</v>
      </c>
      <c r="H471" s="2" t="s">
        <v>198</v>
      </c>
      <c r="I471" s="197">
        <f t="shared" si="38"/>
        <v>400700.39</v>
      </c>
      <c r="L471" s="64">
        <v>67041.58</v>
      </c>
      <c r="M471" s="1" t="s">
        <v>296</v>
      </c>
      <c r="N471" s="2"/>
      <c r="O471" s="379"/>
      <c r="P471" s="379"/>
      <c r="Q471" s="379"/>
    </row>
    <row r="472" spans="1:17">
      <c r="A472" s="1" t="s">
        <v>270</v>
      </c>
      <c r="B472" s="2" t="s">
        <v>201</v>
      </c>
      <c r="C472" s="197">
        <v>391723.54</v>
      </c>
      <c r="D472" s="197">
        <v>193104.87</v>
      </c>
      <c r="E472" s="379">
        <f t="shared" si="37"/>
        <v>198618.66999999998</v>
      </c>
      <c r="G472" s="1" t="s">
        <v>270</v>
      </c>
      <c r="H472" s="2" t="s">
        <v>201</v>
      </c>
      <c r="I472" s="197">
        <f t="shared" si="38"/>
        <v>391723.54</v>
      </c>
      <c r="L472" s="64">
        <v>70739.13</v>
      </c>
      <c r="M472" s="1" t="s">
        <v>262</v>
      </c>
      <c r="N472" s="2"/>
      <c r="O472" s="379"/>
      <c r="P472" s="379"/>
      <c r="Q472" s="379"/>
    </row>
    <row r="473" spans="1:17">
      <c r="A473" s="1" t="s">
        <v>270</v>
      </c>
      <c r="B473" s="2" t="s">
        <v>203</v>
      </c>
      <c r="C473" s="197">
        <v>235746.45</v>
      </c>
      <c r="D473" s="197">
        <v>110524.77</v>
      </c>
      <c r="E473" s="379">
        <f t="shared" si="37"/>
        <v>125221.68000000001</v>
      </c>
      <c r="G473" s="1" t="s">
        <v>270</v>
      </c>
      <c r="H473" s="2" t="s">
        <v>203</v>
      </c>
      <c r="I473" s="197">
        <f t="shared" si="38"/>
        <v>235746.45</v>
      </c>
      <c r="L473" s="64">
        <v>71037.55</v>
      </c>
      <c r="M473" s="1" t="s">
        <v>263</v>
      </c>
      <c r="N473" s="2"/>
      <c r="O473" s="379"/>
      <c r="P473" s="379"/>
      <c r="Q473" s="379"/>
    </row>
    <row r="474" spans="1:17">
      <c r="A474" s="1" t="s">
        <v>270</v>
      </c>
      <c r="B474" s="2" t="s">
        <v>204</v>
      </c>
      <c r="C474" s="197">
        <v>305990.21000000002</v>
      </c>
      <c r="D474" s="197">
        <v>320208.34999999998</v>
      </c>
      <c r="E474" s="379">
        <f t="shared" si="37"/>
        <v>-14218.139999999956</v>
      </c>
      <c r="G474" s="1" t="s">
        <v>270</v>
      </c>
      <c r="H474" s="2" t="s">
        <v>204</v>
      </c>
      <c r="I474" s="197">
        <f t="shared" si="38"/>
        <v>305990.21000000002</v>
      </c>
      <c r="L474" s="64">
        <v>71766.880000000005</v>
      </c>
      <c r="M474" s="1" t="s">
        <v>267</v>
      </c>
      <c r="N474" s="2"/>
      <c r="O474" s="379"/>
      <c r="P474" s="379"/>
      <c r="Q474" s="379"/>
    </row>
    <row r="475" spans="1:17">
      <c r="A475" s="1" t="s">
        <v>270</v>
      </c>
      <c r="B475" s="2" t="s">
        <v>205</v>
      </c>
      <c r="C475" s="197">
        <v>9699.66</v>
      </c>
      <c r="D475" s="197">
        <v>4513.8500000000004</v>
      </c>
      <c r="E475" s="379">
        <f t="shared" si="37"/>
        <v>5185.8099999999995</v>
      </c>
      <c r="G475" s="1" t="s">
        <v>270</v>
      </c>
      <c r="H475" s="2" t="s">
        <v>205</v>
      </c>
      <c r="I475" s="197">
        <f t="shared" si="38"/>
        <v>9699.66</v>
      </c>
      <c r="J475" s="64">
        <f>SUM(I462:I475)</f>
        <v>130358714.79000001</v>
      </c>
      <c r="L475" s="64">
        <v>72830.759999999995</v>
      </c>
      <c r="M475" s="1" t="s">
        <v>268</v>
      </c>
      <c r="N475" s="2"/>
      <c r="O475" s="379"/>
      <c r="P475" s="379"/>
      <c r="Q475" s="379"/>
    </row>
    <row r="476" spans="1:17">
      <c r="A476" s="1" t="s">
        <v>293</v>
      </c>
      <c r="B476" s="2" t="s">
        <v>187</v>
      </c>
      <c r="C476" s="197">
        <v>5636293.9500000002</v>
      </c>
      <c r="D476" s="197">
        <v>707075.6</v>
      </c>
      <c r="E476" s="379">
        <f t="shared" si="37"/>
        <v>4929218.3500000006</v>
      </c>
      <c r="G476" s="1" t="s">
        <v>293</v>
      </c>
      <c r="H476" s="2" t="s">
        <v>187</v>
      </c>
      <c r="I476" s="197">
        <f>C476</f>
        <v>5636293.9500000002</v>
      </c>
      <c r="L476" s="64">
        <v>74186.12</v>
      </c>
      <c r="M476" s="1" t="s">
        <v>272</v>
      </c>
      <c r="N476" s="2"/>
      <c r="O476" s="379"/>
      <c r="P476" s="379"/>
      <c r="Q476" s="379"/>
    </row>
    <row r="477" spans="1:17">
      <c r="A477" s="1" t="s">
        <v>293</v>
      </c>
      <c r="B477" s="2">
        <v>378</v>
      </c>
      <c r="C477" s="197">
        <v>50914.3</v>
      </c>
      <c r="D477" s="197">
        <v>1997.93</v>
      </c>
      <c r="E477" s="379">
        <f t="shared" si="37"/>
        <v>48916.37</v>
      </c>
      <c r="G477" s="1" t="s">
        <v>293</v>
      </c>
      <c r="H477" s="2">
        <v>378</v>
      </c>
      <c r="I477" s="197">
        <f>C477</f>
        <v>50914.3</v>
      </c>
      <c r="J477" s="64">
        <f>I476+I477</f>
        <v>5687208.25</v>
      </c>
      <c r="L477" s="64">
        <v>74398.990000000005</v>
      </c>
      <c r="M477" s="1" t="s">
        <v>278</v>
      </c>
      <c r="N477" s="2"/>
      <c r="O477" s="379"/>
      <c r="P477" s="379"/>
      <c r="Q477" s="379"/>
    </row>
    <row r="478" spans="1:17">
      <c r="A478" s="1" t="s">
        <v>294</v>
      </c>
      <c r="B478" s="2" t="s">
        <v>187</v>
      </c>
      <c r="C478" s="197">
        <v>238051.89</v>
      </c>
      <c r="D478" s="197">
        <v>81599.33</v>
      </c>
      <c r="E478" s="379">
        <f t="shared" si="37"/>
        <v>156452.56</v>
      </c>
      <c r="G478" s="1" t="s">
        <v>294</v>
      </c>
      <c r="H478" s="2" t="s">
        <v>187</v>
      </c>
      <c r="I478" s="197">
        <f t="shared" si="38"/>
        <v>238051.89</v>
      </c>
      <c r="L478" s="64">
        <v>74708.25</v>
      </c>
      <c r="M478" s="1" t="s">
        <v>268</v>
      </c>
      <c r="N478" s="2"/>
      <c r="O478" s="379"/>
      <c r="P478" s="379"/>
      <c r="Q478" s="379"/>
    </row>
    <row r="479" spans="1:17">
      <c r="A479" s="1" t="s">
        <v>294</v>
      </c>
      <c r="B479" s="2" t="s">
        <v>189</v>
      </c>
      <c r="C479" s="197">
        <v>796736.06</v>
      </c>
      <c r="D479" s="197">
        <v>217800.29</v>
      </c>
      <c r="E479" s="379">
        <f t="shared" si="37"/>
        <v>578935.77</v>
      </c>
      <c r="G479" s="1" t="s">
        <v>294</v>
      </c>
      <c r="H479" s="2" t="s">
        <v>189</v>
      </c>
      <c r="I479" s="197">
        <f t="shared" si="38"/>
        <v>796736.06</v>
      </c>
      <c r="J479" s="64">
        <f>I479+I478</f>
        <v>1034787.9500000001</v>
      </c>
      <c r="L479" s="64">
        <v>79172.27</v>
      </c>
      <c r="M479" s="1" t="s">
        <v>274</v>
      </c>
      <c r="N479" s="2"/>
      <c r="O479" s="379"/>
      <c r="P479" s="379"/>
      <c r="Q479" s="379"/>
    </row>
    <row r="480" spans="1:17">
      <c r="A480" s="176" t="s">
        <v>1163</v>
      </c>
      <c r="B480" s="180" t="s">
        <v>187</v>
      </c>
      <c r="C480" s="411">
        <v>705003.66</v>
      </c>
      <c r="D480" s="197">
        <v>0</v>
      </c>
      <c r="E480" s="379">
        <f t="shared" si="37"/>
        <v>705003.66</v>
      </c>
      <c r="G480" s="1" t="s">
        <v>1163</v>
      </c>
      <c r="H480" s="2" t="s">
        <v>187</v>
      </c>
      <c r="I480" s="197">
        <f t="shared" ref="I480" si="39">C480</f>
        <v>705003.66</v>
      </c>
      <c r="J480" s="64">
        <f>I480</f>
        <v>705003.66</v>
      </c>
      <c r="L480" s="64">
        <v>79301.47</v>
      </c>
      <c r="M480" s="1" t="s">
        <v>274</v>
      </c>
      <c r="N480" s="2"/>
      <c r="O480" s="379"/>
      <c r="P480" s="379"/>
      <c r="Q480" s="379"/>
    </row>
    <row r="481" spans="1:17">
      <c r="A481" s="1" t="s">
        <v>286</v>
      </c>
      <c r="B481" s="2" t="s">
        <v>187</v>
      </c>
      <c r="C481" s="197">
        <v>6584165.3300000001</v>
      </c>
      <c r="D481" s="197">
        <v>2757992.77</v>
      </c>
      <c r="E481" s="379">
        <f t="shared" si="37"/>
        <v>3826172.56</v>
      </c>
      <c r="G481" s="1" t="s">
        <v>286</v>
      </c>
      <c r="H481" s="2" t="s">
        <v>187</v>
      </c>
      <c r="I481" s="197">
        <f t="shared" si="38"/>
        <v>6584165.3300000001</v>
      </c>
      <c r="L481" s="64">
        <v>79312.25</v>
      </c>
      <c r="M481" s="1" t="s">
        <v>282</v>
      </c>
      <c r="N481" s="2"/>
      <c r="O481" s="379"/>
      <c r="P481" s="379"/>
      <c r="Q481" s="379"/>
    </row>
    <row r="482" spans="1:17">
      <c r="A482" s="1" t="s">
        <v>286</v>
      </c>
      <c r="B482" s="2" t="s">
        <v>188</v>
      </c>
      <c r="C482" s="197">
        <v>50344.3</v>
      </c>
      <c r="D482" s="197">
        <v>6143.99</v>
      </c>
      <c r="E482" s="379">
        <f t="shared" si="37"/>
        <v>44200.310000000005</v>
      </c>
      <c r="G482" s="1" t="s">
        <v>286</v>
      </c>
      <c r="H482" s="2" t="s">
        <v>188</v>
      </c>
      <c r="I482" s="197">
        <f t="shared" si="38"/>
        <v>50344.3</v>
      </c>
      <c r="J482" s="64"/>
      <c r="L482" s="64">
        <v>80565.39</v>
      </c>
      <c r="M482" s="1" t="s">
        <v>266</v>
      </c>
      <c r="N482" s="2"/>
      <c r="O482" s="379"/>
      <c r="P482" s="379"/>
      <c r="Q482" s="379"/>
    </row>
    <row r="483" spans="1:17">
      <c r="A483" s="1" t="s">
        <v>5</v>
      </c>
      <c r="B483" s="2">
        <v>2379</v>
      </c>
      <c r="C483" s="197">
        <v>515205.6</v>
      </c>
      <c r="D483" s="197">
        <v>19962.22</v>
      </c>
      <c r="E483" s="379">
        <f t="shared" si="37"/>
        <v>495243.38</v>
      </c>
      <c r="G483" s="1" t="s">
        <v>5</v>
      </c>
      <c r="H483" s="2">
        <v>2379</v>
      </c>
      <c r="I483" s="197">
        <f>C483</f>
        <v>515205.6</v>
      </c>
      <c r="L483" s="64">
        <v>81679.570000000007</v>
      </c>
      <c r="M483" s="1" t="s">
        <v>289</v>
      </c>
      <c r="N483" s="2"/>
      <c r="O483" s="379"/>
      <c r="P483" s="379"/>
      <c r="Q483" s="379"/>
    </row>
    <row r="484" spans="1:17">
      <c r="A484" s="1" t="s">
        <v>5</v>
      </c>
      <c r="B484" s="2">
        <v>2387</v>
      </c>
      <c r="C484" s="197">
        <v>21918.58</v>
      </c>
      <c r="D484" s="197">
        <v>2017.52</v>
      </c>
      <c r="E484" s="379">
        <f t="shared" si="37"/>
        <v>19901.060000000001</v>
      </c>
      <c r="G484" s="1" t="s">
        <v>5</v>
      </c>
      <c r="H484" s="2">
        <v>2387</v>
      </c>
      <c r="I484" s="197">
        <f>C484</f>
        <v>21918.58</v>
      </c>
      <c r="L484" s="64">
        <v>83331.23</v>
      </c>
      <c r="M484" s="1" t="s">
        <v>271</v>
      </c>
      <c r="N484" s="2"/>
      <c r="O484" s="379"/>
      <c r="P484" s="379"/>
      <c r="Q484" s="379"/>
    </row>
    <row r="485" spans="1:17">
      <c r="A485" s="1" t="s">
        <v>286</v>
      </c>
      <c r="B485" s="2" t="s">
        <v>201</v>
      </c>
      <c r="C485" s="197">
        <v>1925.04</v>
      </c>
      <c r="D485" s="197">
        <v>1736.47</v>
      </c>
      <c r="E485" s="379">
        <f t="shared" si="37"/>
        <v>188.56999999999994</v>
      </c>
      <c r="G485" s="1" t="s">
        <v>286</v>
      </c>
      <c r="H485" s="2" t="s">
        <v>201</v>
      </c>
      <c r="I485" s="197">
        <f t="shared" si="38"/>
        <v>1925.04</v>
      </c>
      <c r="J485" s="64">
        <f>SUM(I481:I485)</f>
        <v>7173558.8499999996</v>
      </c>
      <c r="L485" s="64">
        <v>86646.01</v>
      </c>
      <c r="M485" s="1" t="s">
        <v>301</v>
      </c>
      <c r="N485" s="2"/>
      <c r="O485" s="379"/>
      <c r="P485" s="379"/>
      <c r="Q485" s="379"/>
    </row>
    <row r="486" spans="1:17">
      <c r="A486" s="1" t="s">
        <v>271</v>
      </c>
      <c r="B486" s="2" t="s">
        <v>187</v>
      </c>
      <c r="C486" s="197">
        <v>1827460.77</v>
      </c>
      <c r="D486" s="197">
        <v>1209122.73</v>
      </c>
      <c r="E486" s="379">
        <f t="shared" si="37"/>
        <v>618338.04</v>
      </c>
      <c r="G486" s="1" t="s">
        <v>271</v>
      </c>
      <c r="H486" s="2" t="s">
        <v>187</v>
      </c>
      <c r="I486" s="197">
        <f t="shared" si="38"/>
        <v>1827460.77</v>
      </c>
      <c r="L486" s="64">
        <v>86702.18</v>
      </c>
      <c r="M486" s="1" t="s">
        <v>268</v>
      </c>
      <c r="N486" s="2"/>
      <c r="O486" s="379"/>
      <c r="P486" s="379"/>
      <c r="Q486" s="379"/>
    </row>
    <row r="487" spans="1:17">
      <c r="A487" s="1" t="s">
        <v>271</v>
      </c>
      <c r="B487" s="2" t="s">
        <v>188</v>
      </c>
      <c r="C487" s="197">
        <v>22263.35</v>
      </c>
      <c r="D487" s="197">
        <v>11914.35</v>
      </c>
      <c r="E487" s="379">
        <f t="shared" si="37"/>
        <v>10348.999999999998</v>
      </c>
      <c r="G487" s="1" t="s">
        <v>271</v>
      </c>
      <c r="H487" s="2" t="s">
        <v>188</v>
      </c>
      <c r="I487" s="197">
        <f t="shared" si="38"/>
        <v>22263.35</v>
      </c>
      <c r="L487" s="64">
        <v>89112.960000000006</v>
      </c>
      <c r="M487" s="1" t="s">
        <v>269</v>
      </c>
      <c r="N487" s="2"/>
      <c r="O487" s="379"/>
      <c r="P487" s="379"/>
      <c r="Q487" s="379"/>
    </row>
    <row r="488" spans="1:17">
      <c r="A488" s="1" t="s">
        <v>271</v>
      </c>
      <c r="B488" s="2" t="s">
        <v>189</v>
      </c>
      <c r="C488" s="197">
        <v>41669.83</v>
      </c>
      <c r="D488" s="197">
        <v>-7975.21</v>
      </c>
      <c r="E488" s="379">
        <f t="shared" si="37"/>
        <v>49645.04</v>
      </c>
      <c r="G488" s="1" t="s">
        <v>271</v>
      </c>
      <c r="H488" s="2" t="s">
        <v>189</v>
      </c>
      <c r="I488" s="197">
        <f t="shared" si="38"/>
        <v>41669.83</v>
      </c>
      <c r="L488" s="64">
        <v>89528.960000000006</v>
      </c>
      <c r="M488" s="1" t="s">
        <v>301</v>
      </c>
      <c r="N488" s="2"/>
      <c r="O488" s="379"/>
      <c r="P488" s="379"/>
      <c r="Q488" s="379"/>
    </row>
    <row r="489" spans="1:17">
      <c r="A489" s="1" t="s">
        <v>271</v>
      </c>
      <c r="B489" s="2" t="s">
        <v>190</v>
      </c>
      <c r="C489" s="197">
        <v>558073.63</v>
      </c>
      <c r="D489" s="197">
        <v>592527.98</v>
      </c>
      <c r="E489" s="379">
        <f t="shared" si="37"/>
        <v>-34454.349999999977</v>
      </c>
      <c r="G489" s="1" t="s">
        <v>271</v>
      </c>
      <c r="H489" s="2" t="s">
        <v>190</v>
      </c>
      <c r="I489" s="197">
        <f t="shared" si="38"/>
        <v>558073.63</v>
      </c>
      <c r="L489" s="64">
        <v>90754.09</v>
      </c>
      <c r="M489" s="1" t="s">
        <v>275</v>
      </c>
      <c r="N489" s="2"/>
      <c r="O489" s="379"/>
      <c r="P489" s="379"/>
      <c r="Q489" s="379"/>
    </row>
    <row r="490" spans="1:17">
      <c r="A490" s="1" t="s">
        <v>271</v>
      </c>
      <c r="B490" s="2" t="s">
        <v>192</v>
      </c>
      <c r="C490" s="197">
        <v>57848.66</v>
      </c>
      <c r="D490" s="197">
        <v>43122.34</v>
      </c>
      <c r="E490" s="379">
        <f t="shared" si="37"/>
        <v>14726.320000000007</v>
      </c>
      <c r="G490" s="1" t="s">
        <v>271</v>
      </c>
      <c r="H490" s="2" t="s">
        <v>192</v>
      </c>
      <c r="I490" s="197">
        <f t="shared" si="38"/>
        <v>57848.66</v>
      </c>
      <c r="L490" s="64">
        <v>91324.18</v>
      </c>
      <c r="M490" s="1" t="s">
        <v>269</v>
      </c>
      <c r="N490" s="2"/>
      <c r="O490" s="379"/>
      <c r="P490" s="379"/>
      <c r="Q490" s="379"/>
    </row>
    <row r="491" spans="1:17">
      <c r="A491" s="1" t="s">
        <v>271</v>
      </c>
      <c r="B491" s="2" t="s">
        <v>193</v>
      </c>
      <c r="C491" s="197">
        <v>18197.650000000001</v>
      </c>
      <c r="D491" s="197">
        <v>11421.64</v>
      </c>
      <c r="E491" s="379">
        <f t="shared" si="37"/>
        <v>6776.010000000002</v>
      </c>
      <c r="G491" s="1" t="s">
        <v>271</v>
      </c>
      <c r="H491" s="2" t="s">
        <v>193</v>
      </c>
      <c r="I491" s="197">
        <f t="shared" si="38"/>
        <v>18197.650000000001</v>
      </c>
      <c r="L491" s="64">
        <v>98906.46</v>
      </c>
      <c r="M491" s="1" t="s">
        <v>288</v>
      </c>
      <c r="N491" s="2"/>
      <c r="O491" s="379"/>
      <c r="P491" s="379"/>
      <c r="Q491" s="379"/>
    </row>
    <row r="492" spans="1:17">
      <c r="A492" s="1" t="s">
        <v>271</v>
      </c>
      <c r="B492" s="2" t="s">
        <v>194</v>
      </c>
      <c r="C492" s="197">
        <v>20187.18</v>
      </c>
      <c r="D492" s="197">
        <v>13353.66</v>
      </c>
      <c r="E492" s="379">
        <f t="shared" si="37"/>
        <v>6833.52</v>
      </c>
      <c r="G492" s="1" t="s">
        <v>271</v>
      </c>
      <c r="H492" s="2" t="s">
        <v>194</v>
      </c>
      <c r="I492" s="197">
        <f t="shared" si="38"/>
        <v>20187.18</v>
      </c>
      <c r="L492" s="64">
        <v>100517.69</v>
      </c>
      <c r="M492" s="1" t="s">
        <v>268</v>
      </c>
      <c r="N492" s="2"/>
      <c r="O492" s="379"/>
      <c r="P492" s="379"/>
      <c r="Q492" s="379"/>
    </row>
    <row r="493" spans="1:17">
      <c r="A493" s="1" t="s">
        <v>271</v>
      </c>
      <c r="B493" s="2" t="s">
        <v>195</v>
      </c>
      <c r="C493" s="197">
        <v>14883.51</v>
      </c>
      <c r="D493" s="197">
        <v>38.630000000000003</v>
      </c>
      <c r="E493" s="379">
        <f t="shared" si="37"/>
        <v>14844.880000000001</v>
      </c>
      <c r="G493" s="1" t="s">
        <v>271</v>
      </c>
      <c r="H493" s="2" t="s">
        <v>195</v>
      </c>
      <c r="I493" s="197">
        <f t="shared" si="38"/>
        <v>14883.51</v>
      </c>
      <c r="L493" s="64">
        <v>103194.87</v>
      </c>
      <c r="M493" s="1" t="s">
        <v>301</v>
      </c>
      <c r="N493" s="2"/>
      <c r="O493" s="379"/>
      <c r="P493" s="379"/>
      <c r="Q493" s="379"/>
    </row>
    <row r="494" spans="1:17">
      <c r="A494" s="1" t="s">
        <v>271</v>
      </c>
      <c r="B494" s="2" t="s">
        <v>196</v>
      </c>
      <c r="C494" s="197">
        <v>47165.2</v>
      </c>
      <c r="D494" s="197">
        <v>24173.07</v>
      </c>
      <c r="E494" s="379">
        <f t="shared" si="37"/>
        <v>22992.129999999997</v>
      </c>
      <c r="G494" s="1" t="s">
        <v>271</v>
      </c>
      <c r="H494" s="2" t="s">
        <v>196</v>
      </c>
      <c r="I494" s="197">
        <f t="shared" si="38"/>
        <v>47165.2</v>
      </c>
      <c r="L494" s="64">
        <v>118930.74</v>
      </c>
      <c r="M494" s="1" t="s">
        <v>269</v>
      </c>
      <c r="N494" s="2"/>
      <c r="O494" s="379"/>
      <c r="P494" s="379"/>
      <c r="Q494" s="379"/>
    </row>
    <row r="495" spans="1:17">
      <c r="A495" s="1" t="s">
        <v>271</v>
      </c>
      <c r="B495" s="2" t="s">
        <v>198</v>
      </c>
      <c r="C495" s="197">
        <v>18983.22</v>
      </c>
      <c r="D495" s="197">
        <v>36153.26</v>
      </c>
      <c r="E495" s="379">
        <f t="shared" si="37"/>
        <v>-17170.04</v>
      </c>
      <c r="G495" s="1" t="s">
        <v>271</v>
      </c>
      <c r="H495" s="2" t="s">
        <v>198</v>
      </c>
      <c r="I495" s="197">
        <f t="shared" si="38"/>
        <v>18983.22</v>
      </c>
      <c r="L495" s="64">
        <v>121500.07</v>
      </c>
      <c r="M495" s="1" t="s">
        <v>274</v>
      </c>
      <c r="N495" s="2"/>
      <c r="O495" s="379"/>
      <c r="P495" s="379"/>
      <c r="Q495" s="379"/>
    </row>
    <row r="496" spans="1:17">
      <c r="A496" s="1" t="s">
        <v>271</v>
      </c>
      <c r="B496" s="2" t="s">
        <v>201</v>
      </c>
      <c r="C496" s="197">
        <v>41973.52</v>
      </c>
      <c r="D496" s="197">
        <v>23417.34</v>
      </c>
      <c r="E496" s="379">
        <f t="shared" si="37"/>
        <v>18556.179999999997</v>
      </c>
      <c r="G496" s="1" t="s">
        <v>271</v>
      </c>
      <c r="H496" s="2" t="s">
        <v>201</v>
      </c>
      <c r="I496" s="197">
        <f t="shared" si="38"/>
        <v>41973.52</v>
      </c>
      <c r="L496" s="64">
        <v>121542.51</v>
      </c>
      <c r="M496" s="1" t="s">
        <v>273</v>
      </c>
      <c r="N496" s="2"/>
      <c r="O496" s="379"/>
      <c r="P496" s="379"/>
      <c r="Q496" s="379"/>
    </row>
    <row r="497" spans="1:17">
      <c r="A497" s="1" t="s">
        <v>271</v>
      </c>
      <c r="B497" s="2" t="s">
        <v>203</v>
      </c>
      <c r="C497" s="197">
        <v>83331.23</v>
      </c>
      <c r="D497" s="197">
        <v>61906.79</v>
      </c>
      <c r="E497" s="379">
        <f t="shared" si="37"/>
        <v>21424.439999999995</v>
      </c>
      <c r="G497" s="1" t="s">
        <v>271</v>
      </c>
      <c r="H497" s="2" t="s">
        <v>203</v>
      </c>
      <c r="I497" s="197">
        <f t="shared" si="38"/>
        <v>83331.23</v>
      </c>
      <c r="L497" s="64">
        <v>126912.53</v>
      </c>
      <c r="M497" s="1" t="s">
        <v>262</v>
      </c>
      <c r="N497" s="2"/>
      <c r="O497" s="379"/>
      <c r="P497" s="379"/>
      <c r="Q497" s="379"/>
    </row>
    <row r="498" spans="1:17">
      <c r="A498" s="1" t="s">
        <v>271</v>
      </c>
      <c r="B498" s="2" t="s">
        <v>205</v>
      </c>
      <c r="C498" s="197">
        <v>4155.2</v>
      </c>
      <c r="D498" s="197">
        <v>-542.15</v>
      </c>
      <c r="E498" s="379">
        <f t="shared" si="37"/>
        <v>4697.3499999999995</v>
      </c>
      <c r="G498" s="1" t="s">
        <v>271</v>
      </c>
      <c r="H498" s="2" t="s">
        <v>205</v>
      </c>
      <c r="I498" s="197">
        <f t="shared" si="38"/>
        <v>4155.2</v>
      </c>
      <c r="J498" s="64">
        <f>SUM(I486:I498)</f>
        <v>2756192.9500000007</v>
      </c>
      <c r="L498" s="64">
        <v>127641.77</v>
      </c>
      <c r="M498" s="1" t="s">
        <v>268</v>
      </c>
      <c r="N498" s="2"/>
      <c r="O498" s="379"/>
      <c r="P498" s="379"/>
      <c r="Q498" s="379"/>
    </row>
    <row r="499" spans="1:17">
      <c r="A499" s="1" t="s">
        <v>264</v>
      </c>
      <c r="B499" s="2" t="s">
        <v>187</v>
      </c>
      <c r="C499" s="197">
        <v>88154251.659999996</v>
      </c>
      <c r="D499" s="197">
        <v>37067742.420000002</v>
      </c>
      <c r="E499" s="379">
        <f t="shared" si="37"/>
        <v>51086509.239999995</v>
      </c>
      <c r="G499" s="1" t="s">
        <v>264</v>
      </c>
      <c r="H499" s="2" t="s">
        <v>187</v>
      </c>
      <c r="I499" s="197">
        <f t="shared" si="38"/>
        <v>88154251.659999996</v>
      </c>
      <c r="L499" s="64">
        <v>131628.07</v>
      </c>
      <c r="M499" s="1" t="s">
        <v>262</v>
      </c>
      <c r="N499" s="2"/>
      <c r="O499" s="379"/>
      <c r="P499" s="379"/>
      <c r="Q499" s="379"/>
    </row>
    <row r="500" spans="1:17">
      <c r="A500" s="1" t="s">
        <v>264</v>
      </c>
      <c r="B500" s="2" t="s">
        <v>188</v>
      </c>
      <c r="C500" s="197">
        <v>871719.99</v>
      </c>
      <c r="D500" s="197">
        <v>334138.44</v>
      </c>
      <c r="E500" s="379">
        <f t="shared" si="37"/>
        <v>537581.55000000005</v>
      </c>
      <c r="G500" s="1" t="s">
        <v>264</v>
      </c>
      <c r="H500" s="2" t="s">
        <v>188</v>
      </c>
      <c r="I500" s="197">
        <f t="shared" si="38"/>
        <v>871719.99</v>
      </c>
      <c r="L500" s="64">
        <v>134147.67000000001</v>
      </c>
      <c r="M500" s="1" t="s">
        <v>275</v>
      </c>
      <c r="N500" s="2"/>
      <c r="O500" s="379"/>
      <c r="P500" s="379"/>
      <c r="Q500" s="379"/>
    </row>
    <row r="501" spans="1:17">
      <c r="A501" s="1" t="s">
        <v>264</v>
      </c>
      <c r="B501" s="2" t="s">
        <v>189</v>
      </c>
      <c r="C501" s="197">
        <v>5724043.2800000003</v>
      </c>
      <c r="D501" s="197">
        <v>1051210.96</v>
      </c>
      <c r="E501" s="379">
        <f t="shared" si="37"/>
        <v>4672832.32</v>
      </c>
      <c r="G501" s="1" t="s">
        <v>264</v>
      </c>
      <c r="H501" s="2" t="s">
        <v>189</v>
      </c>
      <c r="I501" s="197">
        <f t="shared" si="38"/>
        <v>5724043.2800000003</v>
      </c>
      <c r="L501" s="64">
        <v>135333.75</v>
      </c>
      <c r="M501" s="1" t="s">
        <v>265</v>
      </c>
      <c r="N501" s="2"/>
      <c r="O501" s="379"/>
      <c r="P501" s="379"/>
      <c r="Q501" s="379"/>
    </row>
    <row r="502" spans="1:17">
      <c r="A502" s="1" t="s">
        <v>264</v>
      </c>
      <c r="B502" s="2" t="s">
        <v>190</v>
      </c>
      <c r="C502" s="197">
        <v>44959630.25</v>
      </c>
      <c r="D502" s="197">
        <v>29696393.559999999</v>
      </c>
      <c r="E502" s="379">
        <f t="shared" si="37"/>
        <v>15263236.690000001</v>
      </c>
      <c r="G502" s="1" t="s">
        <v>264</v>
      </c>
      <c r="H502" s="2" t="s">
        <v>190</v>
      </c>
      <c r="I502" s="197">
        <f t="shared" si="38"/>
        <v>44959630.25</v>
      </c>
      <c r="L502" s="64">
        <v>136123.63</v>
      </c>
      <c r="M502" s="1" t="s">
        <v>275</v>
      </c>
      <c r="N502" s="2"/>
      <c r="O502" s="379"/>
      <c r="P502" s="379"/>
      <c r="Q502" s="379"/>
    </row>
    <row r="503" spans="1:17">
      <c r="A503" s="1" t="s">
        <v>264</v>
      </c>
      <c r="B503" s="2" t="s">
        <v>191</v>
      </c>
      <c r="C503" s="197">
        <v>57839393.549999997</v>
      </c>
      <c r="D503" s="197">
        <v>16209522.02</v>
      </c>
      <c r="E503" s="379">
        <f t="shared" si="37"/>
        <v>41629871.530000001</v>
      </c>
      <c r="G503" s="1" t="s">
        <v>264</v>
      </c>
      <c r="H503" s="2" t="s">
        <v>191</v>
      </c>
      <c r="I503" s="197">
        <f t="shared" si="38"/>
        <v>57839393.549999997</v>
      </c>
      <c r="L503" s="64">
        <v>137748.35</v>
      </c>
      <c r="M503" s="1" t="s">
        <v>280</v>
      </c>
      <c r="N503" s="2"/>
      <c r="O503" s="379"/>
      <c r="P503" s="379"/>
      <c r="Q503" s="379"/>
    </row>
    <row r="504" spans="1:17">
      <c r="A504" s="1" t="s">
        <v>264</v>
      </c>
      <c r="B504" s="2" t="s">
        <v>192</v>
      </c>
      <c r="C504" s="197">
        <v>9061216.75</v>
      </c>
      <c r="D504" s="197">
        <v>5408954.9199999999</v>
      </c>
      <c r="E504" s="379">
        <f t="shared" si="37"/>
        <v>3652261.83</v>
      </c>
      <c r="G504" s="1" t="s">
        <v>264</v>
      </c>
      <c r="H504" s="2" t="s">
        <v>192</v>
      </c>
      <c r="I504" s="197">
        <f t="shared" si="38"/>
        <v>9061216.75</v>
      </c>
      <c r="L504" s="64">
        <v>141867.37</v>
      </c>
      <c r="M504" s="1" t="s">
        <v>276</v>
      </c>
      <c r="N504" s="2"/>
      <c r="O504" s="379"/>
      <c r="P504" s="379"/>
      <c r="Q504" s="379"/>
    </row>
    <row r="505" spans="1:17">
      <c r="A505" s="1" t="s">
        <v>264</v>
      </c>
      <c r="B505" s="2" t="s">
        <v>193</v>
      </c>
      <c r="C505" s="197">
        <v>2310093.84</v>
      </c>
      <c r="D505" s="197">
        <v>781886.04</v>
      </c>
      <c r="E505" s="379">
        <f t="shared" si="37"/>
        <v>1528207.7999999998</v>
      </c>
      <c r="G505" s="1" t="s">
        <v>264</v>
      </c>
      <c r="H505" s="2" t="s">
        <v>193</v>
      </c>
      <c r="I505" s="197">
        <f t="shared" si="38"/>
        <v>2310093.84</v>
      </c>
      <c r="L505" s="64">
        <v>151946.73000000001</v>
      </c>
      <c r="M505" s="1" t="s">
        <v>265</v>
      </c>
      <c r="N505" s="2"/>
      <c r="O505" s="379"/>
      <c r="P505" s="379"/>
      <c r="Q505" s="379"/>
    </row>
    <row r="506" spans="1:17">
      <c r="A506" s="1" t="s">
        <v>264</v>
      </c>
      <c r="B506" s="2" t="s">
        <v>194</v>
      </c>
      <c r="C506" s="197">
        <v>3550742.48</v>
      </c>
      <c r="D506" s="197">
        <v>2148813.2599999998</v>
      </c>
      <c r="E506" s="379">
        <f t="shared" si="37"/>
        <v>1401929.2200000002</v>
      </c>
      <c r="G506" s="1" t="s">
        <v>264</v>
      </c>
      <c r="H506" s="2" t="s">
        <v>194</v>
      </c>
      <c r="I506" s="197">
        <f t="shared" si="38"/>
        <v>3550742.48</v>
      </c>
      <c r="L506" s="64">
        <v>153266.60999999999</v>
      </c>
      <c r="M506" s="1" t="s">
        <v>298</v>
      </c>
      <c r="N506" s="2"/>
      <c r="O506" s="379"/>
      <c r="P506" s="379"/>
      <c r="Q506" s="379"/>
    </row>
    <row r="507" spans="1:17">
      <c r="A507" s="1" t="s">
        <v>264</v>
      </c>
      <c r="B507" s="2" t="s">
        <v>195</v>
      </c>
      <c r="C507" s="197">
        <v>1064837.3500000001</v>
      </c>
      <c r="D507" s="197">
        <v>749706.62</v>
      </c>
      <c r="E507" s="379">
        <f t="shared" si="37"/>
        <v>315130.7300000001</v>
      </c>
      <c r="G507" s="1" t="s">
        <v>264</v>
      </c>
      <c r="H507" s="2" t="s">
        <v>195</v>
      </c>
      <c r="I507" s="197">
        <f t="shared" si="38"/>
        <v>1064837.3500000001</v>
      </c>
      <c r="L507" s="64">
        <v>154195.57</v>
      </c>
      <c r="M507" s="1" t="s">
        <v>274</v>
      </c>
      <c r="N507" s="2"/>
      <c r="O507" s="379"/>
      <c r="P507" s="379"/>
      <c r="Q507" s="379"/>
    </row>
    <row r="508" spans="1:17">
      <c r="A508" s="1" t="s">
        <v>264</v>
      </c>
      <c r="B508" s="2" t="s">
        <v>196</v>
      </c>
      <c r="C508" s="197">
        <v>1110309.01</v>
      </c>
      <c r="D508" s="197">
        <v>372046.74</v>
      </c>
      <c r="E508" s="379">
        <f t="shared" si="37"/>
        <v>738262.27</v>
      </c>
      <c r="G508" s="1" t="s">
        <v>264</v>
      </c>
      <c r="H508" s="2" t="s">
        <v>196</v>
      </c>
      <c r="I508" s="197">
        <f t="shared" si="38"/>
        <v>1110309.01</v>
      </c>
      <c r="L508" s="64">
        <v>156932.85</v>
      </c>
      <c r="M508" s="1" t="s">
        <v>276</v>
      </c>
      <c r="N508" s="2"/>
      <c r="O508" s="379"/>
      <c r="P508" s="379"/>
      <c r="Q508" s="379"/>
    </row>
    <row r="509" spans="1:17">
      <c r="A509" s="1" t="s">
        <v>264</v>
      </c>
      <c r="B509" s="2" t="s">
        <v>198</v>
      </c>
      <c r="C509" s="197">
        <v>7426798.8200000003</v>
      </c>
      <c r="D509" s="197">
        <v>5151880.9400000004</v>
      </c>
      <c r="E509" s="379">
        <f t="shared" si="37"/>
        <v>2274917.88</v>
      </c>
      <c r="G509" s="1" t="s">
        <v>264</v>
      </c>
      <c r="H509" s="2" t="s">
        <v>198</v>
      </c>
      <c r="I509" s="197">
        <f t="shared" si="38"/>
        <v>7426798.8200000003</v>
      </c>
      <c r="L509" s="64">
        <v>158101.32999999999</v>
      </c>
      <c r="M509" s="1" t="s">
        <v>276</v>
      </c>
      <c r="N509" s="2"/>
      <c r="O509" s="379"/>
      <c r="P509" s="379"/>
      <c r="Q509" s="379"/>
    </row>
    <row r="510" spans="1:17">
      <c r="A510" s="1" t="s">
        <v>264</v>
      </c>
      <c r="B510" s="2" t="s">
        <v>201</v>
      </c>
      <c r="C510" s="197">
        <v>983956.6</v>
      </c>
      <c r="D510" s="197">
        <v>377879.79</v>
      </c>
      <c r="E510" s="379">
        <f t="shared" si="37"/>
        <v>606076.81000000006</v>
      </c>
      <c r="G510" s="1" t="s">
        <v>264</v>
      </c>
      <c r="H510" s="2" t="s">
        <v>201</v>
      </c>
      <c r="I510" s="197">
        <f t="shared" si="38"/>
        <v>983956.6</v>
      </c>
      <c r="L510" s="64">
        <v>160096.31</v>
      </c>
      <c r="M510" s="1" t="s">
        <v>282</v>
      </c>
      <c r="N510" s="2"/>
      <c r="O510" s="379"/>
      <c r="P510" s="379"/>
      <c r="Q510" s="379"/>
    </row>
    <row r="511" spans="1:17">
      <c r="A511" s="1" t="s">
        <v>264</v>
      </c>
      <c r="B511" s="2" t="s">
        <v>202</v>
      </c>
      <c r="C511" s="197">
        <v>29611.34</v>
      </c>
      <c r="D511" s="197">
        <v>56388.44</v>
      </c>
      <c r="E511" s="379">
        <f t="shared" si="37"/>
        <v>-26777.100000000002</v>
      </c>
      <c r="G511" s="1" t="s">
        <v>264</v>
      </c>
      <c r="H511" s="2" t="s">
        <v>202</v>
      </c>
      <c r="I511" s="197">
        <f t="shared" si="38"/>
        <v>29611.34</v>
      </c>
      <c r="L511" s="64">
        <v>170034.37</v>
      </c>
      <c r="M511" s="1" t="s">
        <v>266</v>
      </c>
      <c r="N511" s="2"/>
      <c r="O511" s="379"/>
      <c r="P511" s="379"/>
      <c r="Q511" s="379"/>
    </row>
    <row r="512" spans="1:17">
      <c r="A512" s="1" t="s">
        <v>264</v>
      </c>
      <c r="B512" s="2" t="s">
        <v>203</v>
      </c>
      <c r="C512" s="197">
        <v>327760.89</v>
      </c>
      <c r="D512" s="197">
        <v>118869.34</v>
      </c>
      <c r="E512" s="379">
        <f t="shared" si="37"/>
        <v>208891.55000000002</v>
      </c>
      <c r="G512" s="1" t="s">
        <v>264</v>
      </c>
      <c r="H512" s="2" t="s">
        <v>203</v>
      </c>
      <c r="I512" s="197">
        <f t="shared" si="38"/>
        <v>327760.89</v>
      </c>
      <c r="L512" s="64">
        <v>170814.98</v>
      </c>
      <c r="M512" s="1" t="s">
        <v>289</v>
      </c>
      <c r="N512" s="2"/>
      <c r="O512" s="379"/>
      <c r="P512" s="379"/>
      <c r="Q512" s="379"/>
    </row>
    <row r="513" spans="1:17">
      <c r="A513" s="1" t="s">
        <v>264</v>
      </c>
      <c r="B513" s="2" t="s">
        <v>204</v>
      </c>
      <c r="C513" s="197">
        <v>4192101.35</v>
      </c>
      <c r="D513" s="197">
        <v>2518270.6800000002</v>
      </c>
      <c r="E513" s="379">
        <f t="shared" si="37"/>
        <v>1673830.67</v>
      </c>
      <c r="G513" s="1" t="s">
        <v>264</v>
      </c>
      <c r="H513" s="2" t="s">
        <v>204</v>
      </c>
      <c r="I513" s="197">
        <f t="shared" si="38"/>
        <v>4192101.35</v>
      </c>
      <c r="L513" s="64">
        <v>172604.51</v>
      </c>
      <c r="M513" s="1" t="s">
        <v>275</v>
      </c>
      <c r="N513" s="2"/>
      <c r="O513" s="379"/>
      <c r="P513" s="379"/>
      <c r="Q513" s="379"/>
    </row>
    <row r="514" spans="1:17">
      <c r="A514" s="1" t="s">
        <v>264</v>
      </c>
      <c r="B514" s="2" t="s">
        <v>205</v>
      </c>
      <c r="C514" s="197">
        <v>21044.04</v>
      </c>
      <c r="D514" s="197">
        <v>3494.4</v>
      </c>
      <c r="E514" s="379">
        <f t="shared" si="37"/>
        <v>17549.64</v>
      </c>
      <c r="G514" s="1" t="s">
        <v>264</v>
      </c>
      <c r="H514" s="2" t="s">
        <v>205</v>
      </c>
      <c r="I514" s="197">
        <f t="shared" si="38"/>
        <v>21044.04</v>
      </c>
      <c r="J514" s="64">
        <f>SUM(I499:I514)</f>
        <v>227627511.19999996</v>
      </c>
      <c r="L514" s="64">
        <v>177621.22</v>
      </c>
      <c r="M514" s="1" t="s">
        <v>272</v>
      </c>
      <c r="N514" s="2"/>
      <c r="O514" s="379"/>
      <c r="P514" s="379"/>
      <c r="Q514" s="379"/>
    </row>
    <row r="515" spans="1:17">
      <c r="A515" s="1" t="s">
        <v>295</v>
      </c>
      <c r="B515" s="2" t="s">
        <v>187</v>
      </c>
      <c r="C515" s="197">
        <v>699829.36</v>
      </c>
      <c r="D515" s="197">
        <v>66077.27</v>
      </c>
      <c r="E515" s="379">
        <f t="shared" si="37"/>
        <v>633752.09</v>
      </c>
      <c r="G515" s="1" t="s">
        <v>295</v>
      </c>
      <c r="H515" s="2" t="s">
        <v>187</v>
      </c>
      <c r="I515" s="197">
        <f t="shared" si="38"/>
        <v>699829.36</v>
      </c>
      <c r="J515" s="64">
        <f>I515</f>
        <v>699829.36</v>
      </c>
      <c r="L515" s="64">
        <v>178424.28</v>
      </c>
      <c r="M515" s="1" t="s">
        <v>267</v>
      </c>
      <c r="N515" s="2"/>
      <c r="O515" s="379"/>
      <c r="P515" s="379"/>
      <c r="Q515" s="379"/>
    </row>
    <row r="516" spans="1:17">
      <c r="A516" s="1" t="s">
        <v>296</v>
      </c>
      <c r="B516" s="2" t="s">
        <v>187</v>
      </c>
      <c r="C516" s="197">
        <v>67041.58</v>
      </c>
      <c r="D516" s="197">
        <v>33261.599999999999</v>
      </c>
      <c r="E516" s="379">
        <f t="shared" si="37"/>
        <v>33779.980000000003</v>
      </c>
      <c r="G516" s="1" t="s">
        <v>296</v>
      </c>
      <c r="H516" s="2" t="s">
        <v>187</v>
      </c>
      <c r="I516" s="197">
        <f t="shared" si="38"/>
        <v>67041.58</v>
      </c>
      <c r="L516" s="64">
        <v>180076.07</v>
      </c>
      <c r="M516" s="1" t="s">
        <v>302</v>
      </c>
      <c r="N516" s="2"/>
      <c r="O516" s="379"/>
      <c r="P516" s="379"/>
      <c r="Q516" s="379"/>
    </row>
    <row r="517" spans="1:17">
      <c r="A517" s="1" t="s">
        <v>296</v>
      </c>
      <c r="B517" s="2" t="s">
        <v>189</v>
      </c>
      <c r="C517" s="197">
        <v>61449.15</v>
      </c>
      <c r="D517" s="197">
        <v>32687</v>
      </c>
      <c r="E517" s="379">
        <f t="shared" si="37"/>
        <v>28762.15</v>
      </c>
      <c r="G517" s="1" t="s">
        <v>296</v>
      </c>
      <c r="H517" s="2" t="s">
        <v>189</v>
      </c>
      <c r="I517" s="197">
        <f t="shared" si="38"/>
        <v>61449.15</v>
      </c>
      <c r="J517" s="64">
        <f>I517+I516</f>
        <v>128490.73000000001</v>
      </c>
      <c r="L517" s="64">
        <v>181880.77</v>
      </c>
      <c r="M517" s="1" t="s">
        <v>265</v>
      </c>
      <c r="N517" s="2"/>
      <c r="O517" s="379"/>
      <c r="P517" s="379"/>
      <c r="Q517" s="379"/>
    </row>
    <row r="518" spans="1:17">
      <c r="A518" s="1" t="s">
        <v>268</v>
      </c>
      <c r="B518" s="2" t="s">
        <v>187</v>
      </c>
      <c r="C518" s="197">
        <v>17518604.640000001</v>
      </c>
      <c r="D518" s="197">
        <v>6841563.1399999997</v>
      </c>
      <c r="E518" s="379">
        <f t="shared" si="37"/>
        <v>10677041.5</v>
      </c>
      <c r="G518" s="1" t="s">
        <v>268</v>
      </c>
      <c r="H518" s="2" t="s">
        <v>187</v>
      </c>
      <c r="I518" s="197">
        <f t="shared" si="38"/>
        <v>17518604.640000001</v>
      </c>
      <c r="L518" s="64">
        <v>185622.18</v>
      </c>
      <c r="M518" s="1" t="s">
        <v>266</v>
      </c>
      <c r="N518" s="2"/>
      <c r="O518" s="379"/>
      <c r="P518" s="379"/>
      <c r="Q518" s="379"/>
    </row>
    <row r="519" spans="1:17">
      <c r="A519" s="1" t="s">
        <v>268</v>
      </c>
      <c r="B519" s="2" t="s">
        <v>188</v>
      </c>
      <c r="C519" s="197">
        <v>127641.77</v>
      </c>
      <c r="D519" s="197">
        <v>30756.61</v>
      </c>
      <c r="E519" s="379">
        <f t="shared" si="37"/>
        <v>96885.16</v>
      </c>
      <c r="G519" s="1" t="s">
        <v>268</v>
      </c>
      <c r="H519" s="2" t="s">
        <v>188</v>
      </c>
      <c r="I519" s="197">
        <f t="shared" si="38"/>
        <v>127641.77</v>
      </c>
      <c r="L519" s="64">
        <v>186967.88</v>
      </c>
      <c r="M519" s="1" t="s">
        <v>291</v>
      </c>
      <c r="N519" s="2"/>
      <c r="O519" s="379"/>
      <c r="P519" s="379"/>
      <c r="Q519" s="379"/>
    </row>
    <row r="520" spans="1:17">
      <c r="A520" s="1" t="s">
        <v>268</v>
      </c>
      <c r="B520" s="2" t="s">
        <v>189</v>
      </c>
      <c r="C520" s="197">
        <v>817921.21</v>
      </c>
      <c r="D520" s="197">
        <v>313749.34999999998</v>
      </c>
      <c r="E520" s="379">
        <f t="shared" si="37"/>
        <v>504171.86</v>
      </c>
      <c r="G520" s="1" t="s">
        <v>268</v>
      </c>
      <c r="H520" s="2" t="s">
        <v>189</v>
      </c>
      <c r="I520" s="197">
        <f t="shared" si="38"/>
        <v>817921.21</v>
      </c>
      <c r="L520" s="64">
        <v>189006.66</v>
      </c>
      <c r="M520" s="1" t="s">
        <v>269</v>
      </c>
      <c r="N520" s="2"/>
      <c r="O520" s="379"/>
      <c r="P520" s="379"/>
      <c r="Q520" s="379"/>
    </row>
    <row r="521" spans="1:17">
      <c r="A521" s="1" t="s">
        <v>268</v>
      </c>
      <c r="B521" s="2" t="s">
        <v>190</v>
      </c>
      <c r="C521" s="197">
        <v>4064919.31</v>
      </c>
      <c r="D521" s="197">
        <v>2643704.58</v>
      </c>
      <c r="E521" s="379">
        <f t="shared" si="37"/>
        <v>1421214.73</v>
      </c>
      <c r="G521" s="1" t="s">
        <v>268</v>
      </c>
      <c r="H521" s="2" t="s">
        <v>190</v>
      </c>
      <c r="I521" s="197">
        <f t="shared" si="38"/>
        <v>4064919.31</v>
      </c>
      <c r="L521" s="64">
        <v>189434.1</v>
      </c>
      <c r="M521" s="1" t="s">
        <v>265</v>
      </c>
      <c r="N521" s="2"/>
      <c r="O521" s="379"/>
      <c r="P521" s="379"/>
      <c r="Q521" s="379"/>
    </row>
    <row r="522" spans="1:17">
      <c r="A522" s="1" t="s">
        <v>268</v>
      </c>
      <c r="B522" s="2" t="s">
        <v>192</v>
      </c>
      <c r="C522" s="197">
        <v>607851.9</v>
      </c>
      <c r="D522" s="197">
        <v>316951.78999999998</v>
      </c>
      <c r="E522" s="379">
        <f t="shared" si="37"/>
        <v>290900.11000000004</v>
      </c>
      <c r="G522" s="1" t="s">
        <v>268</v>
      </c>
      <c r="H522" s="2" t="s">
        <v>192</v>
      </c>
      <c r="I522" s="197">
        <f t="shared" si="38"/>
        <v>607851.9</v>
      </c>
      <c r="L522" s="64">
        <v>189836.86</v>
      </c>
      <c r="M522" s="1" t="s">
        <v>262</v>
      </c>
      <c r="N522" s="2"/>
      <c r="O522" s="379"/>
      <c r="P522" s="379"/>
      <c r="Q522" s="379"/>
    </row>
    <row r="523" spans="1:17">
      <c r="A523" s="1" t="s">
        <v>268</v>
      </c>
      <c r="B523" s="2" t="s">
        <v>193</v>
      </c>
      <c r="C523" s="197">
        <v>277682.24</v>
      </c>
      <c r="D523" s="197">
        <v>162540.39000000001</v>
      </c>
      <c r="E523" s="379">
        <f t="shared" si="37"/>
        <v>115141.84999999998</v>
      </c>
      <c r="G523" s="1" t="s">
        <v>268</v>
      </c>
      <c r="H523" s="2" t="s">
        <v>193</v>
      </c>
      <c r="I523" s="197">
        <f t="shared" si="38"/>
        <v>277682.24</v>
      </c>
      <c r="L523" s="64">
        <v>192309.35</v>
      </c>
      <c r="M523" s="1" t="s">
        <v>268</v>
      </c>
      <c r="N523" s="2"/>
      <c r="O523" s="379"/>
      <c r="P523" s="379"/>
      <c r="Q523" s="379"/>
    </row>
    <row r="524" spans="1:17">
      <c r="A524" s="1" t="s">
        <v>268</v>
      </c>
      <c r="B524" s="2" t="s">
        <v>194</v>
      </c>
      <c r="C524" s="197">
        <v>274034.49</v>
      </c>
      <c r="D524" s="197">
        <v>134427.9</v>
      </c>
      <c r="E524" s="379">
        <f t="shared" si="37"/>
        <v>139606.59</v>
      </c>
      <c r="G524" s="1" t="s">
        <v>268</v>
      </c>
      <c r="H524" s="2" t="s">
        <v>194</v>
      </c>
      <c r="I524" s="197">
        <f t="shared" si="38"/>
        <v>274034.49</v>
      </c>
      <c r="L524" s="64">
        <v>197070.14</v>
      </c>
      <c r="M524" s="1" t="s">
        <v>266</v>
      </c>
      <c r="N524" s="2"/>
      <c r="O524" s="379"/>
      <c r="P524" s="379"/>
      <c r="Q524" s="379"/>
    </row>
    <row r="525" spans="1:17">
      <c r="A525" s="1" t="s">
        <v>268</v>
      </c>
      <c r="B525" s="2" t="s">
        <v>195</v>
      </c>
      <c r="C525" s="197">
        <v>229473.9</v>
      </c>
      <c r="D525" s="197">
        <v>104926.75</v>
      </c>
      <c r="E525" s="379">
        <f t="shared" si="37"/>
        <v>124547.15</v>
      </c>
      <c r="G525" s="1" t="s">
        <v>268</v>
      </c>
      <c r="H525" s="2" t="s">
        <v>195</v>
      </c>
      <c r="I525" s="197">
        <f t="shared" si="38"/>
        <v>229473.9</v>
      </c>
      <c r="L525" s="64">
        <v>202125.01</v>
      </c>
      <c r="M525" s="1" t="s">
        <v>269</v>
      </c>
      <c r="N525" s="2"/>
      <c r="O525" s="379"/>
      <c r="P525" s="379"/>
      <c r="Q525" s="379"/>
    </row>
    <row r="526" spans="1:17">
      <c r="A526" s="1" t="s">
        <v>268</v>
      </c>
      <c r="B526" s="2" t="s">
        <v>196</v>
      </c>
      <c r="C526" s="197">
        <v>192309.35</v>
      </c>
      <c r="D526" s="197">
        <v>87455.45</v>
      </c>
      <c r="E526" s="379">
        <f t="shared" si="37"/>
        <v>104853.90000000001</v>
      </c>
      <c r="G526" s="1" t="s">
        <v>268</v>
      </c>
      <c r="H526" s="2" t="s">
        <v>196</v>
      </c>
      <c r="I526" s="197">
        <f t="shared" si="38"/>
        <v>192309.35</v>
      </c>
      <c r="L526" s="64">
        <v>202466.3</v>
      </c>
      <c r="M526" s="1" t="s">
        <v>265</v>
      </c>
      <c r="N526" s="2"/>
      <c r="O526" s="379"/>
      <c r="P526" s="379"/>
      <c r="Q526" s="379"/>
    </row>
    <row r="527" spans="1:17">
      <c r="A527" s="1" t="s">
        <v>268</v>
      </c>
      <c r="B527" s="2" t="s">
        <v>198</v>
      </c>
      <c r="C527" s="197">
        <v>74708.25</v>
      </c>
      <c r="D527" s="197">
        <v>21887.25</v>
      </c>
      <c r="E527" s="379">
        <f t="shared" si="37"/>
        <v>52821</v>
      </c>
      <c r="G527" s="1" t="s">
        <v>268</v>
      </c>
      <c r="H527" s="2" t="s">
        <v>198</v>
      </c>
      <c r="I527" s="197">
        <f t="shared" si="38"/>
        <v>74708.25</v>
      </c>
      <c r="L527" s="64">
        <v>207302.92</v>
      </c>
      <c r="M527" s="1" t="s">
        <v>266</v>
      </c>
      <c r="N527" s="2"/>
      <c r="O527" s="379"/>
      <c r="P527" s="379"/>
      <c r="Q527" s="379"/>
    </row>
    <row r="528" spans="1:17">
      <c r="A528" s="1" t="s">
        <v>268</v>
      </c>
      <c r="B528" s="2" t="s">
        <v>200</v>
      </c>
      <c r="C528" s="197">
        <v>1655.93</v>
      </c>
      <c r="D528" s="197">
        <v>770.69</v>
      </c>
      <c r="E528" s="379">
        <f t="shared" si="37"/>
        <v>885.24</v>
      </c>
      <c r="G528" s="1" t="s">
        <v>268</v>
      </c>
      <c r="H528" s="2" t="s">
        <v>200</v>
      </c>
      <c r="I528" s="197">
        <f t="shared" si="38"/>
        <v>1655.93</v>
      </c>
      <c r="L528" s="64">
        <v>209636.34</v>
      </c>
      <c r="M528" s="1" t="s">
        <v>292</v>
      </c>
      <c r="N528" s="2"/>
      <c r="O528" s="379"/>
      <c r="P528" s="379"/>
      <c r="Q528" s="379"/>
    </row>
    <row r="529" spans="1:17">
      <c r="A529" s="1" t="s">
        <v>268</v>
      </c>
      <c r="B529" s="2" t="s">
        <v>201</v>
      </c>
      <c r="C529" s="197">
        <v>100517.69</v>
      </c>
      <c r="D529" s="197">
        <v>80682.539999999994</v>
      </c>
      <c r="E529" s="379">
        <f t="shared" si="37"/>
        <v>19835.150000000009</v>
      </c>
      <c r="G529" s="1" t="s">
        <v>268</v>
      </c>
      <c r="H529" s="2" t="s">
        <v>201</v>
      </c>
      <c r="I529" s="197">
        <f t="shared" si="38"/>
        <v>100517.69</v>
      </c>
      <c r="L529" s="64">
        <v>216524.55</v>
      </c>
      <c r="M529" s="1" t="s">
        <v>265</v>
      </c>
      <c r="N529" s="2"/>
      <c r="O529" s="379"/>
      <c r="P529" s="379"/>
      <c r="Q529" s="379"/>
    </row>
    <row r="530" spans="1:17">
      <c r="A530" s="1" t="s">
        <v>268</v>
      </c>
      <c r="B530" s="2" t="s">
        <v>203</v>
      </c>
      <c r="C530" s="197">
        <v>86702.18</v>
      </c>
      <c r="D530" s="197">
        <v>65083.17</v>
      </c>
      <c r="E530" s="379">
        <f t="shared" si="37"/>
        <v>21619.009999999995</v>
      </c>
      <c r="G530" s="1" t="s">
        <v>268</v>
      </c>
      <c r="H530" s="2" t="s">
        <v>203</v>
      </c>
      <c r="I530" s="197">
        <f t="shared" si="38"/>
        <v>86702.18</v>
      </c>
      <c r="L530" s="64">
        <v>224882.31</v>
      </c>
      <c r="M530" s="1" t="s">
        <v>272</v>
      </c>
      <c r="N530" s="2"/>
      <c r="O530" s="379"/>
      <c r="P530" s="379"/>
      <c r="Q530" s="379"/>
    </row>
    <row r="531" spans="1:17">
      <c r="A531" s="1" t="s">
        <v>268</v>
      </c>
      <c r="B531" s="2" t="s">
        <v>204</v>
      </c>
      <c r="C531" s="197">
        <v>72830.759999999995</v>
      </c>
      <c r="D531" s="197">
        <v>33257.760000000002</v>
      </c>
      <c r="E531" s="379">
        <f t="shared" ref="E531:E594" si="40">C531-D531</f>
        <v>39572.999999999993</v>
      </c>
      <c r="G531" s="1" t="s">
        <v>268</v>
      </c>
      <c r="H531" s="2" t="s">
        <v>204</v>
      </c>
      <c r="I531" s="197">
        <f t="shared" si="38"/>
        <v>72830.759999999995</v>
      </c>
      <c r="L531" s="64">
        <v>227869.08</v>
      </c>
      <c r="M531" s="1" t="s">
        <v>275</v>
      </c>
      <c r="N531" s="2"/>
      <c r="O531" s="379"/>
      <c r="P531" s="379"/>
      <c r="Q531" s="379"/>
    </row>
    <row r="532" spans="1:17">
      <c r="A532" s="1" t="s">
        <v>268</v>
      </c>
      <c r="B532" s="2" t="s">
        <v>205</v>
      </c>
      <c r="C532" s="197">
        <v>4277.41</v>
      </c>
      <c r="D532" s="197">
        <v>708.26</v>
      </c>
      <c r="E532" s="379">
        <f t="shared" si="40"/>
        <v>3569.1499999999996</v>
      </c>
      <c r="G532" s="1" t="s">
        <v>268</v>
      </c>
      <c r="H532" s="2" t="s">
        <v>205</v>
      </c>
      <c r="I532" s="197">
        <f t="shared" ref="I532:I550" si="41">C532</f>
        <v>4277.41</v>
      </c>
      <c r="J532" s="64">
        <f>SUM(I518:I532)</f>
        <v>24451131.029999997</v>
      </c>
      <c r="L532" s="64">
        <v>229473.9</v>
      </c>
      <c r="M532" s="1" t="s">
        <v>268</v>
      </c>
      <c r="N532" s="2"/>
      <c r="O532" s="379"/>
      <c r="P532" s="379"/>
      <c r="Q532" s="379"/>
    </row>
    <row r="533" spans="1:17">
      <c r="A533" s="176" t="s">
        <v>272</v>
      </c>
      <c r="B533" s="180" t="s">
        <v>187</v>
      </c>
      <c r="C533" s="411">
        <v>44552518</v>
      </c>
      <c r="D533" s="197">
        <v>14428134.699999999</v>
      </c>
      <c r="E533" s="379">
        <f t="shared" si="40"/>
        <v>30124383.300000001</v>
      </c>
      <c r="G533" s="1" t="s">
        <v>272</v>
      </c>
      <c r="H533" s="2" t="s">
        <v>187</v>
      </c>
      <c r="I533" s="197">
        <f t="shared" si="41"/>
        <v>44552518</v>
      </c>
      <c r="L533" s="64">
        <v>230240.46</v>
      </c>
      <c r="M533" s="1" t="s">
        <v>274</v>
      </c>
      <c r="N533" s="2"/>
      <c r="O533" s="379"/>
      <c r="P533" s="379"/>
      <c r="Q533" s="379"/>
    </row>
    <row r="534" spans="1:17">
      <c r="A534" s="1" t="s">
        <v>272</v>
      </c>
      <c r="B534" s="2" t="s">
        <v>188</v>
      </c>
      <c r="C534" s="197">
        <v>957471.96</v>
      </c>
      <c r="D534" s="197">
        <v>94663.06</v>
      </c>
      <c r="E534" s="379">
        <f t="shared" si="40"/>
        <v>862808.89999999991</v>
      </c>
      <c r="G534" s="1" t="s">
        <v>272</v>
      </c>
      <c r="H534" s="2" t="s">
        <v>188</v>
      </c>
      <c r="I534" s="197">
        <f t="shared" si="41"/>
        <v>957471.96</v>
      </c>
      <c r="L534" s="64">
        <v>235746.45</v>
      </c>
      <c r="M534" s="1" t="s">
        <v>270</v>
      </c>
      <c r="N534" s="2"/>
      <c r="O534" s="379"/>
      <c r="P534" s="379"/>
      <c r="Q534" s="379"/>
    </row>
    <row r="535" spans="1:17">
      <c r="A535" s="1" t="s">
        <v>272</v>
      </c>
      <c r="B535" s="2" t="s">
        <v>189</v>
      </c>
      <c r="C535" s="197">
        <v>411469.49</v>
      </c>
      <c r="D535" s="197">
        <v>102111.64</v>
      </c>
      <c r="E535" s="379">
        <f t="shared" si="40"/>
        <v>309357.84999999998</v>
      </c>
      <c r="G535" s="1" t="s">
        <v>272</v>
      </c>
      <c r="H535" s="2" t="s">
        <v>189</v>
      </c>
      <c r="I535" s="197">
        <f t="shared" si="41"/>
        <v>411469.49</v>
      </c>
      <c r="L535" s="64">
        <v>238051.89</v>
      </c>
      <c r="M535" s="1" t="s">
        <v>294</v>
      </c>
      <c r="N535" s="2"/>
      <c r="O535" s="379"/>
      <c r="P535" s="379"/>
      <c r="Q535" s="379"/>
    </row>
    <row r="536" spans="1:17">
      <c r="A536" s="1" t="s">
        <v>272</v>
      </c>
      <c r="B536" s="2" t="s">
        <v>190</v>
      </c>
      <c r="C536" s="197">
        <v>13870908.109999999</v>
      </c>
      <c r="D536" s="197">
        <v>5537953.4299999997</v>
      </c>
      <c r="E536" s="379">
        <f t="shared" si="40"/>
        <v>8332954.6799999997</v>
      </c>
      <c r="G536" s="1" t="s">
        <v>272</v>
      </c>
      <c r="H536" s="2" t="s">
        <v>190</v>
      </c>
      <c r="I536" s="197">
        <f t="shared" si="41"/>
        <v>13870908.109999999</v>
      </c>
      <c r="L536" s="64">
        <v>238951.66</v>
      </c>
      <c r="M536" s="1" t="s">
        <v>276</v>
      </c>
      <c r="N536" s="2"/>
      <c r="O536" s="379"/>
      <c r="P536" s="379"/>
      <c r="Q536" s="379"/>
    </row>
    <row r="537" spans="1:17">
      <c r="A537" s="1" t="s">
        <v>272</v>
      </c>
      <c r="B537" s="2" t="s">
        <v>192</v>
      </c>
      <c r="C537" s="197">
        <v>2244885.9300000002</v>
      </c>
      <c r="D537" s="197">
        <v>678414.05</v>
      </c>
      <c r="E537" s="379">
        <f t="shared" si="40"/>
        <v>1566471.8800000001</v>
      </c>
      <c r="G537" s="1" t="s">
        <v>272</v>
      </c>
      <c r="H537" s="2" t="s">
        <v>192</v>
      </c>
      <c r="I537" s="197">
        <f t="shared" si="41"/>
        <v>2244885.9300000002</v>
      </c>
      <c r="L537" s="64">
        <v>242459.71</v>
      </c>
      <c r="M537" s="1" t="s">
        <v>274</v>
      </c>
      <c r="N537" s="2"/>
      <c r="O537" s="379"/>
      <c r="P537" s="379"/>
      <c r="Q537" s="379"/>
    </row>
    <row r="538" spans="1:17">
      <c r="A538" s="1" t="s">
        <v>272</v>
      </c>
      <c r="B538" s="2" t="s">
        <v>193</v>
      </c>
      <c r="C538" s="197">
        <v>349142.49</v>
      </c>
      <c r="D538" s="197">
        <v>87975.15</v>
      </c>
      <c r="E538" s="379">
        <f t="shared" si="40"/>
        <v>261167.34</v>
      </c>
      <c r="G538" s="1" t="s">
        <v>272</v>
      </c>
      <c r="H538" s="2" t="s">
        <v>193</v>
      </c>
      <c r="I538" s="197">
        <f t="shared" si="41"/>
        <v>349142.49</v>
      </c>
      <c r="L538" s="64">
        <v>245478.98</v>
      </c>
      <c r="M538" s="1" t="s">
        <v>276</v>
      </c>
      <c r="N538" s="2"/>
      <c r="O538" s="379"/>
      <c r="P538" s="379"/>
      <c r="Q538" s="379"/>
    </row>
    <row r="539" spans="1:17">
      <c r="A539" s="1" t="s">
        <v>272</v>
      </c>
      <c r="B539" s="2" t="s">
        <v>194</v>
      </c>
      <c r="C539" s="197">
        <v>1040798.62</v>
      </c>
      <c r="D539" s="197">
        <v>265425.02</v>
      </c>
      <c r="E539" s="379">
        <f t="shared" si="40"/>
        <v>775373.6</v>
      </c>
      <c r="G539" s="1" t="s">
        <v>272</v>
      </c>
      <c r="H539" s="2" t="s">
        <v>194</v>
      </c>
      <c r="I539" s="197">
        <f t="shared" si="41"/>
        <v>1040798.62</v>
      </c>
      <c r="L539" s="64">
        <v>248938.72</v>
      </c>
      <c r="M539" s="1" t="s">
        <v>267</v>
      </c>
      <c r="N539" s="2"/>
      <c r="O539" s="379"/>
      <c r="P539" s="379"/>
      <c r="Q539" s="379"/>
    </row>
    <row r="540" spans="1:17">
      <c r="A540" s="1" t="s">
        <v>272</v>
      </c>
      <c r="B540" s="2" t="s">
        <v>195</v>
      </c>
      <c r="C540" s="197">
        <v>74186.12</v>
      </c>
      <c r="D540" s="197">
        <v>14219.15</v>
      </c>
      <c r="E540" s="379">
        <f t="shared" si="40"/>
        <v>59966.969999999994</v>
      </c>
      <c r="G540" s="1" t="s">
        <v>272</v>
      </c>
      <c r="H540" s="2" t="s">
        <v>195</v>
      </c>
      <c r="I540" s="197">
        <f t="shared" si="41"/>
        <v>74186.12</v>
      </c>
      <c r="L540" s="64">
        <v>264427.19</v>
      </c>
      <c r="M540" s="1" t="s">
        <v>272</v>
      </c>
      <c r="N540" s="2"/>
      <c r="O540" s="379"/>
      <c r="P540" s="379"/>
      <c r="Q540" s="379"/>
    </row>
    <row r="541" spans="1:17">
      <c r="A541" s="1" t="s">
        <v>272</v>
      </c>
      <c r="B541" s="2" t="s">
        <v>196</v>
      </c>
      <c r="C541" s="197">
        <v>224882.31</v>
      </c>
      <c r="D541" s="197">
        <v>71947</v>
      </c>
      <c r="E541" s="379">
        <f t="shared" si="40"/>
        <v>152935.31</v>
      </c>
      <c r="G541" s="1" t="s">
        <v>272</v>
      </c>
      <c r="H541" s="2" t="s">
        <v>196</v>
      </c>
      <c r="I541" s="197">
        <f t="shared" si="41"/>
        <v>224882.31</v>
      </c>
      <c r="L541" s="64">
        <v>268144.71999999997</v>
      </c>
      <c r="M541" s="1" t="s">
        <v>288</v>
      </c>
      <c r="N541" s="2"/>
      <c r="O541" s="379"/>
      <c r="P541" s="379"/>
      <c r="Q541" s="379"/>
    </row>
    <row r="542" spans="1:17">
      <c r="A542" s="1" t="s">
        <v>272</v>
      </c>
      <c r="B542" s="2" t="s">
        <v>198</v>
      </c>
      <c r="C542" s="197">
        <v>264427.19</v>
      </c>
      <c r="D542" s="197">
        <v>153755.03</v>
      </c>
      <c r="E542" s="379">
        <f t="shared" si="40"/>
        <v>110672.16</v>
      </c>
      <c r="G542" s="1" t="s">
        <v>272</v>
      </c>
      <c r="H542" s="2" t="s">
        <v>198</v>
      </c>
      <c r="I542" s="197">
        <f t="shared" si="41"/>
        <v>264427.19</v>
      </c>
      <c r="L542" s="64">
        <v>271052.81</v>
      </c>
      <c r="M542" s="1" t="s">
        <v>289</v>
      </c>
      <c r="N542" s="2"/>
      <c r="O542" s="379"/>
      <c r="P542" s="379"/>
      <c r="Q542" s="379"/>
    </row>
    <row r="543" spans="1:17">
      <c r="A543" s="1" t="s">
        <v>272</v>
      </c>
      <c r="B543" s="2" t="s">
        <v>200</v>
      </c>
      <c r="C543" s="197">
        <v>4361.8500000000004</v>
      </c>
      <c r="D543" s="197">
        <v>215.78</v>
      </c>
      <c r="E543" s="379">
        <f t="shared" si="40"/>
        <v>4146.0700000000006</v>
      </c>
      <c r="G543" s="1" t="s">
        <v>272</v>
      </c>
      <c r="H543" s="2" t="s">
        <v>200</v>
      </c>
      <c r="I543" s="197">
        <f t="shared" si="41"/>
        <v>4361.8500000000004</v>
      </c>
      <c r="L543" s="64">
        <v>274034.49</v>
      </c>
      <c r="M543" s="1" t="s">
        <v>268</v>
      </c>
      <c r="N543" s="2"/>
      <c r="O543" s="379"/>
      <c r="P543" s="379"/>
      <c r="Q543" s="379"/>
    </row>
    <row r="544" spans="1:17">
      <c r="A544" s="1" t="s">
        <v>272</v>
      </c>
      <c r="B544" s="2" t="s">
        <v>201</v>
      </c>
      <c r="C544" s="197">
        <v>177621.22</v>
      </c>
      <c r="D544" s="197">
        <v>98039.05</v>
      </c>
      <c r="E544" s="379">
        <f t="shared" si="40"/>
        <v>79582.17</v>
      </c>
      <c r="G544" s="1" t="s">
        <v>272</v>
      </c>
      <c r="H544" s="2" t="s">
        <v>201</v>
      </c>
      <c r="I544" s="197">
        <f t="shared" si="41"/>
        <v>177621.22</v>
      </c>
      <c r="L544" s="64">
        <v>277460.74</v>
      </c>
      <c r="M544" s="1" t="s">
        <v>299</v>
      </c>
      <c r="N544" s="2"/>
      <c r="O544" s="379"/>
      <c r="P544" s="379"/>
      <c r="Q544" s="379"/>
    </row>
    <row r="545" spans="1:17">
      <c r="A545" s="1" t="s">
        <v>272</v>
      </c>
      <c r="B545" s="2" t="s">
        <v>203</v>
      </c>
      <c r="C545" s="197">
        <v>13016.98</v>
      </c>
      <c r="D545" s="197">
        <v>6507.42</v>
      </c>
      <c r="E545" s="379">
        <f t="shared" si="40"/>
        <v>6509.5599999999995</v>
      </c>
      <c r="G545" s="1" t="s">
        <v>272</v>
      </c>
      <c r="H545" s="2" t="s">
        <v>203</v>
      </c>
      <c r="I545" s="197">
        <f t="shared" si="41"/>
        <v>13016.98</v>
      </c>
      <c r="L545" s="64">
        <v>277682.24</v>
      </c>
      <c r="M545" s="1" t="s">
        <v>268</v>
      </c>
      <c r="N545" s="2"/>
      <c r="O545" s="379"/>
      <c r="P545" s="379"/>
      <c r="Q545" s="379"/>
    </row>
    <row r="546" spans="1:17">
      <c r="A546" s="1" t="s">
        <v>272</v>
      </c>
      <c r="B546" s="2" t="s">
        <v>204</v>
      </c>
      <c r="C546" s="197">
        <v>310455.21999999997</v>
      </c>
      <c r="D546" s="197">
        <v>273425.84000000003</v>
      </c>
      <c r="E546" s="379">
        <f t="shared" si="40"/>
        <v>37029.379999999946</v>
      </c>
      <c r="G546" s="1" t="s">
        <v>272</v>
      </c>
      <c r="H546" s="2" t="s">
        <v>204</v>
      </c>
      <c r="I546" s="197">
        <f t="shared" si="41"/>
        <v>310455.21999999997</v>
      </c>
      <c r="L546" s="64">
        <v>278425.65999999997</v>
      </c>
      <c r="M546" s="1" t="s">
        <v>275</v>
      </c>
      <c r="N546" s="2"/>
      <c r="O546" s="379"/>
      <c r="P546" s="379"/>
      <c r="Q546" s="379"/>
    </row>
    <row r="547" spans="1:17">
      <c r="A547" s="1" t="s">
        <v>272</v>
      </c>
      <c r="B547" s="2" t="s">
        <v>205</v>
      </c>
      <c r="C547" s="197">
        <v>4414.4799999999996</v>
      </c>
      <c r="D547" s="197">
        <v>1063.04</v>
      </c>
      <c r="E547" s="379">
        <f t="shared" si="40"/>
        <v>3351.4399999999996</v>
      </c>
      <c r="G547" s="1" t="s">
        <v>272</v>
      </c>
      <c r="H547" s="2" t="s">
        <v>205</v>
      </c>
      <c r="I547" s="197">
        <f t="shared" si="41"/>
        <v>4414.4799999999996</v>
      </c>
      <c r="J547" s="64">
        <f>SUM(I533:I547)</f>
        <v>64500559.969999991</v>
      </c>
      <c r="L547" s="64">
        <v>288957.90000000002</v>
      </c>
      <c r="M547" s="1" t="s">
        <v>297</v>
      </c>
      <c r="N547" s="2"/>
      <c r="O547" s="379"/>
      <c r="P547" s="379"/>
      <c r="Q547" s="379"/>
    </row>
    <row r="548" spans="1:17">
      <c r="A548" s="1" t="s">
        <v>297</v>
      </c>
      <c r="B548" s="2" t="s">
        <v>187</v>
      </c>
      <c r="C548" s="197">
        <v>288957.90000000002</v>
      </c>
      <c r="D548" s="197">
        <v>308486.83</v>
      </c>
      <c r="E548" s="379">
        <f t="shared" si="40"/>
        <v>-19528.929999999993</v>
      </c>
      <c r="G548" s="1" t="s">
        <v>297</v>
      </c>
      <c r="H548" s="2" t="s">
        <v>187</v>
      </c>
      <c r="I548" s="197">
        <f t="shared" si="41"/>
        <v>288957.90000000002</v>
      </c>
      <c r="L548" s="64">
        <v>292371.82</v>
      </c>
      <c r="M548" s="1" t="s">
        <v>276</v>
      </c>
      <c r="N548" s="2"/>
      <c r="O548" s="379"/>
      <c r="P548" s="379"/>
      <c r="Q548" s="379"/>
    </row>
    <row r="549" spans="1:17">
      <c r="A549" s="1" t="s">
        <v>297</v>
      </c>
      <c r="B549" s="2" t="s">
        <v>188</v>
      </c>
      <c r="C549" s="197">
        <v>2859.66</v>
      </c>
      <c r="D549" s="197">
        <v>769.53</v>
      </c>
      <c r="E549" s="379">
        <f t="shared" si="40"/>
        <v>2090.13</v>
      </c>
      <c r="G549" s="1" t="s">
        <v>297</v>
      </c>
      <c r="H549" s="2" t="s">
        <v>188</v>
      </c>
      <c r="I549" s="197">
        <f t="shared" si="41"/>
        <v>2859.66</v>
      </c>
      <c r="J549" s="64">
        <f>I549+I548</f>
        <v>291817.56</v>
      </c>
      <c r="L549" s="64">
        <v>294524.58</v>
      </c>
      <c r="M549" s="1" t="s">
        <v>265</v>
      </c>
      <c r="N549" s="2"/>
      <c r="O549" s="379"/>
      <c r="P549" s="379"/>
      <c r="Q549" s="379"/>
    </row>
    <row r="550" spans="1:17">
      <c r="A550" s="1" t="s">
        <v>298</v>
      </c>
      <c r="B550" s="2" t="s">
        <v>187</v>
      </c>
      <c r="C550" s="197">
        <v>325073.53000000003</v>
      </c>
      <c r="D550" s="197">
        <v>161280</v>
      </c>
      <c r="E550" s="379">
        <f t="shared" si="40"/>
        <v>163793.53000000003</v>
      </c>
      <c r="G550" s="1" t="s">
        <v>298</v>
      </c>
      <c r="H550" s="2" t="s">
        <v>187</v>
      </c>
      <c r="I550" s="197">
        <f t="shared" si="41"/>
        <v>325073.53000000003</v>
      </c>
      <c r="L550" s="64">
        <v>300937.24</v>
      </c>
      <c r="M550" s="1" t="s">
        <v>280</v>
      </c>
      <c r="N550" s="2"/>
      <c r="O550" s="379"/>
      <c r="P550" s="379"/>
      <c r="Q550" s="379"/>
    </row>
    <row r="551" spans="1:17">
      <c r="A551" s="1" t="s">
        <v>298</v>
      </c>
      <c r="B551" s="2" t="s">
        <v>189</v>
      </c>
      <c r="C551" s="197">
        <v>23564.93</v>
      </c>
      <c r="D551" s="197">
        <v>301.69</v>
      </c>
      <c r="E551" s="379">
        <f t="shared" si="40"/>
        <v>23263.24</v>
      </c>
      <c r="G551" s="1" t="s">
        <v>298</v>
      </c>
      <c r="H551" s="2" t="s">
        <v>1168</v>
      </c>
      <c r="I551" s="197">
        <f>C552</f>
        <v>153266.60999999999</v>
      </c>
      <c r="L551" s="64">
        <v>305990.21000000002</v>
      </c>
      <c r="M551" s="1" t="s">
        <v>270</v>
      </c>
      <c r="N551" s="2"/>
      <c r="O551" s="379"/>
      <c r="P551" s="379"/>
      <c r="Q551" s="379"/>
    </row>
    <row r="552" spans="1:17">
      <c r="A552" s="1" t="s">
        <v>298</v>
      </c>
      <c r="B552" s="2" t="s">
        <v>187</v>
      </c>
      <c r="C552" s="197">
        <v>153266.60999999999</v>
      </c>
      <c r="D552" s="197">
        <v>75306.679999999993</v>
      </c>
      <c r="E552" s="379">
        <f t="shared" si="40"/>
        <v>77959.929999999993</v>
      </c>
      <c r="G552" s="1" t="s">
        <v>298</v>
      </c>
      <c r="H552" s="2" t="s">
        <v>189</v>
      </c>
      <c r="I552" s="197">
        <f>C551</f>
        <v>23564.93</v>
      </c>
      <c r="J552" s="64">
        <f>SUM(I550:I552)</f>
        <v>501905.07</v>
      </c>
      <c r="L552" s="64">
        <v>307206.08</v>
      </c>
      <c r="M552" s="1" t="s">
        <v>269</v>
      </c>
      <c r="N552" s="2"/>
      <c r="O552" s="379"/>
      <c r="P552" s="379"/>
      <c r="Q552" s="379"/>
    </row>
    <row r="553" spans="1:17">
      <c r="A553" s="1" t="s">
        <v>299</v>
      </c>
      <c r="B553" s="2" t="s">
        <v>189</v>
      </c>
      <c r="C553" s="197">
        <v>277460.74</v>
      </c>
      <c r="D553" s="197">
        <v>33874.58</v>
      </c>
      <c r="E553" s="379">
        <f t="shared" si="40"/>
        <v>243586.15999999997</v>
      </c>
      <c r="G553" s="1" t="s">
        <v>299</v>
      </c>
      <c r="H553" s="2" t="s">
        <v>189</v>
      </c>
      <c r="I553" s="197">
        <f t="shared" ref="I553:I596" si="42">C553</f>
        <v>277460.74</v>
      </c>
      <c r="J553" s="64">
        <f>I553</f>
        <v>277460.74</v>
      </c>
      <c r="L553" s="64">
        <v>307882.8</v>
      </c>
      <c r="M553" s="1" t="s">
        <v>265</v>
      </c>
      <c r="N553" s="2"/>
      <c r="O553" s="379"/>
      <c r="P553" s="379"/>
      <c r="Q553" s="379"/>
    </row>
    <row r="554" spans="1:17">
      <c r="A554" s="1" t="s">
        <v>278</v>
      </c>
      <c r="B554" s="2" t="s">
        <v>187</v>
      </c>
      <c r="C554" s="197">
        <v>28739927.809999999</v>
      </c>
      <c r="D554" s="197">
        <v>9835836.6999999993</v>
      </c>
      <c r="E554" s="379">
        <f t="shared" si="40"/>
        <v>18904091.109999999</v>
      </c>
      <c r="G554" s="1" t="s">
        <v>278</v>
      </c>
      <c r="H554" s="2" t="s">
        <v>187</v>
      </c>
      <c r="I554" s="197">
        <f t="shared" si="42"/>
        <v>28739927.809999999</v>
      </c>
      <c r="L554" s="64">
        <v>308356.36</v>
      </c>
      <c r="M554" s="1" t="s">
        <v>283</v>
      </c>
      <c r="N554" s="2"/>
      <c r="O554" s="379"/>
      <c r="P554" s="379"/>
      <c r="Q554" s="379"/>
    </row>
    <row r="555" spans="1:17">
      <c r="A555" s="1" t="s">
        <v>278</v>
      </c>
      <c r="B555" s="2" t="s">
        <v>188</v>
      </c>
      <c r="C555" s="197">
        <v>385287.08</v>
      </c>
      <c r="D555" s="197">
        <v>92049.36</v>
      </c>
      <c r="E555" s="379">
        <f t="shared" si="40"/>
        <v>293237.72000000003</v>
      </c>
      <c r="G555" s="1" t="s">
        <v>278</v>
      </c>
      <c r="H555" s="2" t="s">
        <v>188</v>
      </c>
      <c r="I555" s="197">
        <f t="shared" si="42"/>
        <v>385287.08</v>
      </c>
      <c r="L555" s="64">
        <v>310455.21999999997</v>
      </c>
      <c r="M555" s="1" t="s">
        <v>272</v>
      </c>
      <c r="N555" s="2"/>
      <c r="O555" s="379"/>
      <c r="P555" s="379"/>
      <c r="Q555" s="379"/>
    </row>
    <row r="556" spans="1:17">
      <c r="A556" s="1" t="s">
        <v>278</v>
      </c>
      <c r="B556" s="2" t="s">
        <v>189</v>
      </c>
      <c r="C556" s="197">
        <v>2274534.81</v>
      </c>
      <c r="D556" s="197">
        <v>297493.84999999998</v>
      </c>
      <c r="E556" s="379">
        <f t="shared" si="40"/>
        <v>1977040.96</v>
      </c>
      <c r="G556" s="1" t="s">
        <v>278</v>
      </c>
      <c r="H556" s="2" t="s">
        <v>189</v>
      </c>
      <c r="I556" s="197">
        <f t="shared" si="42"/>
        <v>2274534.81</v>
      </c>
      <c r="L556" s="64">
        <v>311934.84000000003</v>
      </c>
      <c r="M556" s="1" t="s">
        <v>262</v>
      </c>
      <c r="N556" s="2"/>
      <c r="O556" s="379"/>
      <c r="P556" s="379"/>
      <c r="Q556" s="379"/>
    </row>
    <row r="557" spans="1:17">
      <c r="A557" s="1" t="s">
        <v>278</v>
      </c>
      <c r="B557" s="2" t="s">
        <v>190</v>
      </c>
      <c r="C557" s="197">
        <v>624770.04</v>
      </c>
      <c r="D557" s="197">
        <v>567630.96</v>
      </c>
      <c r="E557" s="379">
        <f t="shared" si="40"/>
        <v>57139.080000000075</v>
      </c>
      <c r="G557" s="1" t="s">
        <v>278</v>
      </c>
      <c r="H557" s="2" t="s">
        <v>190</v>
      </c>
      <c r="I557" s="197">
        <f t="shared" si="42"/>
        <v>624770.04</v>
      </c>
      <c r="L557" s="64">
        <v>318139.67</v>
      </c>
      <c r="M557" s="1" t="s">
        <v>266</v>
      </c>
      <c r="N557" s="2"/>
      <c r="O557" s="379"/>
      <c r="P557" s="379"/>
      <c r="Q557" s="379"/>
    </row>
    <row r="558" spans="1:17">
      <c r="A558" s="1" t="s">
        <v>278</v>
      </c>
      <c r="B558" s="2" t="s">
        <v>192</v>
      </c>
      <c r="C558" s="197">
        <v>7033.79</v>
      </c>
      <c r="D558" s="197">
        <v>7908.08</v>
      </c>
      <c r="E558" s="379">
        <f t="shared" si="40"/>
        <v>-874.29</v>
      </c>
      <c r="G558" s="1" t="s">
        <v>278</v>
      </c>
      <c r="H558" s="2" t="s">
        <v>192</v>
      </c>
      <c r="I558" s="197">
        <f t="shared" si="42"/>
        <v>7033.79</v>
      </c>
      <c r="L558" s="64">
        <v>322631.99</v>
      </c>
      <c r="M558" s="1" t="s">
        <v>263</v>
      </c>
      <c r="N558" s="2"/>
      <c r="O558" s="379"/>
      <c r="P558" s="379"/>
      <c r="Q558" s="379"/>
    </row>
    <row r="559" spans="1:17">
      <c r="A559" s="1" t="s">
        <v>278</v>
      </c>
      <c r="B559" s="2" t="s">
        <v>194</v>
      </c>
      <c r="C559" s="197">
        <v>16806.03</v>
      </c>
      <c r="D559" s="197">
        <v>18761.73</v>
      </c>
      <c r="E559" s="379">
        <f t="shared" si="40"/>
        <v>-1955.7000000000007</v>
      </c>
      <c r="G559" s="1" t="s">
        <v>278</v>
      </c>
      <c r="H559" s="2" t="s">
        <v>194</v>
      </c>
      <c r="I559" s="197">
        <f t="shared" si="42"/>
        <v>16806.03</v>
      </c>
      <c r="L559" s="64">
        <v>325073.53000000003</v>
      </c>
      <c r="M559" s="1" t="s">
        <v>298</v>
      </c>
      <c r="N559" s="2"/>
      <c r="O559" s="379"/>
      <c r="P559" s="379"/>
      <c r="Q559" s="379"/>
    </row>
    <row r="560" spans="1:17">
      <c r="A560" s="1" t="s">
        <v>278</v>
      </c>
      <c r="B560" s="2" t="s">
        <v>195</v>
      </c>
      <c r="C560" s="197">
        <v>74398.990000000005</v>
      </c>
      <c r="D560" s="197">
        <v>39923.699999999997</v>
      </c>
      <c r="E560" s="379">
        <f t="shared" si="40"/>
        <v>34475.290000000008</v>
      </c>
      <c r="G560" s="1" t="s">
        <v>278</v>
      </c>
      <c r="H560" s="2" t="s">
        <v>195</v>
      </c>
      <c r="I560" s="197">
        <f t="shared" si="42"/>
        <v>74398.990000000005</v>
      </c>
      <c r="L560" s="64">
        <v>327760.89</v>
      </c>
      <c r="M560" s="1" t="s">
        <v>264</v>
      </c>
      <c r="N560" s="2"/>
      <c r="O560" s="379"/>
      <c r="P560" s="379"/>
      <c r="Q560" s="379"/>
    </row>
    <row r="561" spans="1:17">
      <c r="A561" s="1" t="s">
        <v>278</v>
      </c>
      <c r="B561" s="2" t="s">
        <v>196</v>
      </c>
      <c r="C561" s="197">
        <v>702.98</v>
      </c>
      <c r="D561" s="197">
        <v>493.93</v>
      </c>
      <c r="E561" s="379">
        <f t="shared" si="40"/>
        <v>209.05</v>
      </c>
      <c r="G561" s="1" t="s">
        <v>278</v>
      </c>
      <c r="H561" s="2" t="s">
        <v>196</v>
      </c>
      <c r="I561" s="197">
        <f t="shared" si="42"/>
        <v>702.98</v>
      </c>
      <c r="L561" s="64">
        <v>335358.96999999997</v>
      </c>
      <c r="M561" s="1" t="s">
        <v>269</v>
      </c>
      <c r="N561" s="2"/>
      <c r="O561" s="379"/>
      <c r="P561" s="379"/>
      <c r="Q561" s="379"/>
    </row>
    <row r="562" spans="1:17">
      <c r="A562" s="1" t="s">
        <v>278</v>
      </c>
      <c r="B562" s="2" t="s">
        <v>204</v>
      </c>
      <c r="C562" s="197">
        <v>4991.29</v>
      </c>
      <c r="D562" s="197">
        <v>5003.8100000000004</v>
      </c>
      <c r="E562" s="379">
        <f t="shared" si="40"/>
        <v>-12.520000000000437</v>
      </c>
      <c r="G562" s="1" t="s">
        <v>278</v>
      </c>
      <c r="H562" s="2" t="s">
        <v>204</v>
      </c>
      <c r="I562" s="197">
        <f t="shared" si="42"/>
        <v>4991.29</v>
      </c>
      <c r="J562" s="64">
        <f>SUM(I554:I562)</f>
        <v>32128452.819999993</v>
      </c>
      <c r="L562" s="64">
        <v>349142.49</v>
      </c>
      <c r="M562" s="1" t="s">
        <v>272</v>
      </c>
      <c r="N562" s="2"/>
      <c r="O562" s="379"/>
      <c r="P562" s="379"/>
      <c r="Q562" s="379"/>
    </row>
    <row r="563" spans="1:17">
      <c r="A563" s="1" t="s">
        <v>265</v>
      </c>
      <c r="B563" s="2" t="s">
        <v>187</v>
      </c>
      <c r="C563" s="197">
        <v>25627997.879999999</v>
      </c>
      <c r="D563" s="197">
        <v>10678411.68</v>
      </c>
      <c r="E563" s="379">
        <f t="shared" si="40"/>
        <v>14949586.199999999</v>
      </c>
      <c r="G563" s="1" t="s">
        <v>265</v>
      </c>
      <c r="H563" s="2" t="s">
        <v>187</v>
      </c>
      <c r="I563" s="197">
        <f t="shared" si="42"/>
        <v>25627997.879999999</v>
      </c>
      <c r="L563" s="64">
        <v>351884.63</v>
      </c>
      <c r="M563" s="1" t="s">
        <v>275</v>
      </c>
      <c r="N563" s="2"/>
      <c r="O563" s="379"/>
      <c r="P563" s="379"/>
      <c r="Q563" s="379"/>
    </row>
    <row r="564" spans="1:17">
      <c r="A564" s="1" t="s">
        <v>265</v>
      </c>
      <c r="B564" s="2" t="s">
        <v>188</v>
      </c>
      <c r="C564" s="197">
        <v>294524.58</v>
      </c>
      <c r="D564" s="197">
        <v>167045.12</v>
      </c>
      <c r="E564" s="379">
        <f t="shared" si="40"/>
        <v>127479.46000000002</v>
      </c>
      <c r="G564" s="1" t="s">
        <v>265</v>
      </c>
      <c r="H564" s="2" t="s">
        <v>188</v>
      </c>
      <c r="I564" s="197">
        <f t="shared" si="42"/>
        <v>294524.58</v>
      </c>
      <c r="L564" s="64">
        <v>353000.65</v>
      </c>
      <c r="M564" s="1" t="s">
        <v>270</v>
      </c>
      <c r="N564" s="2"/>
      <c r="O564" s="379"/>
      <c r="P564" s="379"/>
      <c r="Q564" s="379"/>
    </row>
    <row r="565" spans="1:17">
      <c r="A565" s="1" t="s">
        <v>265</v>
      </c>
      <c r="B565" s="2" t="s">
        <v>189</v>
      </c>
      <c r="C565" s="197">
        <v>508677.37</v>
      </c>
      <c r="D565" s="197">
        <v>210174.21</v>
      </c>
      <c r="E565" s="379">
        <f t="shared" si="40"/>
        <v>298503.16000000003</v>
      </c>
      <c r="G565" s="1" t="s">
        <v>265</v>
      </c>
      <c r="H565" s="2" t="s">
        <v>189</v>
      </c>
      <c r="I565" s="197">
        <f t="shared" si="42"/>
        <v>508677.37</v>
      </c>
      <c r="L565" s="64">
        <v>358731.55</v>
      </c>
      <c r="M565" s="1" t="s">
        <v>267</v>
      </c>
      <c r="N565" s="2"/>
      <c r="O565" s="379"/>
      <c r="P565" s="379"/>
      <c r="Q565" s="379"/>
    </row>
    <row r="566" spans="1:17">
      <c r="A566" s="1" t="s">
        <v>265</v>
      </c>
      <c r="B566" s="2" t="s">
        <v>190</v>
      </c>
      <c r="C566" s="197">
        <v>18597476.280000001</v>
      </c>
      <c r="D566" s="197">
        <v>9485386.5899999999</v>
      </c>
      <c r="E566" s="379">
        <f t="shared" si="40"/>
        <v>9112089.6900000013</v>
      </c>
      <c r="G566" s="1" t="s">
        <v>265</v>
      </c>
      <c r="H566" s="2" t="s">
        <v>190</v>
      </c>
      <c r="I566" s="197">
        <f t="shared" si="42"/>
        <v>18597476.280000001</v>
      </c>
      <c r="L566" s="64">
        <v>364587.54</v>
      </c>
      <c r="M566" s="1" t="s">
        <v>276</v>
      </c>
      <c r="N566" s="2"/>
      <c r="O566" s="379"/>
      <c r="P566" s="379"/>
      <c r="Q566" s="379"/>
    </row>
    <row r="567" spans="1:17">
      <c r="A567" s="1" t="s">
        <v>265</v>
      </c>
      <c r="B567" s="2" t="s">
        <v>191</v>
      </c>
      <c r="C567" s="197">
        <v>307882.8</v>
      </c>
      <c r="D567" s="197">
        <v>398706.33</v>
      </c>
      <c r="E567" s="379">
        <f t="shared" si="40"/>
        <v>-90823.530000000028</v>
      </c>
      <c r="G567" s="1" t="s">
        <v>265</v>
      </c>
      <c r="H567" s="2" t="s">
        <v>191</v>
      </c>
      <c r="I567" s="197">
        <f t="shared" si="42"/>
        <v>307882.8</v>
      </c>
      <c r="L567" s="64">
        <v>385287.08</v>
      </c>
      <c r="M567" s="1" t="s">
        <v>278</v>
      </c>
      <c r="N567" s="2"/>
      <c r="O567" s="379"/>
      <c r="P567" s="379"/>
      <c r="Q567" s="379"/>
    </row>
    <row r="568" spans="1:17">
      <c r="A568" s="1" t="s">
        <v>265</v>
      </c>
      <c r="B568" s="2" t="s">
        <v>192</v>
      </c>
      <c r="C568" s="197">
        <v>5521585.04</v>
      </c>
      <c r="D568" s="197">
        <v>2237850.02</v>
      </c>
      <c r="E568" s="379">
        <f t="shared" si="40"/>
        <v>3283735.02</v>
      </c>
      <c r="G568" s="1" t="s">
        <v>265</v>
      </c>
      <c r="H568" s="2" t="s">
        <v>192</v>
      </c>
      <c r="I568" s="197">
        <f t="shared" si="42"/>
        <v>5521585.04</v>
      </c>
      <c r="L568" s="64">
        <v>390920.59</v>
      </c>
      <c r="M568" s="1" t="s">
        <v>267</v>
      </c>
      <c r="N568" s="2"/>
      <c r="O568" s="379"/>
      <c r="P568" s="379"/>
      <c r="Q568" s="379"/>
    </row>
    <row r="569" spans="1:17">
      <c r="A569" s="1" t="s">
        <v>265</v>
      </c>
      <c r="B569" s="2" t="s">
        <v>193</v>
      </c>
      <c r="C569" s="197">
        <v>766338.11</v>
      </c>
      <c r="D569" s="197">
        <v>468740.37</v>
      </c>
      <c r="E569" s="379">
        <f t="shared" si="40"/>
        <v>297597.74</v>
      </c>
      <c r="G569" s="1" t="s">
        <v>265</v>
      </c>
      <c r="H569" s="2" t="s">
        <v>193</v>
      </c>
      <c r="I569" s="197">
        <f t="shared" si="42"/>
        <v>766338.11</v>
      </c>
      <c r="L569" s="64">
        <v>391723.54</v>
      </c>
      <c r="M569" s="1" t="s">
        <v>270</v>
      </c>
      <c r="N569" s="2"/>
      <c r="O569" s="379"/>
      <c r="P569" s="379"/>
      <c r="Q569" s="379"/>
    </row>
    <row r="570" spans="1:17">
      <c r="A570" s="1" t="s">
        <v>265</v>
      </c>
      <c r="B570" s="2" t="s">
        <v>194</v>
      </c>
      <c r="C570" s="197">
        <v>2384201.14</v>
      </c>
      <c r="D570" s="197">
        <v>1023770.72</v>
      </c>
      <c r="E570" s="379">
        <f t="shared" si="40"/>
        <v>1360430.4200000002</v>
      </c>
      <c r="G570" s="1" t="s">
        <v>265</v>
      </c>
      <c r="H570" s="2" t="s">
        <v>194</v>
      </c>
      <c r="I570" s="197">
        <f t="shared" si="42"/>
        <v>2384201.14</v>
      </c>
      <c r="L570" s="64">
        <v>398483.73</v>
      </c>
      <c r="M570" s="1" t="s">
        <v>282</v>
      </c>
      <c r="N570" s="2"/>
      <c r="O570" s="379"/>
      <c r="P570" s="379"/>
      <c r="Q570" s="379"/>
    </row>
    <row r="571" spans="1:17">
      <c r="A571" s="1" t="s">
        <v>265</v>
      </c>
      <c r="B571" s="2" t="s">
        <v>195</v>
      </c>
      <c r="C571" s="197">
        <v>151946.73000000001</v>
      </c>
      <c r="D571" s="197">
        <v>-59559.21</v>
      </c>
      <c r="E571" s="379">
        <f t="shared" si="40"/>
        <v>211505.94</v>
      </c>
      <c r="G571" s="1" t="s">
        <v>265</v>
      </c>
      <c r="H571" s="2" t="s">
        <v>195</v>
      </c>
      <c r="I571" s="197">
        <f t="shared" si="42"/>
        <v>151946.73000000001</v>
      </c>
      <c r="L571" s="64">
        <v>400700.39</v>
      </c>
      <c r="M571" s="1" t="s">
        <v>270</v>
      </c>
      <c r="N571" s="2"/>
      <c r="O571" s="379"/>
      <c r="P571" s="379"/>
      <c r="Q571" s="379"/>
    </row>
    <row r="572" spans="1:17">
      <c r="A572" s="1" t="s">
        <v>265</v>
      </c>
      <c r="B572" s="2" t="s">
        <v>196</v>
      </c>
      <c r="C572" s="197">
        <v>202466.3</v>
      </c>
      <c r="D572" s="197">
        <v>56818.12</v>
      </c>
      <c r="E572" s="379">
        <f t="shared" si="40"/>
        <v>145648.18</v>
      </c>
      <c r="G572" s="1" t="s">
        <v>265</v>
      </c>
      <c r="H572" s="2" t="s">
        <v>196</v>
      </c>
      <c r="I572" s="197">
        <f t="shared" si="42"/>
        <v>202466.3</v>
      </c>
      <c r="L572" s="64">
        <v>411469.49</v>
      </c>
      <c r="M572" s="1" t="s">
        <v>272</v>
      </c>
      <c r="N572" s="2"/>
      <c r="O572" s="379"/>
      <c r="P572" s="379"/>
      <c r="Q572" s="379"/>
    </row>
    <row r="573" spans="1:17">
      <c r="A573" s="1" t="s">
        <v>265</v>
      </c>
      <c r="B573" s="2" t="s">
        <v>198</v>
      </c>
      <c r="C573" s="197">
        <v>216524.55</v>
      </c>
      <c r="D573" s="197">
        <v>189293.71</v>
      </c>
      <c r="E573" s="379">
        <f t="shared" si="40"/>
        <v>27230.839999999997</v>
      </c>
      <c r="G573" s="1" t="s">
        <v>265</v>
      </c>
      <c r="H573" s="2" t="s">
        <v>198</v>
      </c>
      <c r="I573" s="197">
        <f t="shared" si="42"/>
        <v>216524.55</v>
      </c>
      <c r="L573" s="64">
        <v>426462.39</v>
      </c>
      <c r="M573" s="1" t="s">
        <v>273</v>
      </c>
      <c r="N573" s="2"/>
      <c r="O573" s="379"/>
      <c r="P573" s="379"/>
      <c r="Q573" s="379"/>
    </row>
    <row r="574" spans="1:17">
      <c r="A574" s="1" t="s">
        <v>265</v>
      </c>
      <c r="B574" s="2" t="s">
        <v>201</v>
      </c>
      <c r="C574" s="197">
        <v>189434.1</v>
      </c>
      <c r="D574" s="197">
        <v>114438.07</v>
      </c>
      <c r="E574" s="379">
        <f t="shared" si="40"/>
        <v>74996.03</v>
      </c>
      <c r="G574" s="1" t="s">
        <v>265</v>
      </c>
      <c r="H574" s="2" t="s">
        <v>201</v>
      </c>
      <c r="I574" s="197">
        <f t="shared" si="42"/>
        <v>189434.1</v>
      </c>
      <c r="L574" s="64">
        <v>427812.7</v>
      </c>
      <c r="M574" s="1" t="s">
        <v>11</v>
      </c>
      <c r="N574" s="2"/>
      <c r="O574" s="379"/>
      <c r="P574" s="379"/>
      <c r="Q574" s="379"/>
    </row>
    <row r="575" spans="1:17">
      <c r="A575" s="1" t="s">
        <v>265</v>
      </c>
      <c r="B575" s="2" t="s">
        <v>203</v>
      </c>
      <c r="C575" s="197">
        <v>52942.62</v>
      </c>
      <c r="D575" s="197">
        <v>33164.57</v>
      </c>
      <c r="E575" s="379">
        <f t="shared" si="40"/>
        <v>19778.050000000003</v>
      </c>
      <c r="G575" s="1" t="s">
        <v>265</v>
      </c>
      <c r="H575" s="2" t="s">
        <v>203</v>
      </c>
      <c r="I575" s="197">
        <f t="shared" si="42"/>
        <v>52942.62</v>
      </c>
      <c r="L575" s="64">
        <v>436403.55</v>
      </c>
      <c r="M575" s="1" t="s">
        <v>283</v>
      </c>
      <c r="N575" s="2"/>
      <c r="O575" s="379"/>
      <c r="P575" s="379"/>
      <c r="Q575" s="379"/>
    </row>
    <row r="576" spans="1:17">
      <c r="A576" s="1" t="s">
        <v>265</v>
      </c>
      <c r="B576" s="2" t="s">
        <v>204</v>
      </c>
      <c r="C576" s="197">
        <v>181880.77</v>
      </c>
      <c r="D576" s="197">
        <v>112027.5</v>
      </c>
      <c r="E576" s="379">
        <f t="shared" si="40"/>
        <v>69853.26999999999</v>
      </c>
      <c r="G576" s="1" t="s">
        <v>265</v>
      </c>
      <c r="H576" s="2" t="s">
        <v>204</v>
      </c>
      <c r="I576" s="197">
        <f t="shared" si="42"/>
        <v>181880.77</v>
      </c>
      <c r="L576" s="64">
        <v>442897.07</v>
      </c>
      <c r="M576" s="1" t="s">
        <v>263</v>
      </c>
      <c r="N576" s="2"/>
      <c r="O576" s="379"/>
      <c r="P576" s="379"/>
      <c r="Q576" s="379"/>
    </row>
    <row r="577" spans="1:17">
      <c r="A577" s="1" t="s">
        <v>265</v>
      </c>
      <c r="B577" s="2" t="s">
        <v>205</v>
      </c>
      <c r="C577" s="197">
        <v>135333.75</v>
      </c>
      <c r="D577" s="197">
        <v>163865.32</v>
      </c>
      <c r="E577" s="379">
        <f t="shared" si="40"/>
        <v>-28531.570000000007</v>
      </c>
      <c r="G577" s="1" t="s">
        <v>265</v>
      </c>
      <c r="H577" s="2" t="s">
        <v>205</v>
      </c>
      <c r="I577" s="197">
        <f t="shared" si="42"/>
        <v>135333.75</v>
      </c>
      <c r="J577" s="64">
        <f>SUM(I563:I577)</f>
        <v>55139212.019999988</v>
      </c>
      <c r="L577" s="64">
        <v>461423.89</v>
      </c>
      <c r="M577" s="1" t="s">
        <v>273</v>
      </c>
      <c r="N577" s="2"/>
      <c r="O577" s="379"/>
      <c r="P577" s="379"/>
      <c r="Q577" s="379"/>
    </row>
    <row r="578" spans="1:17">
      <c r="A578" s="1" t="s">
        <v>279</v>
      </c>
      <c r="B578" s="2" t="s">
        <v>187</v>
      </c>
      <c r="C578" s="197">
        <v>5127158.29</v>
      </c>
      <c r="D578" s="197">
        <v>995202.35</v>
      </c>
      <c r="E578" s="379">
        <f t="shared" si="40"/>
        <v>4131955.94</v>
      </c>
      <c r="G578" s="1" t="s">
        <v>279</v>
      </c>
      <c r="H578" s="2" t="s">
        <v>187</v>
      </c>
      <c r="I578" s="197">
        <f t="shared" si="42"/>
        <v>5127158.29</v>
      </c>
      <c r="L578" s="64">
        <v>478971.97</v>
      </c>
      <c r="M578" s="1" t="s">
        <v>263</v>
      </c>
      <c r="N578" s="2"/>
      <c r="O578" s="379"/>
      <c r="P578" s="379"/>
      <c r="Q578" s="379"/>
    </row>
    <row r="579" spans="1:17">
      <c r="A579" s="1" t="s">
        <v>279</v>
      </c>
      <c r="B579" s="2" t="s">
        <v>189</v>
      </c>
      <c r="C579" s="197">
        <v>1701473.83</v>
      </c>
      <c r="D579" s="197">
        <v>175398.86</v>
      </c>
      <c r="E579" s="379">
        <f t="shared" si="40"/>
        <v>1526074.9700000002</v>
      </c>
      <c r="G579" s="1" t="s">
        <v>279</v>
      </c>
      <c r="H579" s="2" t="s">
        <v>189</v>
      </c>
      <c r="I579" s="197">
        <f t="shared" si="42"/>
        <v>1701473.83</v>
      </c>
      <c r="J579" s="64">
        <f>I579+I578</f>
        <v>6828632.1200000001</v>
      </c>
      <c r="L579" s="64">
        <v>493254.63</v>
      </c>
      <c r="M579" s="1" t="s">
        <v>263</v>
      </c>
      <c r="N579" s="2"/>
      <c r="O579" s="379"/>
      <c r="P579" s="379"/>
      <c r="Q579" s="379"/>
    </row>
    <row r="580" spans="1:17">
      <c r="A580" s="1" t="s">
        <v>300</v>
      </c>
      <c r="B580" s="2" t="s">
        <v>187</v>
      </c>
      <c r="C580" s="197">
        <v>10142142.449999999</v>
      </c>
      <c r="D580" s="197">
        <v>397084.36</v>
      </c>
      <c r="E580" s="379">
        <f t="shared" si="40"/>
        <v>9745058.0899999999</v>
      </c>
      <c r="G580" s="1" t="s">
        <v>300</v>
      </c>
      <c r="H580" s="2" t="s">
        <v>187</v>
      </c>
      <c r="I580" s="197">
        <f t="shared" si="42"/>
        <v>10142142.449999999</v>
      </c>
      <c r="L580" s="64">
        <v>508507.51</v>
      </c>
      <c r="M580" s="1" t="s">
        <v>274</v>
      </c>
      <c r="N580" s="2"/>
      <c r="O580" s="379"/>
      <c r="P580" s="379"/>
      <c r="Q580" s="379"/>
    </row>
    <row r="581" spans="1:17">
      <c r="A581" s="28" t="s">
        <v>11</v>
      </c>
      <c r="B581" s="266" t="s">
        <v>188</v>
      </c>
      <c r="C581" s="197">
        <v>427812.7</v>
      </c>
      <c r="D581" s="197">
        <v>14932.94</v>
      </c>
      <c r="E581" s="379">
        <f t="shared" si="40"/>
        <v>412879.76</v>
      </c>
      <c r="G581" s="28" t="s">
        <v>11</v>
      </c>
      <c r="H581" s="266" t="s">
        <v>188</v>
      </c>
      <c r="I581" s="197">
        <f t="shared" si="42"/>
        <v>427812.7</v>
      </c>
      <c r="L581" s="64">
        <v>508677.37</v>
      </c>
      <c r="M581" s="1" t="s">
        <v>265</v>
      </c>
      <c r="N581" s="2"/>
      <c r="O581" s="379"/>
      <c r="P581" s="379"/>
      <c r="Q581" s="379"/>
    </row>
    <row r="582" spans="1:17">
      <c r="A582" s="1" t="s">
        <v>300</v>
      </c>
      <c r="B582" s="2" t="s">
        <v>189</v>
      </c>
      <c r="C582" s="197">
        <v>58346.080000000002</v>
      </c>
      <c r="D582" s="197">
        <v>15322.66</v>
      </c>
      <c r="E582" s="379">
        <f t="shared" si="40"/>
        <v>43023.42</v>
      </c>
      <c r="G582" s="1" t="s">
        <v>300</v>
      </c>
      <c r="H582" s="2" t="s">
        <v>189</v>
      </c>
      <c r="I582" s="197">
        <f t="shared" si="42"/>
        <v>58346.080000000002</v>
      </c>
      <c r="J582" s="64">
        <f>I582+I580+I581</f>
        <v>10628301.229999999</v>
      </c>
      <c r="L582" s="64">
        <v>512314.63</v>
      </c>
      <c r="M582" s="1" t="s">
        <v>273</v>
      </c>
      <c r="N582" s="2"/>
      <c r="O582" s="379"/>
      <c r="P582" s="379"/>
      <c r="Q582" s="379"/>
    </row>
    <row r="583" spans="1:17">
      <c r="A583" s="1" t="s">
        <v>273</v>
      </c>
      <c r="B583" s="2" t="s">
        <v>187</v>
      </c>
      <c r="C583" s="197">
        <v>56642150.68</v>
      </c>
      <c r="D583" s="197">
        <v>27565823.07</v>
      </c>
      <c r="E583" s="379">
        <f t="shared" si="40"/>
        <v>29076327.609999999</v>
      </c>
      <c r="G583" s="1" t="s">
        <v>273</v>
      </c>
      <c r="H583" s="2" t="s">
        <v>187</v>
      </c>
      <c r="I583" s="197">
        <f t="shared" si="42"/>
        <v>56642150.68</v>
      </c>
      <c r="L583" s="64">
        <v>515205.6</v>
      </c>
      <c r="M583" s="1" t="s">
        <v>5</v>
      </c>
      <c r="N583" s="2"/>
      <c r="O583" s="379"/>
      <c r="P583" s="379"/>
      <c r="Q583" s="379"/>
    </row>
    <row r="584" spans="1:17">
      <c r="A584" s="1" t="s">
        <v>273</v>
      </c>
      <c r="B584" s="2" t="s">
        <v>188</v>
      </c>
      <c r="C584" s="197">
        <v>761421.39</v>
      </c>
      <c r="D584" s="197">
        <v>421559.93</v>
      </c>
      <c r="E584" s="379">
        <f t="shared" si="40"/>
        <v>339861.46</v>
      </c>
      <c r="G584" s="1" t="s">
        <v>273</v>
      </c>
      <c r="H584" s="2" t="s">
        <v>188</v>
      </c>
      <c r="I584" s="197">
        <f t="shared" si="42"/>
        <v>761421.39</v>
      </c>
      <c r="L584" s="64">
        <v>515207.66</v>
      </c>
      <c r="M584" s="1" t="s">
        <v>267</v>
      </c>
      <c r="N584" s="2"/>
      <c r="O584" s="379"/>
      <c r="P584" s="379"/>
      <c r="Q584" s="379"/>
    </row>
    <row r="585" spans="1:17">
      <c r="A585" s="1" t="s">
        <v>273</v>
      </c>
      <c r="B585" s="2" t="s">
        <v>189</v>
      </c>
      <c r="C585" s="197">
        <v>1393613.85</v>
      </c>
      <c r="D585" s="197">
        <v>324308.55</v>
      </c>
      <c r="E585" s="379">
        <f t="shared" si="40"/>
        <v>1069305.3</v>
      </c>
      <c r="G585" s="1" t="s">
        <v>273</v>
      </c>
      <c r="H585" s="2" t="s">
        <v>189</v>
      </c>
      <c r="I585" s="197">
        <f t="shared" si="42"/>
        <v>1393613.85</v>
      </c>
      <c r="L585" s="64">
        <v>518540.82</v>
      </c>
      <c r="M585" s="1" t="s">
        <v>273</v>
      </c>
      <c r="N585" s="2"/>
      <c r="O585" s="379"/>
      <c r="P585" s="379"/>
      <c r="Q585" s="379"/>
    </row>
    <row r="586" spans="1:17">
      <c r="A586" s="1" t="s">
        <v>273</v>
      </c>
      <c r="B586" s="2" t="s">
        <v>190</v>
      </c>
      <c r="C586" s="197">
        <v>33960486.109999999</v>
      </c>
      <c r="D586" s="197">
        <v>26479487.309999999</v>
      </c>
      <c r="E586" s="379">
        <f t="shared" si="40"/>
        <v>7480998.8000000007</v>
      </c>
      <c r="G586" s="1" t="s">
        <v>273</v>
      </c>
      <c r="H586" s="2" t="s">
        <v>190</v>
      </c>
      <c r="I586" s="197">
        <f t="shared" si="42"/>
        <v>33960486.109999999</v>
      </c>
      <c r="L586" s="64">
        <v>521258.38</v>
      </c>
      <c r="M586" s="1" t="s">
        <v>276</v>
      </c>
      <c r="N586" s="2"/>
      <c r="O586" s="379"/>
      <c r="P586" s="379"/>
      <c r="Q586" s="379"/>
    </row>
    <row r="587" spans="1:17">
      <c r="A587" s="1" t="s">
        <v>273</v>
      </c>
      <c r="B587" s="2" t="s">
        <v>192</v>
      </c>
      <c r="C587" s="197">
        <v>6530752.0800000001</v>
      </c>
      <c r="D587" s="197">
        <v>4748959.75</v>
      </c>
      <c r="E587" s="379">
        <f t="shared" si="40"/>
        <v>1781792.33</v>
      </c>
      <c r="G587" s="1" t="s">
        <v>273</v>
      </c>
      <c r="H587" s="2" t="s">
        <v>192</v>
      </c>
      <c r="I587" s="197">
        <f t="shared" si="42"/>
        <v>6530752.0800000001</v>
      </c>
      <c r="L587" s="64">
        <v>548205.35</v>
      </c>
      <c r="M587" s="1" t="s">
        <v>280</v>
      </c>
      <c r="N587" s="2"/>
      <c r="O587" s="379"/>
      <c r="P587" s="379"/>
      <c r="Q587" s="379"/>
    </row>
    <row r="588" spans="1:17">
      <c r="A588" s="1" t="s">
        <v>273</v>
      </c>
      <c r="B588" s="2" t="s">
        <v>193</v>
      </c>
      <c r="C588" s="197">
        <v>2081566.59</v>
      </c>
      <c r="D588" s="197">
        <v>1059385.1399999999</v>
      </c>
      <c r="E588" s="379">
        <f t="shared" si="40"/>
        <v>1022181.4500000002</v>
      </c>
      <c r="G588" s="1" t="s">
        <v>273</v>
      </c>
      <c r="H588" s="2" t="s">
        <v>193</v>
      </c>
      <c r="I588" s="197">
        <f t="shared" si="42"/>
        <v>2081566.59</v>
      </c>
      <c r="L588" s="64">
        <v>548927.72</v>
      </c>
      <c r="M588" s="1" t="s">
        <v>262</v>
      </c>
      <c r="N588" s="2"/>
      <c r="O588" s="379"/>
      <c r="P588" s="379"/>
      <c r="Q588" s="379"/>
    </row>
    <row r="589" spans="1:17">
      <c r="A589" s="1" t="s">
        <v>273</v>
      </c>
      <c r="B589" s="2" t="s">
        <v>194</v>
      </c>
      <c r="C589" s="197">
        <v>2513815.39</v>
      </c>
      <c r="D589" s="197">
        <v>1262303.7</v>
      </c>
      <c r="E589" s="379">
        <f t="shared" si="40"/>
        <v>1251511.6900000002</v>
      </c>
      <c r="G589" s="1" t="s">
        <v>273</v>
      </c>
      <c r="H589" s="2" t="s">
        <v>194</v>
      </c>
      <c r="I589" s="197">
        <f t="shared" si="42"/>
        <v>2513815.39</v>
      </c>
      <c r="L589" s="64">
        <v>555135.03</v>
      </c>
      <c r="M589" s="1" t="s">
        <v>275</v>
      </c>
      <c r="N589" s="2"/>
      <c r="O589" s="379"/>
      <c r="P589" s="379"/>
      <c r="Q589" s="379"/>
    </row>
    <row r="590" spans="1:17">
      <c r="A590" s="1" t="s">
        <v>273</v>
      </c>
      <c r="B590" s="2" t="s">
        <v>195</v>
      </c>
      <c r="C590" s="197">
        <v>2172637.37</v>
      </c>
      <c r="D590" s="197">
        <v>1132387.6299999999</v>
      </c>
      <c r="E590" s="379">
        <f t="shared" si="40"/>
        <v>1040249.7400000002</v>
      </c>
      <c r="G590" s="1" t="s">
        <v>273</v>
      </c>
      <c r="H590" s="2" t="s">
        <v>195</v>
      </c>
      <c r="I590" s="197">
        <f t="shared" si="42"/>
        <v>2172637.37</v>
      </c>
      <c r="L590" s="64">
        <v>558073.63</v>
      </c>
      <c r="M590" s="1" t="s">
        <v>271</v>
      </c>
      <c r="N590" s="2"/>
      <c r="O590" s="379"/>
      <c r="P590" s="379"/>
      <c r="Q590" s="379"/>
    </row>
    <row r="591" spans="1:17">
      <c r="A591" s="1" t="s">
        <v>273</v>
      </c>
      <c r="B591" s="2" t="s">
        <v>196</v>
      </c>
      <c r="C591" s="197">
        <v>512314.63</v>
      </c>
      <c r="D591" s="197">
        <v>187233.4</v>
      </c>
      <c r="E591" s="379">
        <f t="shared" si="40"/>
        <v>325081.23</v>
      </c>
      <c r="G591" s="1" t="s">
        <v>273</v>
      </c>
      <c r="H591" s="2" t="s">
        <v>196</v>
      </c>
      <c r="I591" s="197">
        <f t="shared" si="42"/>
        <v>512314.63</v>
      </c>
      <c r="L591" s="64">
        <v>571856.06999999995</v>
      </c>
      <c r="M591" s="1" t="s">
        <v>281</v>
      </c>
      <c r="N591" s="2"/>
      <c r="O591" s="379"/>
      <c r="P591" s="379"/>
      <c r="Q591" s="379"/>
    </row>
    <row r="592" spans="1:17">
      <c r="A592" s="1" t="s">
        <v>273</v>
      </c>
      <c r="B592" s="2" t="s">
        <v>198</v>
      </c>
      <c r="C592" s="197">
        <v>518540.82</v>
      </c>
      <c r="D592" s="197">
        <v>345582.57</v>
      </c>
      <c r="E592" s="379">
        <f t="shared" si="40"/>
        <v>172958.25</v>
      </c>
      <c r="G592" s="1" t="s">
        <v>273</v>
      </c>
      <c r="H592" s="2" t="s">
        <v>198</v>
      </c>
      <c r="I592" s="197">
        <f t="shared" si="42"/>
        <v>518540.82</v>
      </c>
      <c r="L592" s="64">
        <v>598218.88</v>
      </c>
      <c r="M592" s="1" t="s">
        <v>263</v>
      </c>
      <c r="N592" s="2"/>
      <c r="O592" s="379"/>
      <c r="P592" s="379"/>
      <c r="Q592" s="379"/>
    </row>
    <row r="593" spans="1:17">
      <c r="A593" s="1" t="s">
        <v>273</v>
      </c>
      <c r="B593" s="2" t="s">
        <v>201</v>
      </c>
      <c r="C593" s="197">
        <v>461423.89</v>
      </c>
      <c r="D593" s="197">
        <v>410978.4</v>
      </c>
      <c r="E593" s="379">
        <f t="shared" si="40"/>
        <v>50445.489999999991</v>
      </c>
      <c r="G593" s="1" t="s">
        <v>273</v>
      </c>
      <c r="H593" s="2" t="s">
        <v>201</v>
      </c>
      <c r="I593" s="197">
        <f t="shared" si="42"/>
        <v>461423.89</v>
      </c>
      <c r="L593" s="64">
        <v>603434.74</v>
      </c>
      <c r="M593" s="1" t="s">
        <v>263</v>
      </c>
      <c r="N593" s="2"/>
      <c r="O593" s="379"/>
      <c r="P593" s="379"/>
      <c r="Q593" s="379"/>
    </row>
    <row r="594" spans="1:17">
      <c r="A594" s="1" t="s">
        <v>273</v>
      </c>
      <c r="B594" s="2" t="s">
        <v>203</v>
      </c>
      <c r="C594" s="197">
        <v>121542.51</v>
      </c>
      <c r="D594" s="197">
        <v>143613.34</v>
      </c>
      <c r="E594" s="379">
        <f t="shared" si="40"/>
        <v>-22070.83</v>
      </c>
      <c r="G594" s="1" t="s">
        <v>273</v>
      </c>
      <c r="H594" s="2" t="s">
        <v>203</v>
      </c>
      <c r="I594" s="197">
        <f t="shared" si="42"/>
        <v>121542.51</v>
      </c>
      <c r="L594" s="64">
        <v>607851.9</v>
      </c>
      <c r="M594" s="1" t="s">
        <v>268</v>
      </c>
      <c r="N594" s="2"/>
      <c r="O594" s="379"/>
      <c r="P594" s="379"/>
      <c r="Q594" s="379"/>
    </row>
    <row r="595" spans="1:17">
      <c r="A595" s="1" t="s">
        <v>273</v>
      </c>
      <c r="B595" s="2" t="s">
        <v>204</v>
      </c>
      <c r="C595" s="197">
        <v>426462.39</v>
      </c>
      <c r="D595" s="197">
        <v>122991.98</v>
      </c>
      <c r="E595" s="379">
        <f t="shared" ref="E595:E658" si="43">C595-D595</f>
        <v>303470.41000000003</v>
      </c>
      <c r="G595" s="1" t="s">
        <v>273</v>
      </c>
      <c r="H595" s="2" t="s">
        <v>204</v>
      </c>
      <c r="I595" s="197">
        <f t="shared" si="42"/>
        <v>426462.39</v>
      </c>
      <c r="L595" s="64">
        <v>610821.28</v>
      </c>
      <c r="M595" s="1" t="s">
        <v>266</v>
      </c>
      <c r="N595" s="2"/>
      <c r="O595" s="379"/>
      <c r="P595" s="379"/>
      <c r="Q595" s="379"/>
    </row>
    <row r="596" spans="1:17">
      <c r="A596" s="1" t="s">
        <v>273</v>
      </c>
      <c r="B596" s="2" t="s">
        <v>205</v>
      </c>
      <c r="C596" s="197">
        <v>13001.55</v>
      </c>
      <c r="D596" s="197">
        <v>-30698.87</v>
      </c>
      <c r="E596" s="379">
        <f t="shared" si="43"/>
        <v>43700.42</v>
      </c>
      <c r="G596" s="1" t="s">
        <v>273</v>
      </c>
      <c r="H596" s="2" t="s">
        <v>205</v>
      </c>
      <c r="I596" s="197">
        <f t="shared" si="42"/>
        <v>13001.55</v>
      </c>
      <c r="J596" s="64">
        <f>SUM(I583:I596)</f>
        <v>108109729.25</v>
      </c>
      <c r="L596" s="64">
        <v>624770.04</v>
      </c>
      <c r="M596" s="1" t="s">
        <v>278</v>
      </c>
      <c r="N596" s="2"/>
      <c r="O596" s="379"/>
      <c r="P596" s="379"/>
      <c r="Q596" s="379"/>
    </row>
    <row r="597" spans="1:17">
      <c r="A597" s="1" t="s">
        <v>280</v>
      </c>
      <c r="B597" s="2" t="s">
        <v>187</v>
      </c>
      <c r="C597" s="197">
        <v>13026290.949999999</v>
      </c>
      <c r="D597" s="197">
        <v>3413797.28</v>
      </c>
      <c r="E597" s="379">
        <f t="shared" si="43"/>
        <v>9612493.6699999999</v>
      </c>
      <c r="G597" s="1" t="s">
        <v>280</v>
      </c>
      <c r="H597" s="2" t="s">
        <v>187</v>
      </c>
      <c r="I597" s="197">
        <f t="shared" ref="I597:I660" si="44">C597</f>
        <v>13026290.949999999</v>
      </c>
      <c r="L597" s="64">
        <v>648238.15</v>
      </c>
      <c r="M597" s="1" t="s">
        <v>276</v>
      </c>
      <c r="N597" s="2"/>
      <c r="O597" s="379"/>
      <c r="P597" s="379"/>
      <c r="Q597" s="379"/>
    </row>
    <row r="598" spans="1:17">
      <c r="A598" s="1" t="s">
        <v>280</v>
      </c>
      <c r="B598" s="2" t="s">
        <v>188</v>
      </c>
      <c r="C598" s="197">
        <v>137748.35</v>
      </c>
      <c r="D598" s="197">
        <v>62568.61</v>
      </c>
      <c r="E598" s="379">
        <f t="shared" si="43"/>
        <v>75179.740000000005</v>
      </c>
      <c r="G598" s="1" t="s">
        <v>280</v>
      </c>
      <c r="H598" s="2" t="s">
        <v>188</v>
      </c>
      <c r="I598" s="197">
        <f t="shared" si="44"/>
        <v>137748.35</v>
      </c>
      <c r="L598" s="64">
        <v>699829.36</v>
      </c>
      <c r="M598" s="1" t="s">
        <v>295</v>
      </c>
      <c r="N598" s="2"/>
      <c r="O598" s="379"/>
      <c r="P598" s="379"/>
      <c r="Q598" s="379"/>
    </row>
    <row r="599" spans="1:17">
      <c r="A599" s="1" t="s">
        <v>280</v>
      </c>
      <c r="B599" s="2" t="s">
        <v>189</v>
      </c>
      <c r="C599" s="197">
        <v>548205.35</v>
      </c>
      <c r="D599" s="197">
        <v>130043.51</v>
      </c>
      <c r="E599" s="379">
        <f t="shared" si="43"/>
        <v>418161.83999999997</v>
      </c>
      <c r="G599" s="1" t="s">
        <v>280</v>
      </c>
      <c r="H599" s="2" t="s">
        <v>189</v>
      </c>
      <c r="I599" s="197">
        <f t="shared" si="44"/>
        <v>548205.35</v>
      </c>
      <c r="L599" s="64">
        <v>712994.92</v>
      </c>
      <c r="M599" s="1" t="s">
        <v>267</v>
      </c>
      <c r="N599" s="2"/>
      <c r="O599" s="379"/>
      <c r="P599" s="379"/>
      <c r="Q599" s="379"/>
    </row>
    <row r="600" spans="1:17">
      <c r="A600" s="1" t="s">
        <v>280</v>
      </c>
      <c r="B600" s="2" t="s">
        <v>190</v>
      </c>
      <c r="C600" s="197">
        <v>300937.24</v>
      </c>
      <c r="D600" s="197">
        <v>251796</v>
      </c>
      <c r="E600" s="379">
        <f t="shared" si="43"/>
        <v>49141.239999999991</v>
      </c>
      <c r="G600" s="1" t="s">
        <v>280</v>
      </c>
      <c r="H600" s="2" t="s">
        <v>190</v>
      </c>
      <c r="I600" s="197">
        <f t="shared" si="44"/>
        <v>300937.24</v>
      </c>
      <c r="L600" s="64">
        <v>761421.39</v>
      </c>
      <c r="M600" s="1" t="s">
        <v>273</v>
      </c>
      <c r="N600" s="2"/>
      <c r="O600" s="379"/>
      <c r="P600" s="379"/>
      <c r="Q600" s="379"/>
    </row>
    <row r="601" spans="1:17">
      <c r="A601" s="1" t="s">
        <v>280</v>
      </c>
      <c r="B601" s="2" t="s">
        <v>194</v>
      </c>
      <c r="C601" s="197">
        <v>53188.84</v>
      </c>
      <c r="D601" s="197">
        <v>35830.239999999998</v>
      </c>
      <c r="E601" s="379">
        <f t="shared" si="43"/>
        <v>17358.599999999999</v>
      </c>
      <c r="G601" s="1" t="s">
        <v>280</v>
      </c>
      <c r="H601" s="2" t="s">
        <v>194</v>
      </c>
      <c r="I601" s="197">
        <f t="shared" si="44"/>
        <v>53188.84</v>
      </c>
      <c r="J601" s="64">
        <f>SUM(I597:I601)</f>
        <v>14066370.729999999</v>
      </c>
      <c r="L601" s="64">
        <v>765485.8</v>
      </c>
      <c r="M601" s="1" t="s">
        <v>275</v>
      </c>
      <c r="N601" s="2"/>
      <c r="O601" s="379"/>
      <c r="P601" s="379"/>
      <c r="Q601" s="379"/>
    </row>
    <row r="602" spans="1:17">
      <c r="A602" s="1" t="s">
        <v>274</v>
      </c>
      <c r="B602" s="2" t="s">
        <v>187</v>
      </c>
      <c r="C602" s="197">
        <v>11068251.93</v>
      </c>
      <c r="D602" s="197">
        <v>4781373.25</v>
      </c>
      <c r="E602" s="379">
        <f t="shared" si="43"/>
        <v>6286878.6799999997</v>
      </c>
      <c r="G602" s="1" t="s">
        <v>274</v>
      </c>
      <c r="H602" s="2" t="s">
        <v>187</v>
      </c>
      <c r="I602" s="197">
        <f t="shared" si="44"/>
        <v>11068251.93</v>
      </c>
      <c r="L602" s="64">
        <v>766338.11</v>
      </c>
      <c r="M602" s="1" t="s">
        <v>265</v>
      </c>
      <c r="N602" s="2"/>
      <c r="O602" s="379"/>
      <c r="P602" s="379"/>
      <c r="Q602" s="379"/>
    </row>
    <row r="603" spans="1:17">
      <c r="A603" s="1" t="s">
        <v>274</v>
      </c>
      <c r="B603" s="2" t="s">
        <v>188</v>
      </c>
      <c r="C603" s="197">
        <v>4034.82</v>
      </c>
      <c r="D603" s="197">
        <v>-78082.12</v>
      </c>
      <c r="E603" s="379">
        <f t="shared" si="43"/>
        <v>82116.94</v>
      </c>
      <c r="G603" s="1" t="s">
        <v>274</v>
      </c>
      <c r="H603" s="2" t="s">
        <v>188</v>
      </c>
      <c r="I603" s="197">
        <f t="shared" si="44"/>
        <v>4034.82</v>
      </c>
      <c r="L603" s="64">
        <v>783872.69</v>
      </c>
      <c r="M603" s="1" t="s">
        <v>301</v>
      </c>
      <c r="N603" s="2"/>
      <c r="O603" s="379"/>
      <c r="P603" s="379"/>
      <c r="Q603" s="379"/>
    </row>
    <row r="604" spans="1:17">
      <c r="A604" s="1" t="s">
        <v>274</v>
      </c>
      <c r="B604" s="2" t="s">
        <v>189</v>
      </c>
      <c r="C604" s="197">
        <v>230240.46</v>
      </c>
      <c r="D604" s="197">
        <v>119520.95</v>
      </c>
      <c r="E604" s="379">
        <f t="shared" si="43"/>
        <v>110719.51</v>
      </c>
      <c r="G604" s="1" t="s">
        <v>274</v>
      </c>
      <c r="H604" s="2" t="s">
        <v>189</v>
      </c>
      <c r="I604" s="197">
        <f t="shared" si="44"/>
        <v>230240.46</v>
      </c>
      <c r="L604" s="64">
        <v>796736.06</v>
      </c>
      <c r="M604" s="1" t="s">
        <v>294</v>
      </c>
      <c r="N604" s="2"/>
      <c r="O604" s="379"/>
      <c r="P604" s="379"/>
      <c r="Q604" s="379"/>
    </row>
    <row r="605" spans="1:17">
      <c r="A605" s="1" t="s">
        <v>274</v>
      </c>
      <c r="B605" s="2" t="s">
        <v>190</v>
      </c>
      <c r="C605" s="197">
        <v>6780180.3499999996</v>
      </c>
      <c r="D605" s="197">
        <v>3775597.7</v>
      </c>
      <c r="E605" s="379">
        <f t="shared" si="43"/>
        <v>3004582.6499999994</v>
      </c>
      <c r="G605" s="1" t="s">
        <v>274</v>
      </c>
      <c r="H605" s="2" t="s">
        <v>190</v>
      </c>
      <c r="I605" s="197">
        <f t="shared" si="44"/>
        <v>6780180.3499999996</v>
      </c>
      <c r="L605" s="64">
        <v>797938.06</v>
      </c>
      <c r="M605" s="1" t="s">
        <v>263</v>
      </c>
      <c r="N605" s="2"/>
      <c r="O605" s="379"/>
      <c r="P605" s="379"/>
      <c r="Q605" s="379"/>
    </row>
    <row r="606" spans="1:17">
      <c r="A606" s="1" t="s">
        <v>274</v>
      </c>
      <c r="B606" s="2" t="s">
        <v>192</v>
      </c>
      <c r="C606" s="197">
        <v>1338895.1599999999</v>
      </c>
      <c r="D606" s="197">
        <v>913193.95</v>
      </c>
      <c r="E606" s="379">
        <f t="shared" si="43"/>
        <v>425701.20999999996</v>
      </c>
      <c r="G606" s="1" t="s">
        <v>274</v>
      </c>
      <c r="H606" s="2" t="s">
        <v>192</v>
      </c>
      <c r="I606" s="197">
        <f t="shared" si="44"/>
        <v>1338895.1599999999</v>
      </c>
      <c r="L606" s="64">
        <v>808663.49</v>
      </c>
      <c r="M606" s="1" t="s">
        <v>266</v>
      </c>
      <c r="N606" s="2"/>
      <c r="O606" s="379"/>
      <c r="P606" s="379"/>
      <c r="Q606" s="379"/>
    </row>
    <row r="607" spans="1:17">
      <c r="A607" s="1" t="s">
        <v>274</v>
      </c>
      <c r="B607" s="2" t="s">
        <v>193</v>
      </c>
      <c r="C607" s="197">
        <v>242459.71</v>
      </c>
      <c r="D607" s="197">
        <v>112426.48</v>
      </c>
      <c r="E607" s="379">
        <f t="shared" si="43"/>
        <v>130033.23</v>
      </c>
      <c r="G607" s="1" t="s">
        <v>274</v>
      </c>
      <c r="H607" s="2" t="s">
        <v>193</v>
      </c>
      <c r="I607" s="197">
        <f t="shared" si="44"/>
        <v>242459.71</v>
      </c>
      <c r="L607" s="64">
        <v>817921.21</v>
      </c>
      <c r="M607" s="1" t="s">
        <v>268</v>
      </c>
      <c r="N607" s="2"/>
      <c r="O607" s="379"/>
      <c r="P607" s="379"/>
      <c r="Q607" s="379"/>
    </row>
    <row r="608" spans="1:17">
      <c r="A608" s="1" t="s">
        <v>274</v>
      </c>
      <c r="B608" s="2" t="s">
        <v>194</v>
      </c>
      <c r="C608" s="197">
        <v>508507.51</v>
      </c>
      <c r="D608" s="197">
        <v>340112.97</v>
      </c>
      <c r="E608" s="379">
        <f t="shared" si="43"/>
        <v>168394.54000000004</v>
      </c>
      <c r="G608" s="1" t="s">
        <v>274</v>
      </c>
      <c r="H608" s="2" t="s">
        <v>194</v>
      </c>
      <c r="I608" s="197">
        <f t="shared" si="44"/>
        <v>508507.51</v>
      </c>
      <c r="L608" s="64">
        <v>847194.26</v>
      </c>
      <c r="M608" s="1" t="s">
        <v>269</v>
      </c>
      <c r="N608" s="2"/>
      <c r="O608" s="379"/>
      <c r="P608" s="379"/>
      <c r="Q608" s="379"/>
    </row>
    <row r="609" spans="1:17">
      <c r="A609" s="1" t="s">
        <v>274</v>
      </c>
      <c r="B609" s="2" t="s">
        <v>195</v>
      </c>
      <c r="C609" s="197">
        <v>43028.87</v>
      </c>
      <c r="D609" s="197">
        <v>7999.71</v>
      </c>
      <c r="E609" s="379">
        <f t="shared" si="43"/>
        <v>35029.160000000003</v>
      </c>
      <c r="G609" s="1" t="s">
        <v>274</v>
      </c>
      <c r="H609" s="2" t="s">
        <v>195</v>
      </c>
      <c r="I609" s="197">
        <f t="shared" si="44"/>
        <v>43028.87</v>
      </c>
      <c r="L609" s="64">
        <v>863752.51</v>
      </c>
      <c r="M609" s="1" t="s">
        <v>301</v>
      </c>
      <c r="N609" s="2"/>
      <c r="O609" s="379"/>
      <c r="P609" s="379"/>
      <c r="Q609" s="379"/>
    </row>
    <row r="610" spans="1:17">
      <c r="A610" s="1" t="s">
        <v>274</v>
      </c>
      <c r="B610" s="2" t="s">
        <v>196</v>
      </c>
      <c r="C610" s="197">
        <v>79172.27</v>
      </c>
      <c r="D610" s="197">
        <v>37908.49</v>
      </c>
      <c r="E610" s="379">
        <f t="shared" si="43"/>
        <v>41263.780000000006</v>
      </c>
      <c r="G610" s="1" t="s">
        <v>274</v>
      </c>
      <c r="H610" s="2" t="s">
        <v>196</v>
      </c>
      <c r="I610" s="197">
        <f t="shared" si="44"/>
        <v>79172.27</v>
      </c>
      <c r="L610" s="64">
        <v>871719.99</v>
      </c>
      <c r="M610" s="1" t="s">
        <v>264</v>
      </c>
      <c r="N610" s="2"/>
      <c r="O610" s="379"/>
      <c r="P610" s="379"/>
      <c r="Q610" s="379"/>
    </row>
    <row r="611" spans="1:17">
      <c r="A611" s="1" t="s">
        <v>274</v>
      </c>
      <c r="B611" s="2" t="s">
        <v>198</v>
      </c>
      <c r="C611" s="197">
        <v>121500.07</v>
      </c>
      <c r="D611" s="197">
        <v>61809.64</v>
      </c>
      <c r="E611" s="379">
        <f t="shared" si="43"/>
        <v>59690.430000000008</v>
      </c>
      <c r="G611" s="1" t="s">
        <v>274</v>
      </c>
      <c r="H611" s="2" t="s">
        <v>198</v>
      </c>
      <c r="I611" s="197">
        <f t="shared" si="44"/>
        <v>121500.07</v>
      </c>
      <c r="L611" s="64">
        <v>957471.96</v>
      </c>
      <c r="M611" s="1" t="s">
        <v>272</v>
      </c>
      <c r="N611" s="2"/>
      <c r="O611" s="379"/>
      <c r="P611" s="379"/>
      <c r="Q611" s="379"/>
    </row>
    <row r="612" spans="1:17">
      <c r="A612" s="1" t="s">
        <v>274</v>
      </c>
      <c r="B612" s="2" t="s">
        <v>200</v>
      </c>
      <c r="C612" s="197">
        <v>490</v>
      </c>
      <c r="D612" s="197">
        <v>251.38</v>
      </c>
      <c r="E612" s="379">
        <f t="shared" si="43"/>
        <v>238.62</v>
      </c>
      <c r="G612" s="1" t="s">
        <v>274</v>
      </c>
      <c r="H612" s="2" t="s">
        <v>200</v>
      </c>
      <c r="I612" s="197">
        <f t="shared" si="44"/>
        <v>490</v>
      </c>
      <c r="L612" s="64">
        <v>983956.6</v>
      </c>
      <c r="M612" s="1" t="s">
        <v>264</v>
      </c>
      <c r="N612" s="2"/>
      <c r="O612" s="379"/>
      <c r="P612" s="379"/>
      <c r="Q612" s="379"/>
    </row>
    <row r="613" spans="1:17">
      <c r="A613" s="1" t="s">
        <v>274</v>
      </c>
      <c r="B613" s="2" t="s">
        <v>201</v>
      </c>
      <c r="C613" s="197">
        <v>79301.47</v>
      </c>
      <c r="D613" s="197">
        <v>56164.97</v>
      </c>
      <c r="E613" s="379">
        <f t="shared" si="43"/>
        <v>23136.5</v>
      </c>
      <c r="G613" s="1" t="s">
        <v>274</v>
      </c>
      <c r="H613" s="2" t="s">
        <v>201</v>
      </c>
      <c r="I613" s="197">
        <f t="shared" si="44"/>
        <v>79301.47</v>
      </c>
      <c r="L613" s="64">
        <v>1009272.21</v>
      </c>
      <c r="M613" s="1" t="s">
        <v>262</v>
      </c>
      <c r="N613" s="2"/>
      <c r="O613" s="379"/>
      <c r="P613" s="379"/>
      <c r="Q613" s="379"/>
    </row>
    <row r="614" spans="1:17">
      <c r="A614" s="1" t="s">
        <v>274</v>
      </c>
      <c r="B614" s="2" t="s">
        <v>204</v>
      </c>
      <c r="C614" s="197">
        <v>154195.57</v>
      </c>
      <c r="D614" s="197">
        <v>84142.11</v>
      </c>
      <c r="E614" s="379">
        <f t="shared" si="43"/>
        <v>70053.460000000006</v>
      </c>
      <c r="G614" s="1" t="s">
        <v>274</v>
      </c>
      <c r="H614" s="2" t="s">
        <v>204</v>
      </c>
      <c r="I614" s="197">
        <f t="shared" si="44"/>
        <v>154195.57</v>
      </c>
      <c r="L614" s="64">
        <v>1027622.72</v>
      </c>
      <c r="M614" s="1" t="s">
        <v>262</v>
      </c>
      <c r="N614" s="2"/>
      <c r="O614" s="379"/>
      <c r="P614" s="379"/>
      <c r="Q614" s="379"/>
    </row>
    <row r="615" spans="1:17">
      <c r="A615" s="1" t="s">
        <v>274</v>
      </c>
      <c r="B615" s="2" t="s">
        <v>205</v>
      </c>
      <c r="C615" s="197">
        <v>8777.06</v>
      </c>
      <c r="D615" s="197">
        <v>1948.59</v>
      </c>
      <c r="E615" s="379">
        <f t="shared" si="43"/>
        <v>6828.4699999999993</v>
      </c>
      <c r="G615" s="1" t="s">
        <v>274</v>
      </c>
      <c r="H615" s="2" t="s">
        <v>205</v>
      </c>
      <c r="I615" s="197">
        <f t="shared" si="44"/>
        <v>8777.06</v>
      </c>
      <c r="J615" s="64">
        <f>SUM(I602:I615)</f>
        <v>20659035.250000004</v>
      </c>
      <c r="L615" s="64">
        <v>1034597.38</v>
      </c>
      <c r="M615" s="1" t="s">
        <v>275</v>
      </c>
      <c r="N615" s="2"/>
      <c r="O615" s="379"/>
      <c r="P615" s="379"/>
      <c r="Q615" s="379"/>
    </row>
    <row r="616" spans="1:17">
      <c r="A616" s="1" t="s">
        <v>301</v>
      </c>
      <c r="B616" s="2" t="s">
        <v>187</v>
      </c>
      <c r="C616" s="197">
        <v>11444071.359999999</v>
      </c>
      <c r="D616" s="197">
        <v>4758120.0999999996</v>
      </c>
      <c r="E616" s="379">
        <f t="shared" si="43"/>
        <v>6685951.2599999998</v>
      </c>
      <c r="G616" s="1" t="s">
        <v>301</v>
      </c>
      <c r="H616" s="2" t="s">
        <v>187</v>
      </c>
      <c r="I616" s="197">
        <f t="shared" si="44"/>
        <v>11444071.359999999</v>
      </c>
      <c r="L616" s="64">
        <v>1040798.62</v>
      </c>
      <c r="M616" s="1" t="s">
        <v>272</v>
      </c>
      <c r="N616" s="2"/>
      <c r="O616" s="379"/>
      <c r="P616" s="379"/>
      <c r="Q616" s="379"/>
    </row>
    <row r="617" spans="1:17">
      <c r="A617" s="1" t="s">
        <v>301</v>
      </c>
      <c r="B617" s="2" t="s">
        <v>188</v>
      </c>
      <c r="C617" s="197">
        <v>86646.01</v>
      </c>
      <c r="D617" s="197">
        <v>32821.65</v>
      </c>
      <c r="E617" s="379">
        <f t="shared" si="43"/>
        <v>53824.359999999993</v>
      </c>
      <c r="G617" s="1" t="s">
        <v>301</v>
      </c>
      <c r="H617" s="2" t="s">
        <v>188</v>
      </c>
      <c r="I617" s="197">
        <f t="shared" si="44"/>
        <v>86646.01</v>
      </c>
      <c r="L617" s="64">
        <v>1045474.93</v>
      </c>
      <c r="M617" s="1" t="s">
        <v>266</v>
      </c>
      <c r="N617" s="2"/>
      <c r="O617" s="379"/>
      <c r="P617" s="379"/>
      <c r="Q617" s="379"/>
    </row>
    <row r="618" spans="1:17">
      <c r="A618" s="1" t="s">
        <v>301</v>
      </c>
      <c r="B618" s="2" t="s">
        <v>189</v>
      </c>
      <c r="C618" s="197">
        <v>863752.51</v>
      </c>
      <c r="D618" s="197">
        <v>405783.74</v>
      </c>
      <c r="E618" s="379">
        <f t="shared" si="43"/>
        <v>457968.77</v>
      </c>
      <c r="G618" s="1" t="s">
        <v>301</v>
      </c>
      <c r="H618" s="2" t="s">
        <v>189</v>
      </c>
      <c r="I618" s="197">
        <f t="shared" si="44"/>
        <v>863752.51</v>
      </c>
      <c r="L618" s="64">
        <v>1064837.3500000001</v>
      </c>
      <c r="M618" s="1" t="s">
        <v>264</v>
      </c>
      <c r="N618" s="2"/>
      <c r="O618" s="379"/>
      <c r="P618" s="379"/>
      <c r="Q618" s="379"/>
    </row>
    <row r="619" spans="1:17">
      <c r="A619" s="1" t="s">
        <v>301</v>
      </c>
      <c r="B619" s="2" t="s">
        <v>190</v>
      </c>
      <c r="C619" s="197">
        <v>783872.69</v>
      </c>
      <c r="D619" s="197">
        <v>486116.16</v>
      </c>
      <c r="E619" s="379">
        <f t="shared" si="43"/>
        <v>297756.52999999997</v>
      </c>
      <c r="G619" s="1" t="s">
        <v>301</v>
      </c>
      <c r="H619" s="2" t="s">
        <v>190</v>
      </c>
      <c r="I619" s="197">
        <f t="shared" si="44"/>
        <v>783872.69</v>
      </c>
      <c r="L619" s="64">
        <v>1110309.01</v>
      </c>
      <c r="M619" s="1" t="s">
        <v>264</v>
      </c>
      <c r="N619" s="2"/>
      <c r="O619" s="379"/>
      <c r="P619" s="379"/>
      <c r="Q619" s="379"/>
    </row>
    <row r="620" spans="1:17">
      <c r="A620" s="1" t="s">
        <v>301</v>
      </c>
      <c r="B620" s="2" t="s">
        <v>193</v>
      </c>
      <c r="C620" s="197">
        <v>8071.4</v>
      </c>
      <c r="D620" s="197">
        <v>4947.5600000000004</v>
      </c>
      <c r="E620" s="379">
        <f t="shared" si="43"/>
        <v>3123.8399999999992</v>
      </c>
      <c r="G620" s="1" t="s">
        <v>301</v>
      </c>
      <c r="H620" s="2" t="s">
        <v>193</v>
      </c>
      <c r="I620" s="197">
        <f t="shared" si="44"/>
        <v>8071.4</v>
      </c>
      <c r="L620" s="64">
        <v>1236333.79</v>
      </c>
      <c r="M620" s="1" t="s">
        <v>263</v>
      </c>
      <c r="N620" s="2"/>
      <c r="O620" s="379"/>
      <c r="P620" s="379"/>
      <c r="Q620" s="379"/>
    </row>
    <row r="621" spans="1:17">
      <c r="A621" s="1" t="s">
        <v>301</v>
      </c>
      <c r="B621" s="2" t="s">
        <v>194</v>
      </c>
      <c r="C621" s="197">
        <v>89528.960000000006</v>
      </c>
      <c r="D621" s="197">
        <v>58749.02</v>
      </c>
      <c r="E621" s="379">
        <f t="shared" si="43"/>
        <v>30779.94000000001</v>
      </c>
      <c r="G621" s="1" t="s">
        <v>301</v>
      </c>
      <c r="H621" s="2" t="s">
        <v>194</v>
      </c>
      <c r="I621" s="197">
        <f t="shared" si="44"/>
        <v>89528.960000000006</v>
      </c>
      <c r="L621" s="64">
        <v>1275308.3899999999</v>
      </c>
      <c r="M621" s="1" t="s">
        <v>284</v>
      </c>
      <c r="N621" s="2"/>
      <c r="O621" s="379"/>
      <c r="P621" s="379"/>
      <c r="Q621" s="379"/>
    </row>
    <row r="622" spans="1:17">
      <c r="A622" s="1" t="s">
        <v>301</v>
      </c>
      <c r="B622" s="2" t="s">
        <v>195</v>
      </c>
      <c r="C622" s="197">
        <v>103194.87</v>
      </c>
      <c r="D622" s="197">
        <v>63482.64</v>
      </c>
      <c r="E622" s="379">
        <f t="shared" si="43"/>
        <v>39712.229999999996</v>
      </c>
      <c r="G622" s="1" t="s">
        <v>301</v>
      </c>
      <c r="H622" s="2" t="s">
        <v>195</v>
      </c>
      <c r="I622" s="197">
        <f t="shared" si="44"/>
        <v>103194.87</v>
      </c>
      <c r="L622" s="64">
        <v>1338895.1599999999</v>
      </c>
      <c r="M622" s="1" t="s">
        <v>274</v>
      </c>
      <c r="N622" s="2"/>
      <c r="O622" s="379"/>
      <c r="P622" s="379"/>
      <c r="Q622" s="379"/>
    </row>
    <row r="623" spans="1:17">
      <c r="A623" s="1" t="s">
        <v>301</v>
      </c>
      <c r="B623" s="2" t="s">
        <v>196</v>
      </c>
      <c r="C623" s="197">
        <v>6908.25</v>
      </c>
      <c r="D623" s="197">
        <v>4480.7700000000004</v>
      </c>
      <c r="E623" s="379">
        <f t="shared" si="43"/>
        <v>2427.4799999999996</v>
      </c>
      <c r="G623" s="1" t="s">
        <v>301</v>
      </c>
      <c r="H623" s="2" t="s">
        <v>196</v>
      </c>
      <c r="I623" s="197">
        <f t="shared" si="44"/>
        <v>6908.25</v>
      </c>
      <c r="L623" s="64">
        <v>1393613.85</v>
      </c>
      <c r="M623" s="1" t="s">
        <v>273</v>
      </c>
      <c r="N623" s="2"/>
      <c r="O623" s="379"/>
      <c r="P623" s="379"/>
      <c r="Q623" s="379"/>
    </row>
    <row r="624" spans="1:17">
      <c r="A624" s="1" t="s">
        <v>301</v>
      </c>
      <c r="B624" s="2" t="s">
        <v>198</v>
      </c>
      <c r="C624" s="197">
        <v>13105.51</v>
      </c>
      <c r="D624" s="197">
        <v>18165.39</v>
      </c>
      <c r="E624" s="379">
        <f t="shared" si="43"/>
        <v>-5059.8799999999992</v>
      </c>
      <c r="G624" s="1" t="s">
        <v>301</v>
      </c>
      <c r="H624" s="2" t="s">
        <v>198</v>
      </c>
      <c r="I624" s="197">
        <f t="shared" si="44"/>
        <v>13105.51</v>
      </c>
      <c r="J624" s="64">
        <f>SUM(I616:I624)</f>
        <v>13399151.559999999</v>
      </c>
      <c r="L624" s="64">
        <v>1450886.79</v>
      </c>
      <c r="M624" s="1" t="s">
        <v>270</v>
      </c>
      <c r="N624" s="2"/>
      <c r="O624" s="379"/>
      <c r="P624" s="379"/>
      <c r="Q624" s="379"/>
    </row>
    <row r="625" spans="1:17">
      <c r="A625" s="1" t="s">
        <v>266</v>
      </c>
      <c r="B625" s="2" t="s">
        <v>187</v>
      </c>
      <c r="C625" s="197">
        <v>28754431.57</v>
      </c>
      <c r="D625" s="197">
        <v>17760730.199999999</v>
      </c>
      <c r="E625" s="379">
        <f t="shared" si="43"/>
        <v>10993701.370000001</v>
      </c>
      <c r="G625" s="1" t="s">
        <v>266</v>
      </c>
      <c r="H625" s="2" t="s">
        <v>187</v>
      </c>
      <c r="I625" s="197">
        <f t="shared" si="44"/>
        <v>28754431.57</v>
      </c>
      <c r="L625" s="64">
        <v>1464980.06</v>
      </c>
      <c r="M625" s="1" t="s">
        <v>270</v>
      </c>
      <c r="N625" s="2"/>
      <c r="O625" s="379"/>
      <c r="P625" s="379"/>
      <c r="Q625" s="379"/>
    </row>
    <row r="626" spans="1:17">
      <c r="A626" s="1" t="s">
        <v>266</v>
      </c>
      <c r="B626" s="2" t="s">
        <v>188</v>
      </c>
      <c r="C626" s="197">
        <v>197070.14</v>
      </c>
      <c r="D626" s="197">
        <v>84733.7</v>
      </c>
      <c r="E626" s="379">
        <f t="shared" si="43"/>
        <v>112336.44000000002</v>
      </c>
      <c r="G626" s="1" t="s">
        <v>266</v>
      </c>
      <c r="H626" s="2" t="s">
        <v>188</v>
      </c>
      <c r="I626" s="197">
        <f t="shared" si="44"/>
        <v>197070.14</v>
      </c>
      <c r="L626" s="64">
        <v>1473774.74</v>
      </c>
      <c r="M626" s="1" t="s">
        <v>263</v>
      </c>
      <c r="N626" s="2"/>
      <c r="O626" s="379"/>
      <c r="P626" s="379"/>
      <c r="Q626" s="379"/>
    </row>
    <row r="627" spans="1:17">
      <c r="A627" s="1" t="s">
        <v>266</v>
      </c>
      <c r="B627" s="2" t="s">
        <v>189</v>
      </c>
      <c r="C627" s="197">
        <v>2232231.96</v>
      </c>
      <c r="D627" s="197">
        <v>151719.51999999999</v>
      </c>
      <c r="E627" s="379">
        <f t="shared" si="43"/>
        <v>2080512.44</v>
      </c>
      <c r="G627" s="1" t="s">
        <v>266</v>
      </c>
      <c r="H627" s="2" t="s">
        <v>189</v>
      </c>
      <c r="I627" s="197">
        <f t="shared" si="44"/>
        <v>2232231.96</v>
      </c>
      <c r="L627" s="64">
        <v>1491838.19</v>
      </c>
      <c r="M627" s="1" t="s">
        <v>270</v>
      </c>
      <c r="N627" s="2"/>
      <c r="O627" s="379"/>
      <c r="P627" s="379"/>
      <c r="Q627" s="379"/>
    </row>
    <row r="628" spans="1:17">
      <c r="A628" s="1" t="s">
        <v>266</v>
      </c>
      <c r="B628" s="2" t="s">
        <v>190</v>
      </c>
      <c r="C628" s="197">
        <v>18274545.140000001</v>
      </c>
      <c r="D628" s="197">
        <v>11651680.619999999</v>
      </c>
      <c r="E628" s="379">
        <f t="shared" si="43"/>
        <v>6622864.5200000014</v>
      </c>
      <c r="G628" s="1" t="s">
        <v>266</v>
      </c>
      <c r="H628" s="2" t="s">
        <v>190</v>
      </c>
      <c r="I628" s="197">
        <f t="shared" si="44"/>
        <v>18274545.140000001</v>
      </c>
      <c r="L628" s="64">
        <v>1701473.83</v>
      </c>
      <c r="M628" s="1" t="s">
        <v>279</v>
      </c>
      <c r="N628" s="2"/>
      <c r="O628" s="379"/>
      <c r="P628" s="379"/>
      <c r="Q628" s="379"/>
    </row>
    <row r="629" spans="1:17">
      <c r="A629" s="1" t="s">
        <v>266</v>
      </c>
      <c r="B629" s="2" t="s">
        <v>192</v>
      </c>
      <c r="C629" s="197">
        <v>2685434.79</v>
      </c>
      <c r="D629" s="197">
        <v>2120051.9</v>
      </c>
      <c r="E629" s="379">
        <f t="shared" si="43"/>
        <v>565382.89000000013</v>
      </c>
      <c r="G629" s="1" t="s">
        <v>266</v>
      </c>
      <c r="H629" s="2" t="s">
        <v>192</v>
      </c>
      <c r="I629" s="197">
        <f t="shared" si="44"/>
        <v>2685434.79</v>
      </c>
      <c r="L629" s="64">
        <v>1716171.17</v>
      </c>
      <c r="M629" s="1" t="s">
        <v>284</v>
      </c>
      <c r="N629" s="2"/>
      <c r="O629" s="379"/>
      <c r="P629" s="379"/>
      <c r="Q629" s="379"/>
    </row>
    <row r="630" spans="1:17">
      <c r="A630" s="1" t="s">
        <v>266</v>
      </c>
      <c r="B630" s="2" t="s">
        <v>193</v>
      </c>
      <c r="C630" s="197">
        <v>1045474.93</v>
      </c>
      <c r="D630" s="197">
        <v>632315.28</v>
      </c>
      <c r="E630" s="379">
        <f t="shared" si="43"/>
        <v>413159.65</v>
      </c>
      <c r="G630" s="1" t="s">
        <v>266</v>
      </c>
      <c r="H630" s="2" t="s">
        <v>193</v>
      </c>
      <c r="I630" s="197">
        <f t="shared" si="44"/>
        <v>1045474.93</v>
      </c>
      <c r="L630" s="64">
        <v>1744054.04</v>
      </c>
      <c r="M630" s="1" t="s">
        <v>276</v>
      </c>
      <c r="N630" s="2"/>
      <c r="O630" s="379"/>
      <c r="P630" s="379"/>
      <c r="Q630" s="379"/>
    </row>
    <row r="631" spans="1:17">
      <c r="A631" s="1" t="s">
        <v>266</v>
      </c>
      <c r="B631" s="2" t="s">
        <v>194</v>
      </c>
      <c r="C631" s="197">
        <v>808663.49</v>
      </c>
      <c r="D631" s="197">
        <v>475231.71</v>
      </c>
      <c r="E631" s="379">
        <f t="shared" si="43"/>
        <v>333431.77999999997</v>
      </c>
      <c r="G631" s="1" t="s">
        <v>266</v>
      </c>
      <c r="H631" s="2" t="s">
        <v>194</v>
      </c>
      <c r="I631" s="197">
        <f t="shared" si="44"/>
        <v>808663.49</v>
      </c>
      <c r="L631" s="64">
        <v>1827460.77</v>
      </c>
      <c r="M631" s="1" t="s">
        <v>271</v>
      </c>
      <c r="N631" s="2"/>
      <c r="O631" s="379"/>
      <c r="P631" s="379"/>
      <c r="Q631" s="379"/>
    </row>
    <row r="632" spans="1:17">
      <c r="A632" s="1" t="s">
        <v>266</v>
      </c>
      <c r="B632" s="2" t="s">
        <v>195</v>
      </c>
      <c r="C632" s="197">
        <v>610821.28</v>
      </c>
      <c r="D632" s="197">
        <v>292957.83</v>
      </c>
      <c r="E632" s="379">
        <f t="shared" si="43"/>
        <v>317863.45</v>
      </c>
      <c r="G632" s="1" t="s">
        <v>266</v>
      </c>
      <c r="H632" s="2" t="s">
        <v>195</v>
      </c>
      <c r="I632" s="197">
        <f t="shared" si="44"/>
        <v>610821.28</v>
      </c>
      <c r="L632" s="64">
        <v>1843238.51</v>
      </c>
      <c r="M632" s="1" t="s">
        <v>290</v>
      </c>
      <c r="N632" s="2"/>
      <c r="O632" s="379"/>
      <c r="P632" s="379"/>
      <c r="Q632" s="379"/>
    </row>
    <row r="633" spans="1:17">
      <c r="A633" s="1" t="s">
        <v>266</v>
      </c>
      <c r="B633" s="2" t="s">
        <v>196</v>
      </c>
      <c r="C633" s="197">
        <v>185622.18</v>
      </c>
      <c r="D633" s="197">
        <v>70701.58</v>
      </c>
      <c r="E633" s="379">
        <f t="shared" si="43"/>
        <v>114920.59999999999</v>
      </c>
      <c r="G633" s="1" t="s">
        <v>266</v>
      </c>
      <c r="H633" s="2" t="s">
        <v>196</v>
      </c>
      <c r="I633" s="197">
        <f t="shared" si="44"/>
        <v>185622.18</v>
      </c>
      <c r="L633" s="64">
        <v>1915402.95</v>
      </c>
      <c r="M633" s="1" t="s">
        <v>262</v>
      </c>
      <c r="N633" s="2"/>
      <c r="O633" s="379"/>
      <c r="P633" s="379"/>
      <c r="Q633" s="379"/>
    </row>
    <row r="634" spans="1:17">
      <c r="A634" s="1" t="s">
        <v>266</v>
      </c>
      <c r="B634" s="2" t="s">
        <v>198</v>
      </c>
      <c r="C634" s="197">
        <v>207302.92</v>
      </c>
      <c r="D634" s="197">
        <v>219438.85</v>
      </c>
      <c r="E634" s="379">
        <f t="shared" si="43"/>
        <v>-12135.929999999993</v>
      </c>
      <c r="G634" s="1" t="s">
        <v>266</v>
      </c>
      <c r="H634" s="2" t="s">
        <v>198</v>
      </c>
      <c r="I634" s="197">
        <f t="shared" si="44"/>
        <v>207302.92</v>
      </c>
      <c r="L634" s="64">
        <v>1998460.46</v>
      </c>
      <c r="M634" s="1" t="s">
        <v>262</v>
      </c>
      <c r="N634" s="2"/>
      <c r="O634" s="379"/>
      <c r="P634" s="379"/>
      <c r="Q634" s="379"/>
    </row>
    <row r="635" spans="1:17">
      <c r="A635" s="1" t="s">
        <v>266</v>
      </c>
      <c r="B635" s="2" t="s">
        <v>201</v>
      </c>
      <c r="C635" s="197">
        <v>318139.67</v>
      </c>
      <c r="D635" s="197">
        <v>196031.79</v>
      </c>
      <c r="E635" s="379">
        <f t="shared" si="43"/>
        <v>122107.87999999998</v>
      </c>
      <c r="G635" s="1" t="s">
        <v>266</v>
      </c>
      <c r="H635" s="2" t="s">
        <v>201</v>
      </c>
      <c r="I635" s="197">
        <f t="shared" si="44"/>
        <v>318139.67</v>
      </c>
      <c r="L635" s="64">
        <v>2045559.74</v>
      </c>
      <c r="M635" s="1" t="s">
        <v>287</v>
      </c>
      <c r="N635" s="2"/>
      <c r="O635" s="379"/>
      <c r="P635" s="379"/>
      <c r="Q635" s="379"/>
    </row>
    <row r="636" spans="1:17">
      <c r="A636" s="1" t="s">
        <v>266</v>
      </c>
      <c r="B636" s="2" t="s">
        <v>203</v>
      </c>
      <c r="C636" s="197">
        <v>170034.37</v>
      </c>
      <c r="D636" s="197">
        <v>103924.94</v>
      </c>
      <c r="E636" s="379">
        <f t="shared" si="43"/>
        <v>66109.429999999993</v>
      </c>
      <c r="G636" s="1" t="s">
        <v>266</v>
      </c>
      <c r="H636" s="2" t="s">
        <v>203</v>
      </c>
      <c r="I636" s="197">
        <f t="shared" si="44"/>
        <v>170034.37</v>
      </c>
      <c r="L636" s="64">
        <v>2081566.59</v>
      </c>
      <c r="M636" s="1" t="s">
        <v>273</v>
      </c>
      <c r="N636" s="2"/>
      <c r="O636" s="379"/>
      <c r="P636" s="379"/>
      <c r="Q636" s="379"/>
    </row>
    <row r="637" spans="1:17">
      <c r="A637" s="1" t="s">
        <v>266</v>
      </c>
      <c r="B637" s="2" t="s">
        <v>204</v>
      </c>
      <c r="C637" s="197">
        <v>80565.39</v>
      </c>
      <c r="D637" s="197">
        <v>47847.360000000001</v>
      </c>
      <c r="E637" s="379">
        <f t="shared" si="43"/>
        <v>32718.03</v>
      </c>
      <c r="G637" s="1" t="s">
        <v>266</v>
      </c>
      <c r="H637" s="2" t="s">
        <v>204</v>
      </c>
      <c r="I637" s="197">
        <f t="shared" si="44"/>
        <v>80565.39</v>
      </c>
      <c r="L637" s="64">
        <v>2172637.37</v>
      </c>
      <c r="M637" s="1" t="s">
        <v>273</v>
      </c>
      <c r="N637" s="2"/>
      <c r="O637" s="379"/>
      <c r="P637" s="379"/>
      <c r="Q637" s="379"/>
    </row>
    <row r="638" spans="1:17">
      <c r="A638" s="1" t="s">
        <v>266</v>
      </c>
      <c r="B638" s="2" t="s">
        <v>205</v>
      </c>
      <c r="C638" s="197">
        <v>9385.8700000000008</v>
      </c>
      <c r="D638" s="197">
        <v>4510.21</v>
      </c>
      <c r="E638" s="379">
        <f t="shared" si="43"/>
        <v>4875.6600000000008</v>
      </c>
      <c r="G638" s="1" t="s">
        <v>266</v>
      </c>
      <c r="H638" s="2" t="s">
        <v>205</v>
      </c>
      <c r="I638" s="197">
        <f t="shared" si="44"/>
        <v>9385.8700000000008</v>
      </c>
      <c r="J638" s="64">
        <f>SUM(I625:I638)</f>
        <v>55579723.700000003</v>
      </c>
      <c r="L638" s="64">
        <v>2232231.96</v>
      </c>
      <c r="M638" s="1" t="s">
        <v>266</v>
      </c>
      <c r="N638" s="2"/>
      <c r="O638" s="379"/>
      <c r="P638" s="379"/>
      <c r="Q638" s="379"/>
    </row>
    <row r="639" spans="1:17">
      <c r="A639" s="1" t="s">
        <v>275</v>
      </c>
      <c r="B639" s="2" t="s">
        <v>187</v>
      </c>
      <c r="C639" s="197">
        <v>20855507.050000001</v>
      </c>
      <c r="D639" s="197">
        <v>10286338.529999999</v>
      </c>
      <c r="E639" s="379">
        <f t="shared" si="43"/>
        <v>10569168.520000001</v>
      </c>
      <c r="G639" s="1" t="s">
        <v>275</v>
      </c>
      <c r="H639" s="2" t="s">
        <v>187</v>
      </c>
      <c r="I639" s="197">
        <f t="shared" si="44"/>
        <v>20855507.050000001</v>
      </c>
      <c r="L639" s="64">
        <v>2244885.9300000002</v>
      </c>
      <c r="M639" s="1" t="s">
        <v>272</v>
      </c>
      <c r="N639" s="2"/>
      <c r="O639" s="379"/>
      <c r="P639" s="379"/>
      <c r="Q639" s="379"/>
    </row>
    <row r="640" spans="1:17">
      <c r="A640" s="1" t="s">
        <v>275</v>
      </c>
      <c r="B640" s="2" t="s">
        <v>188</v>
      </c>
      <c r="C640" s="197">
        <v>278425.65999999997</v>
      </c>
      <c r="D640" s="197">
        <v>59367.86</v>
      </c>
      <c r="E640" s="379">
        <f t="shared" si="43"/>
        <v>219057.8</v>
      </c>
      <c r="G640" s="1" t="s">
        <v>275</v>
      </c>
      <c r="H640" s="2" t="s">
        <v>188</v>
      </c>
      <c r="I640" s="197">
        <f t="shared" si="44"/>
        <v>278425.65999999997</v>
      </c>
      <c r="L640" s="64">
        <v>2274534.81</v>
      </c>
      <c r="M640" s="1" t="s">
        <v>278</v>
      </c>
      <c r="N640" s="2"/>
      <c r="O640" s="379"/>
      <c r="P640" s="379"/>
      <c r="Q640" s="379"/>
    </row>
    <row r="641" spans="1:17">
      <c r="A641" s="1" t="s">
        <v>275</v>
      </c>
      <c r="B641" s="2" t="s">
        <v>189</v>
      </c>
      <c r="C641" s="197">
        <v>1034597.38</v>
      </c>
      <c r="D641" s="197">
        <v>81638.61</v>
      </c>
      <c r="E641" s="379">
        <f t="shared" si="43"/>
        <v>952958.77</v>
      </c>
      <c r="G641" s="1" t="s">
        <v>275</v>
      </c>
      <c r="H641" s="2" t="s">
        <v>189</v>
      </c>
      <c r="I641" s="197">
        <f t="shared" si="44"/>
        <v>1034597.38</v>
      </c>
      <c r="L641" s="64">
        <v>2310093.84</v>
      </c>
      <c r="M641" s="1" t="s">
        <v>264</v>
      </c>
      <c r="N641" s="2"/>
      <c r="O641" s="379"/>
      <c r="P641" s="379"/>
      <c r="Q641" s="379"/>
    </row>
    <row r="642" spans="1:17">
      <c r="A642" s="1" t="s">
        <v>275</v>
      </c>
      <c r="B642" s="2" t="s">
        <v>190</v>
      </c>
      <c r="C642" s="197">
        <v>5780345.0300000003</v>
      </c>
      <c r="D642" s="197">
        <v>3668622.36</v>
      </c>
      <c r="E642" s="379">
        <f t="shared" si="43"/>
        <v>2111722.6700000004</v>
      </c>
      <c r="G642" s="1" t="s">
        <v>275</v>
      </c>
      <c r="H642" s="2" t="s">
        <v>190</v>
      </c>
      <c r="I642" s="197">
        <f t="shared" si="44"/>
        <v>5780345.0300000003</v>
      </c>
      <c r="L642" s="64">
        <v>2348350.2999999998</v>
      </c>
      <c r="M642" s="1" t="s">
        <v>263</v>
      </c>
      <c r="N642" s="2"/>
      <c r="O642" s="379"/>
      <c r="P642" s="379"/>
      <c r="Q642" s="379"/>
    </row>
    <row r="643" spans="1:17">
      <c r="A643" s="1" t="s">
        <v>275</v>
      </c>
      <c r="B643" s="2" t="s">
        <v>192</v>
      </c>
      <c r="C643" s="197">
        <v>555135.03</v>
      </c>
      <c r="D643" s="197">
        <v>216939.56</v>
      </c>
      <c r="E643" s="379">
        <f t="shared" si="43"/>
        <v>338195.47000000003</v>
      </c>
      <c r="G643" s="1" t="s">
        <v>275</v>
      </c>
      <c r="H643" s="2" t="s">
        <v>192</v>
      </c>
      <c r="I643" s="197">
        <f t="shared" si="44"/>
        <v>555135.03</v>
      </c>
      <c r="L643" s="64">
        <v>2384201.14</v>
      </c>
      <c r="M643" s="1" t="s">
        <v>265</v>
      </c>
      <c r="N643" s="2"/>
      <c r="O643" s="379"/>
      <c r="P643" s="379"/>
      <c r="Q643" s="379"/>
    </row>
    <row r="644" spans="1:17">
      <c r="A644" s="1" t="s">
        <v>275</v>
      </c>
      <c r="B644" s="2" t="s">
        <v>193</v>
      </c>
      <c r="C644" s="197">
        <v>351884.63</v>
      </c>
      <c r="D644" s="197">
        <v>204708.82</v>
      </c>
      <c r="E644" s="379">
        <f t="shared" si="43"/>
        <v>147175.81</v>
      </c>
      <c r="G644" s="1" t="s">
        <v>275</v>
      </c>
      <c r="H644" s="2" t="s">
        <v>193</v>
      </c>
      <c r="I644" s="197">
        <f t="shared" si="44"/>
        <v>351884.63</v>
      </c>
      <c r="L644" s="64">
        <v>2513815.39</v>
      </c>
      <c r="M644" s="1" t="s">
        <v>273</v>
      </c>
      <c r="N644" s="2"/>
      <c r="O644" s="379"/>
      <c r="P644" s="379"/>
      <c r="Q644" s="379"/>
    </row>
    <row r="645" spans="1:17">
      <c r="A645" s="1" t="s">
        <v>275</v>
      </c>
      <c r="B645" s="2" t="s">
        <v>194</v>
      </c>
      <c r="C645" s="197">
        <v>227869.08</v>
      </c>
      <c r="D645" s="197">
        <v>126105.95</v>
      </c>
      <c r="E645" s="379">
        <f t="shared" si="43"/>
        <v>101763.12999999999</v>
      </c>
      <c r="G645" s="1" t="s">
        <v>275</v>
      </c>
      <c r="H645" s="2" t="s">
        <v>194</v>
      </c>
      <c r="I645" s="197">
        <f t="shared" si="44"/>
        <v>227869.08</v>
      </c>
      <c r="L645" s="64">
        <v>2685434.79</v>
      </c>
      <c r="M645" s="1" t="s">
        <v>266</v>
      </c>
      <c r="N645" s="2"/>
      <c r="O645" s="379"/>
      <c r="P645" s="379"/>
      <c r="Q645" s="379"/>
    </row>
    <row r="646" spans="1:17">
      <c r="A646" s="1" t="s">
        <v>275</v>
      </c>
      <c r="B646" s="2" t="s">
        <v>195</v>
      </c>
      <c r="C646" s="197">
        <v>765485.8</v>
      </c>
      <c r="D646" s="197">
        <v>358042.11</v>
      </c>
      <c r="E646" s="379">
        <f t="shared" si="43"/>
        <v>407443.69000000006</v>
      </c>
      <c r="G646" s="1" t="s">
        <v>275</v>
      </c>
      <c r="H646" s="2" t="s">
        <v>195</v>
      </c>
      <c r="I646" s="197">
        <f t="shared" si="44"/>
        <v>765485.8</v>
      </c>
      <c r="L646" s="64">
        <v>2783592.47</v>
      </c>
      <c r="M646" s="1" t="s">
        <v>270</v>
      </c>
      <c r="N646" s="2"/>
      <c r="O646" s="379"/>
      <c r="P646" s="379"/>
      <c r="Q646" s="379"/>
    </row>
    <row r="647" spans="1:17">
      <c r="A647" s="1" t="s">
        <v>275</v>
      </c>
      <c r="B647" s="2" t="s">
        <v>196</v>
      </c>
      <c r="C647" s="197">
        <v>172604.51</v>
      </c>
      <c r="D647" s="197">
        <v>83640.320000000007</v>
      </c>
      <c r="E647" s="379">
        <f t="shared" si="43"/>
        <v>88964.19</v>
      </c>
      <c r="G647" s="1" t="s">
        <v>275</v>
      </c>
      <c r="H647" s="2" t="s">
        <v>196</v>
      </c>
      <c r="I647" s="197">
        <f t="shared" si="44"/>
        <v>172604.51</v>
      </c>
      <c r="L647" s="64">
        <v>2952795.08</v>
      </c>
      <c r="M647" s="1" t="s">
        <v>1159</v>
      </c>
      <c r="N647" s="2"/>
      <c r="O647" s="379"/>
      <c r="P647" s="379"/>
      <c r="Q647" s="379"/>
    </row>
    <row r="648" spans="1:17">
      <c r="A648" s="1" t="s">
        <v>275</v>
      </c>
      <c r="B648" s="2" t="s">
        <v>198</v>
      </c>
      <c r="C648" s="197">
        <v>136123.63</v>
      </c>
      <c r="D648" s="197">
        <v>154131.54999999999</v>
      </c>
      <c r="E648" s="379">
        <f t="shared" si="43"/>
        <v>-18007.919999999984</v>
      </c>
      <c r="G648" s="1" t="s">
        <v>275</v>
      </c>
      <c r="H648" s="2" t="s">
        <v>198</v>
      </c>
      <c r="I648" s="197">
        <f t="shared" si="44"/>
        <v>136123.63</v>
      </c>
      <c r="L648" s="64">
        <v>3392816.07</v>
      </c>
      <c r="M648" s="1" t="s">
        <v>270</v>
      </c>
      <c r="N648" s="2"/>
      <c r="O648" s="379"/>
      <c r="P648" s="379"/>
      <c r="Q648" s="379"/>
    </row>
    <row r="649" spans="1:17">
      <c r="A649" s="1" t="s">
        <v>275</v>
      </c>
      <c r="B649" s="2" t="s">
        <v>200</v>
      </c>
      <c r="C649" s="197">
        <v>2071.09</v>
      </c>
      <c r="D649" s="197">
        <v>964.65</v>
      </c>
      <c r="E649" s="379">
        <f t="shared" si="43"/>
        <v>1106.44</v>
      </c>
      <c r="G649" s="1" t="s">
        <v>275</v>
      </c>
      <c r="H649" s="2" t="s">
        <v>200</v>
      </c>
      <c r="I649" s="197">
        <f t="shared" si="44"/>
        <v>2071.09</v>
      </c>
      <c r="L649" s="64">
        <v>3467645.31</v>
      </c>
      <c r="M649" s="1" t="s">
        <v>270</v>
      </c>
      <c r="N649" s="2"/>
      <c r="O649" s="379"/>
      <c r="P649" s="379"/>
      <c r="Q649" s="379"/>
    </row>
    <row r="650" spans="1:17">
      <c r="A650" s="1" t="s">
        <v>275</v>
      </c>
      <c r="B650" s="2" t="s">
        <v>201</v>
      </c>
      <c r="C650" s="197">
        <v>90754.09</v>
      </c>
      <c r="D650" s="197">
        <v>104447.99</v>
      </c>
      <c r="E650" s="379">
        <f t="shared" si="43"/>
        <v>-13693.900000000009</v>
      </c>
      <c r="G650" s="1" t="s">
        <v>275</v>
      </c>
      <c r="H650" s="2" t="s">
        <v>201</v>
      </c>
      <c r="I650" s="197">
        <f t="shared" si="44"/>
        <v>90754.09</v>
      </c>
      <c r="L650" s="64">
        <v>3550742.48</v>
      </c>
      <c r="M650" s="1" t="s">
        <v>264</v>
      </c>
      <c r="N650" s="2"/>
      <c r="O650" s="379"/>
      <c r="P650" s="379"/>
      <c r="Q650" s="379"/>
    </row>
    <row r="651" spans="1:17">
      <c r="A651" s="1" t="s">
        <v>275</v>
      </c>
      <c r="B651" s="2" t="s">
        <v>203</v>
      </c>
      <c r="C651" s="197">
        <v>25918.77</v>
      </c>
      <c r="D651" s="197">
        <v>18084.169999999998</v>
      </c>
      <c r="E651" s="379">
        <f t="shared" si="43"/>
        <v>7834.6000000000022</v>
      </c>
      <c r="G651" s="1" t="s">
        <v>275</v>
      </c>
      <c r="H651" s="2" t="s">
        <v>203</v>
      </c>
      <c r="I651" s="197">
        <f t="shared" si="44"/>
        <v>25918.77</v>
      </c>
      <c r="L651" s="64">
        <v>3991796.16</v>
      </c>
      <c r="M651" s="1" t="s">
        <v>281</v>
      </c>
      <c r="N651" s="2"/>
      <c r="O651" s="379"/>
      <c r="P651" s="379"/>
      <c r="Q651" s="379"/>
    </row>
    <row r="652" spans="1:17">
      <c r="A652" s="1" t="s">
        <v>275</v>
      </c>
      <c r="B652" s="2" t="s">
        <v>204</v>
      </c>
      <c r="C652" s="197">
        <v>134147.67000000001</v>
      </c>
      <c r="D652" s="197">
        <v>92322.15</v>
      </c>
      <c r="E652" s="379">
        <f t="shared" si="43"/>
        <v>41825.520000000019</v>
      </c>
      <c r="G652" s="1" t="s">
        <v>275</v>
      </c>
      <c r="H652" s="2" t="s">
        <v>204</v>
      </c>
      <c r="I652" s="197">
        <f t="shared" si="44"/>
        <v>134147.67000000001</v>
      </c>
      <c r="L652" s="64">
        <v>4025384.62</v>
      </c>
      <c r="M652" s="1" t="s">
        <v>276</v>
      </c>
      <c r="N652" s="2"/>
      <c r="O652" s="379"/>
      <c r="P652" s="379"/>
      <c r="Q652" s="379"/>
    </row>
    <row r="653" spans="1:17">
      <c r="A653" s="1" t="s">
        <v>275</v>
      </c>
      <c r="B653" s="2" t="s">
        <v>205</v>
      </c>
      <c r="C653" s="197">
        <v>4221.92</v>
      </c>
      <c r="D653" s="197">
        <v>-2006.88</v>
      </c>
      <c r="E653" s="379">
        <f t="shared" si="43"/>
        <v>6228.8</v>
      </c>
      <c r="G653" s="1" t="s">
        <v>275</v>
      </c>
      <c r="H653" s="2" t="s">
        <v>205</v>
      </c>
      <c r="I653" s="197">
        <f t="shared" si="44"/>
        <v>4221.92</v>
      </c>
      <c r="J653" s="64">
        <f>SUM(I639:I653)</f>
        <v>30415091.340000004</v>
      </c>
      <c r="L653" s="64">
        <v>4064919.31</v>
      </c>
      <c r="M653" s="1" t="s">
        <v>268</v>
      </c>
      <c r="N653" s="2"/>
      <c r="O653" s="379"/>
      <c r="P653" s="379"/>
      <c r="Q653" s="379"/>
    </row>
    <row r="654" spans="1:17">
      <c r="A654" s="1" t="s">
        <v>281</v>
      </c>
      <c r="B654" s="2" t="s">
        <v>187</v>
      </c>
      <c r="C654" s="197">
        <v>3991796.16</v>
      </c>
      <c r="D654" s="197">
        <v>712167.29</v>
      </c>
      <c r="E654" s="379">
        <f t="shared" si="43"/>
        <v>3279628.87</v>
      </c>
      <c r="G654" s="1" t="s">
        <v>281</v>
      </c>
      <c r="H654" s="2" t="s">
        <v>187</v>
      </c>
      <c r="I654" s="197">
        <f t="shared" si="44"/>
        <v>3991796.16</v>
      </c>
      <c r="L654" s="64">
        <v>4192101.35</v>
      </c>
      <c r="M654" s="1" t="s">
        <v>264</v>
      </c>
      <c r="N654" s="2"/>
      <c r="O654" s="379"/>
      <c r="P654" s="379"/>
      <c r="Q654" s="379"/>
    </row>
    <row r="655" spans="1:17">
      <c r="A655" s="1" t="s">
        <v>281</v>
      </c>
      <c r="B655" s="2" t="s">
        <v>189</v>
      </c>
      <c r="C655" s="197">
        <v>571856.06999999995</v>
      </c>
      <c r="D655" s="197">
        <v>96633.81</v>
      </c>
      <c r="E655" s="379">
        <f t="shared" si="43"/>
        <v>475222.25999999995</v>
      </c>
      <c r="G655" s="1" t="s">
        <v>281</v>
      </c>
      <c r="H655" s="2" t="s">
        <v>189</v>
      </c>
      <c r="I655" s="197">
        <f t="shared" si="44"/>
        <v>571856.06999999995</v>
      </c>
      <c r="J655" s="64">
        <f>I655+I654</f>
        <v>4563652.2300000004</v>
      </c>
      <c r="L655" s="64">
        <v>5127158.29</v>
      </c>
      <c r="M655" s="1" t="s">
        <v>279</v>
      </c>
      <c r="N655" s="2"/>
      <c r="O655" s="379"/>
      <c r="P655" s="379"/>
      <c r="Q655" s="379"/>
    </row>
    <row r="656" spans="1:17">
      <c r="A656" s="1" t="s">
        <v>276</v>
      </c>
      <c r="B656" s="2" t="s">
        <v>187</v>
      </c>
      <c r="C656" s="197">
        <v>31885022.190000001</v>
      </c>
      <c r="D656" s="197">
        <v>13263906.09</v>
      </c>
      <c r="E656" s="379">
        <f t="shared" si="43"/>
        <v>18621116.100000001</v>
      </c>
      <c r="G656" s="1" t="s">
        <v>276</v>
      </c>
      <c r="H656" s="2" t="s">
        <v>187</v>
      </c>
      <c r="I656" s="197">
        <f t="shared" si="44"/>
        <v>31885022.190000001</v>
      </c>
      <c r="L656" s="64">
        <v>5391301.9100000001</v>
      </c>
      <c r="M656" s="1" t="s">
        <v>290</v>
      </c>
      <c r="N656" s="2"/>
      <c r="O656" s="379"/>
      <c r="P656" s="379"/>
      <c r="Q656" s="379"/>
    </row>
    <row r="657" spans="1:17">
      <c r="A657" s="1" t="s">
        <v>276</v>
      </c>
      <c r="B657" s="2" t="s">
        <v>188</v>
      </c>
      <c r="C657" s="197">
        <v>521258.38</v>
      </c>
      <c r="D657" s="197">
        <v>173163.15</v>
      </c>
      <c r="E657" s="379">
        <f t="shared" si="43"/>
        <v>348095.23</v>
      </c>
      <c r="G657" s="1" t="s">
        <v>276</v>
      </c>
      <c r="H657" s="2" t="s">
        <v>188</v>
      </c>
      <c r="I657" s="197">
        <f t="shared" si="44"/>
        <v>521258.38</v>
      </c>
      <c r="L657" s="64">
        <v>5521585.04</v>
      </c>
      <c r="M657" s="1" t="s">
        <v>265</v>
      </c>
      <c r="N657" s="2"/>
      <c r="O657" s="379"/>
      <c r="P657" s="379"/>
      <c r="Q657" s="379"/>
    </row>
    <row r="658" spans="1:17">
      <c r="A658" s="1" t="s">
        <v>276</v>
      </c>
      <c r="B658" s="2" t="s">
        <v>189</v>
      </c>
      <c r="C658" s="197">
        <v>245478.98</v>
      </c>
      <c r="D658" s="197">
        <v>23811.119999999999</v>
      </c>
      <c r="E658" s="379">
        <f t="shared" si="43"/>
        <v>221667.86000000002</v>
      </c>
      <c r="G658" s="1" t="s">
        <v>276</v>
      </c>
      <c r="H658" s="2" t="s">
        <v>189</v>
      </c>
      <c r="I658" s="197">
        <f t="shared" si="44"/>
        <v>245478.98</v>
      </c>
      <c r="L658" s="64">
        <v>5636293.9500000002</v>
      </c>
      <c r="M658" s="1" t="s">
        <v>293</v>
      </c>
      <c r="N658" s="2"/>
      <c r="O658" s="379"/>
      <c r="P658" s="379"/>
      <c r="Q658" s="379"/>
    </row>
    <row r="659" spans="1:17">
      <c r="A659" s="1" t="s">
        <v>276</v>
      </c>
      <c r="B659" s="2" t="s">
        <v>190</v>
      </c>
      <c r="C659" s="197">
        <v>23622513.98</v>
      </c>
      <c r="D659" s="197">
        <v>11784697.560000001</v>
      </c>
      <c r="E659" s="379">
        <f t="shared" ref="E659:E701" si="45">C659-D659</f>
        <v>11837816.42</v>
      </c>
      <c r="G659" s="1" t="s">
        <v>276</v>
      </c>
      <c r="H659" s="2" t="s">
        <v>190</v>
      </c>
      <c r="I659" s="197">
        <f t="shared" si="44"/>
        <v>23622513.98</v>
      </c>
      <c r="L659" s="64">
        <v>5642340.2400000002</v>
      </c>
      <c r="M659" s="1" t="s">
        <v>263</v>
      </c>
      <c r="N659" s="2"/>
      <c r="O659" s="379"/>
      <c r="P659" s="379"/>
      <c r="Q659" s="379"/>
    </row>
    <row r="660" spans="1:17">
      <c r="A660" s="1" t="s">
        <v>276</v>
      </c>
      <c r="B660" s="2" t="s">
        <v>191</v>
      </c>
      <c r="C660" s="197">
        <v>22700.59</v>
      </c>
      <c r="D660" s="197">
        <v>14254.92</v>
      </c>
      <c r="E660" s="379">
        <f t="shared" si="45"/>
        <v>8445.67</v>
      </c>
      <c r="G660" s="1" t="s">
        <v>276</v>
      </c>
      <c r="H660" s="2" t="s">
        <v>191</v>
      </c>
      <c r="I660" s="197">
        <f t="shared" si="44"/>
        <v>22700.59</v>
      </c>
      <c r="L660" s="64">
        <v>5724043.2800000003</v>
      </c>
      <c r="M660" s="1" t="s">
        <v>264</v>
      </c>
      <c r="N660" s="2"/>
      <c r="O660" s="379"/>
      <c r="P660" s="379"/>
      <c r="Q660" s="379"/>
    </row>
    <row r="661" spans="1:17">
      <c r="A661" s="1" t="s">
        <v>276</v>
      </c>
      <c r="B661" s="2" t="s">
        <v>192</v>
      </c>
      <c r="C661" s="197">
        <v>4025384.62</v>
      </c>
      <c r="D661" s="197">
        <v>2033115.59</v>
      </c>
      <c r="E661" s="379">
        <f t="shared" si="45"/>
        <v>1992269.03</v>
      </c>
      <c r="G661" s="1" t="s">
        <v>276</v>
      </c>
      <c r="H661" s="2" t="s">
        <v>192</v>
      </c>
      <c r="I661" s="197">
        <f t="shared" ref="I661:I701" si="46">C661</f>
        <v>4025384.62</v>
      </c>
      <c r="L661" s="64">
        <v>5780345.0300000003</v>
      </c>
      <c r="M661" s="1" t="s">
        <v>275</v>
      </c>
      <c r="N661" s="2"/>
      <c r="O661" s="379"/>
      <c r="P661" s="379"/>
      <c r="Q661" s="379"/>
    </row>
    <row r="662" spans="1:17">
      <c r="A662" s="1" t="s">
        <v>276</v>
      </c>
      <c r="B662" s="2" t="s">
        <v>193</v>
      </c>
      <c r="C662" s="197">
        <v>648238.15</v>
      </c>
      <c r="D662" s="197">
        <v>269880.86</v>
      </c>
      <c r="E662" s="379">
        <f t="shared" si="45"/>
        <v>378357.29000000004</v>
      </c>
      <c r="G662" s="1" t="s">
        <v>276</v>
      </c>
      <c r="H662" s="2" t="s">
        <v>193</v>
      </c>
      <c r="I662" s="197">
        <f t="shared" si="46"/>
        <v>648238.15</v>
      </c>
      <c r="L662" s="64">
        <v>6530752.0800000001</v>
      </c>
      <c r="M662" s="1" t="s">
        <v>273</v>
      </c>
      <c r="N662" s="2"/>
      <c r="O662" s="379"/>
      <c r="P662" s="379"/>
      <c r="Q662" s="379"/>
    </row>
    <row r="663" spans="1:17">
      <c r="A663" s="1" t="s">
        <v>276</v>
      </c>
      <c r="B663" s="2" t="s">
        <v>194</v>
      </c>
      <c r="C663" s="197">
        <v>1744054.04</v>
      </c>
      <c r="D663" s="197">
        <v>924498.41</v>
      </c>
      <c r="E663" s="379">
        <f t="shared" si="45"/>
        <v>819555.63</v>
      </c>
      <c r="G663" s="1" t="s">
        <v>276</v>
      </c>
      <c r="H663" s="2" t="s">
        <v>194</v>
      </c>
      <c r="I663" s="197">
        <f t="shared" si="46"/>
        <v>1744054.04</v>
      </c>
      <c r="L663" s="64">
        <v>6555546.2599999998</v>
      </c>
      <c r="M663" s="1" t="s">
        <v>282</v>
      </c>
      <c r="N663" s="2"/>
      <c r="O663" s="379"/>
      <c r="P663" s="379"/>
      <c r="Q663" s="379"/>
    </row>
    <row r="664" spans="1:17">
      <c r="A664" s="1" t="s">
        <v>276</v>
      </c>
      <c r="B664" s="2" t="s">
        <v>195</v>
      </c>
      <c r="C664" s="197">
        <v>292371.82</v>
      </c>
      <c r="D664" s="197">
        <v>128687.44</v>
      </c>
      <c r="E664" s="379">
        <f t="shared" si="45"/>
        <v>163684.38</v>
      </c>
      <c r="G664" s="1" t="s">
        <v>276</v>
      </c>
      <c r="H664" s="2" t="s">
        <v>195</v>
      </c>
      <c r="I664" s="197">
        <f t="shared" si="46"/>
        <v>292371.82</v>
      </c>
      <c r="L664" s="64">
        <v>6584165.3300000001</v>
      </c>
      <c r="M664" s="1" t="s">
        <v>286</v>
      </c>
      <c r="N664" s="2"/>
      <c r="O664" s="379"/>
      <c r="P664" s="379"/>
      <c r="Q664" s="379"/>
    </row>
    <row r="665" spans="1:17">
      <c r="A665" s="1" t="s">
        <v>276</v>
      </c>
      <c r="B665" s="2" t="s">
        <v>196</v>
      </c>
      <c r="C665" s="197">
        <v>238951.66</v>
      </c>
      <c r="D665" s="197">
        <v>82224.81</v>
      </c>
      <c r="E665" s="379">
        <f t="shared" si="45"/>
        <v>156726.85</v>
      </c>
      <c r="G665" s="1" t="s">
        <v>276</v>
      </c>
      <c r="H665" s="2" t="s">
        <v>196</v>
      </c>
      <c r="I665" s="197">
        <f t="shared" si="46"/>
        <v>238951.66</v>
      </c>
      <c r="L665" s="64">
        <v>6780180.3499999996</v>
      </c>
      <c r="M665" s="1" t="s">
        <v>274</v>
      </c>
      <c r="N665" s="2"/>
      <c r="O665" s="379"/>
      <c r="P665" s="379"/>
      <c r="Q665" s="379"/>
    </row>
    <row r="666" spans="1:17">
      <c r="A666" s="1" t="s">
        <v>276</v>
      </c>
      <c r="B666" s="2" t="s">
        <v>198</v>
      </c>
      <c r="C666" s="197">
        <v>364587.54</v>
      </c>
      <c r="D666" s="197">
        <v>233813.49</v>
      </c>
      <c r="E666" s="379">
        <f t="shared" si="45"/>
        <v>130774.04999999999</v>
      </c>
      <c r="G666" s="1" t="s">
        <v>276</v>
      </c>
      <c r="H666" s="2" t="s">
        <v>198</v>
      </c>
      <c r="I666" s="197">
        <f t="shared" si="46"/>
        <v>364587.54</v>
      </c>
      <c r="L666" s="64">
        <v>7206260.2699999996</v>
      </c>
      <c r="M666" s="1" t="s">
        <v>269</v>
      </c>
      <c r="N666" s="2"/>
      <c r="O666" s="379"/>
      <c r="P666" s="379"/>
      <c r="Q666" s="379"/>
    </row>
    <row r="667" spans="1:17">
      <c r="A667" s="1" t="s">
        <v>276</v>
      </c>
      <c r="B667" s="2" t="s">
        <v>201</v>
      </c>
      <c r="C667" s="197">
        <v>156932.85</v>
      </c>
      <c r="D667" s="197">
        <v>67220.42</v>
      </c>
      <c r="E667" s="379">
        <f t="shared" si="45"/>
        <v>89712.430000000008</v>
      </c>
      <c r="G667" s="1" t="s">
        <v>276</v>
      </c>
      <c r="H667" s="2" t="s">
        <v>201</v>
      </c>
      <c r="I667" s="197">
        <f t="shared" si="46"/>
        <v>156932.85</v>
      </c>
      <c r="L667" s="64">
        <v>7426798.8200000003</v>
      </c>
      <c r="M667" s="1" t="s">
        <v>264</v>
      </c>
      <c r="N667" s="2"/>
      <c r="O667" s="379"/>
      <c r="P667" s="379"/>
      <c r="Q667" s="379"/>
    </row>
    <row r="668" spans="1:17">
      <c r="A668" s="1" t="s">
        <v>276</v>
      </c>
      <c r="B668" s="2" t="s">
        <v>203</v>
      </c>
      <c r="C668" s="197">
        <v>9538.34</v>
      </c>
      <c r="D668" s="197">
        <v>-14114.78</v>
      </c>
      <c r="E668" s="379">
        <f t="shared" si="45"/>
        <v>23653.120000000003</v>
      </c>
      <c r="G668" s="1" t="s">
        <v>276</v>
      </c>
      <c r="H668" s="2" t="s">
        <v>203</v>
      </c>
      <c r="I668" s="197">
        <f t="shared" si="46"/>
        <v>9538.34</v>
      </c>
      <c r="L668" s="64">
        <v>9061216.75</v>
      </c>
      <c r="M668" s="1" t="s">
        <v>264</v>
      </c>
      <c r="N668" s="2"/>
      <c r="O668" s="379"/>
      <c r="P668" s="379"/>
      <c r="Q668" s="379"/>
    </row>
    <row r="669" spans="1:17">
      <c r="A669" s="1" t="s">
        <v>276</v>
      </c>
      <c r="B669" s="2" t="s">
        <v>204</v>
      </c>
      <c r="C669" s="197">
        <v>158101.32999999999</v>
      </c>
      <c r="D669" s="197">
        <v>149922.79</v>
      </c>
      <c r="E669" s="379">
        <f t="shared" si="45"/>
        <v>8178.539999999979</v>
      </c>
      <c r="G669" s="1" t="s">
        <v>276</v>
      </c>
      <c r="H669" s="2" t="s">
        <v>204</v>
      </c>
      <c r="I669" s="197">
        <f t="shared" si="46"/>
        <v>158101.32999999999</v>
      </c>
      <c r="L669" s="64">
        <v>9349290.0199999996</v>
      </c>
      <c r="M669" s="1" t="s">
        <v>262</v>
      </c>
      <c r="N669" s="2"/>
      <c r="O669" s="379"/>
      <c r="P669" s="379"/>
      <c r="Q669" s="379"/>
    </row>
    <row r="670" spans="1:17">
      <c r="A670" s="1" t="s">
        <v>276</v>
      </c>
      <c r="B670" s="2" t="s">
        <v>205</v>
      </c>
      <c r="C670" s="197">
        <v>141867.37</v>
      </c>
      <c r="D670" s="197">
        <v>117121.9</v>
      </c>
      <c r="E670" s="379">
        <f t="shared" si="45"/>
        <v>24745.47</v>
      </c>
      <c r="G670" s="1" t="s">
        <v>276</v>
      </c>
      <c r="H670" s="2" t="s">
        <v>205</v>
      </c>
      <c r="I670" s="197">
        <f t="shared" si="46"/>
        <v>141867.37</v>
      </c>
      <c r="J670" s="64">
        <f>SUM(I656:I670)</f>
        <v>64077001.839999996</v>
      </c>
      <c r="L670" s="64">
        <v>9418138.7200000007</v>
      </c>
      <c r="M670" s="1" t="s">
        <v>285</v>
      </c>
      <c r="N670" s="2"/>
      <c r="O670" s="379"/>
      <c r="P670" s="379"/>
      <c r="Q670" s="379"/>
    </row>
    <row r="671" spans="1:17">
      <c r="A671" s="1" t="s">
        <v>282</v>
      </c>
      <c r="B671" s="2" t="s">
        <v>187</v>
      </c>
      <c r="C671" s="197">
        <v>6555546.2599999998</v>
      </c>
      <c r="D671" s="197">
        <v>2462283.39</v>
      </c>
      <c r="E671" s="379">
        <f t="shared" si="45"/>
        <v>4093262.8699999996</v>
      </c>
      <c r="G671" s="1" t="s">
        <v>282</v>
      </c>
      <c r="H671" s="2" t="s">
        <v>187</v>
      </c>
      <c r="I671" s="197">
        <f t="shared" si="46"/>
        <v>6555546.2599999998</v>
      </c>
      <c r="L671" s="64">
        <v>10142142.449999999</v>
      </c>
      <c r="M671" s="1" t="s">
        <v>300</v>
      </c>
      <c r="N671" s="2"/>
      <c r="O671" s="379"/>
      <c r="P671" s="379"/>
      <c r="Q671" s="379"/>
    </row>
    <row r="672" spans="1:17">
      <c r="A672" s="1" t="s">
        <v>282</v>
      </c>
      <c r="B672" s="2" t="s">
        <v>188</v>
      </c>
      <c r="C672" s="197">
        <v>49506.23</v>
      </c>
      <c r="D672" s="197">
        <v>27422.71</v>
      </c>
      <c r="E672" s="379">
        <f t="shared" si="45"/>
        <v>22083.520000000004</v>
      </c>
      <c r="G672" s="1" t="s">
        <v>282</v>
      </c>
      <c r="H672" s="2" t="s">
        <v>188</v>
      </c>
      <c r="I672" s="197">
        <f t="shared" si="46"/>
        <v>49506.23</v>
      </c>
      <c r="L672" s="64">
        <v>11068251.93</v>
      </c>
      <c r="M672" s="1" t="s">
        <v>274</v>
      </c>
      <c r="N672" s="2"/>
      <c r="O672" s="379"/>
      <c r="P672" s="379"/>
      <c r="Q672" s="379"/>
    </row>
    <row r="673" spans="1:17">
      <c r="A673" s="1" t="s">
        <v>282</v>
      </c>
      <c r="B673" s="2" t="s">
        <v>189</v>
      </c>
      <c r="C673" s="197">
        <v>79312.25</v>
      </c>
      <c r="D673" s="197">
        <v>53787.67</v>
      </c>
      <c r="E673" s="379">
        <f t="shared" si="45"/>
        <v>25524.58</v>
      </c>
      <c r="G673" s="1" t="s">
        <v>282</v>
      </c>
      <c r="H673" s="2" t="s">
        <v>189</v>
      </c>
      <c r="I673" s="197">
        <f t="shared" si="46"/>
        <v>79312.25</v>
      </c>
      <c r="L673" s="64">
        <v>11444071.359999999</v>
      </c>
      <c r="M673" s="1" t="s">
        <v>301</v>
      </c>
      <c r="N673" s="2"/>
      <c r="O673" s="379"/>
      <c r="P673" s="379"/>
      <c r="Q673" s="379"/>
    </row>
    <row r="674" spans="1:17">
      <c r="A674" s="1" t="s">
        <v>282</v>
      </c>
      <c r="B674" s="2" t="s">
        <v>190</v>
      </c>
      <c r="C674" s="197">
        <v>160096.31</v>
      </c>
      <c r="D674" s="197">
        <v>129229.52</v>
      </c>
      <c r="E674" s="379">
        <f t="shared" si="45"/>
        <v>30866.789999999994</v>
      </c>
      <c r="G674" s="1" t="s">
        <v>282</v>
      </c>
      <c r="H674" s="2" t="s">
        <v>190</v>
      </c>
      <c r="I674" s="197">
        <f t="shared" si="46"/>
        <v>160096.31</v>
      </c>
      <c r="L674" s="64">
        <v>13026290.949999999</v>
      </c>
      <c r="M674" s="1" t="s">
        <v>280</v>
      </c>
      <c r="N674" s="2"/>
      <c r="O674" s="379"/>
      <c r="P674" s="379"/>
      <c r="Q674" s="379"/>
    </row>
    <row r="675" spans="1:17">
      <c r="A675" s="1" t="s">
        <v>282</v>
      </c>
      <c r="B675" s="2" t="s">
        <v>192</v>
      </c>
      <c r="C675" s="197">
        <v>398483.73</v>
      </c>
      <c r="D675" s="197">
        <v>428905.39</v>
      </c>
      <c r="E675" s="379">
        <f t="shared" si="45"/>
        <v>-30421.660000000033</v>
      </c>
      <c r="G675" s="1" t="s">
        <v>282</v>
      </c>
      <c r="H675" s="2" t="s">
        <v>192</v>
      </c>
      <c r="I675" s="197">
        <f t="shared" si="46"/>
        <v>398483.73</v>
      </c>
      <c r="L675" s="64">
        <v>13870908.109999999</v>
      </c>
      <c r="M675" s="1" t="s">
        <v>272</v>
      </c>
      <c r="N675" s="2"/>
      <c r="O675" s="379"/>
      <c r="P675" s="379"/>
      <c r="Q675" s="379"/>
    </row>
    <row r="676" spans="1:17">
      <c r="A676" s="1" t="s">
        <v>282</v>
      </c>
      <c r="B676" s="2" t="s">
        <v>194</v>
      </c>
      <c r="C676" s="197">
        <v>14248.56</v>
      </c>
      <c r="D676" s="197">
        <v>8996.82</v>
      </c>
      <c r="E676" s="379">
        <f t="shared" si="45"/>
        <v>5251.74</v>
      </c>
      <c r="G676" s="1" t="s">
        <v>282</v>
      </c>
      <c r="H676" s="2" t="s">
        <v>194</v>
      </c>
      <c r="I676" s="197">
        <f t="shared" si="46"/>
        <v>14248.56</v>
      </c>
      <c r="J676" s="64">
        <f>SUM(I671:I676)</f>
        <v>7257193.3399999989</v>
      </c>
      <c r="L676" s="64">
        <v>15025835.960000001</v>
      </c>
      <c r="M676" s="1" t="s">
        <v>289</v>
      </c>
      <c r="N676" s="2"/>
      <c r="O676" s="379"/>
      <c r="P676" s="379"/>
      <c r="Q676" s="379"/>
    </row>
    <row r="677" spans="1:17">
      <c r="A677" s="1" t="s">
        <v>283</v>
      </c>
      <c r="B677" s="2" t="s">
        <v>187</v>
      </c>
      <c r="C677" s="197">
        <v>23854447.550000001</v>
      </c>
      <c r="D677" s="197">
        <v>6005303.6600000001</v>
      </c>
      <c r="E677" s="379">
        <f t="shared" si="45"/>
        <v>17849143.890000001</v>
      </c>
      <c r="G677" s="1" t="s">
        <v>283</v>
      </c>
      <c r="H677" s="2" t="s">
        <v>187</v>
      </c>
      <c r="I677" s="197">
        <f t="shared" si="46"/>
        <v>23854447.550000001</v>
      </c>
      <c r="L677" s="64">
        <v>15193180.85</v>
      </c>
      <c r="M677" s="1" t="s">
        <v>262</v>
      </c>
      <c r="N677" s="2"/>
      <c r="O677" s="379"/>
      <c r="P677" s="379"/>
      <c r="Q677" s="379"/>
    </row>
    <row r="678" spans="1:17">
      <c r="A678" s="1" t="s">
        <v>283</v>
      </c>
      <c r="B678" s="2" t="s">
        <v>188</v>
      </c>
      <c r="C678" s="197">
        <v>308356.36</v>
      </c>
      <c r="D678" s="197">
        <v>35380.75</v>
      </c>
      <c r="E678" s="379">
        <f t="shared" si="45"/>
        <v>272975.61</v>
      </c>
      <c r="G678" s="1" t="s">
        <v>283</v>
      </c>
      <c r="H678" s="2" t="s">
        <v>188</v>
      </c>
      <c r="I678" s="197">
        <f t="shared" si="46"/>
        <v>308356.36</v>
      </c>
      <c r="L678" s="64">
        <v>16043401.369999999</v>
      </c>
      <c r="M678" s="1" t="s">
        <v>269</v>
      </c>
      <c r="N678" s="2"/>
      <c r="O678" s="379"/>
      <c r="P678" s="379"/>
      <c r="Q678" s="379"/>
    </row>
    <row r="679" spans="1:17">
      <c r="A679" s="1" t="s">
        <v>283</v>
      </c>
      <c r="B679" s="2" t="s">
        <v>192</v>
      </c>
      <c r="C679" s="197">
        <v>37397.57</v>
      </c>
      <c r="D679" s="197">
        <v>14464.98</v>
      </c>
      <c r="E679" s="379">
        <f t="shared" si="45"/>
        <v>22932.59</v>
      </c>
      <c r="G679" s="1" t="s">
        <v>283</v>
      </c>
      <c r="H679" s="2" t="s">
        <v>192</v>
      </c>
      <c r="I679" s="197">
        <f t="shared" si="46"/>
        <v>37397.57</v>
      </c>
      <c r="L679" s="64">
        <v>17518604.640000001</v>
      </c>
      <c r="M679" s="1" t="s">
        <v>268</v>
      </c>
      <c r="N679" s="2"/>
      <c r="O679" s="379"/>
      <c r="P679" s="379"/>
      <c r="Q679" s="379"/>
    </row>
    <row r="680" spans="1:17">
      <c r="A680" s="1" t="s">
        <v>283</v>
      </c>
      <c r="B680" s="2" t="s">
        <v>193</v>
      </c>
      <c r="C680" s="197">
        <v>436403.55</v>
      </c>
      <c r="D680" s="197">
        <v>42756.28</v>
      </c>
      <c r="E680" s="379">
        <f t="shared" si="45"/>
        <v>393647.27</v>
      </c>
      <c r="G680" s="1" t="s">
        <v>283</v>
      </c>
      <c r="H680" s="2" t="s">
        <v>193</v>
      </c>
      <c r="I680" s="197">
        <f t="shared" si="46"/>
        <v>436403.55</v>
      </c>
      <c r="L680" s="64">
        <v>18274545.140000001</v>
      </c>
      <c r="M680" s="1" t="s">
        <v>266</v>
      </c>
      <c r="N680" s="2"/>
      <c r="O680" s="379"/>
      <c r="P680" s="379"/>
      <c r="Q680" s="379"/>
    </row>
    <row r="681" spans="1:17">
      <c r="A681" s="1" t="s">
        <v>283</v>
      </c>
      <c r="B681" s="2" t="s">
        <v>194</v>
      </c>
      <c r="C681" s="197">
        <v>12465.85</v>
      </c>
      <c r="D681" s="197">
        <v>8441.75</v>
      </c>
      <c r="E681" s="379">
        <f t="shared" si="45"/>
        <v>4024.1000000000004</v>
      </c>
      <c r="G681" s="1" t="s">
        <v>283</v>
      </c>
      <c r="H681" s="2" t="s">
        <v>194</v>
      </c>
      <c r="I681" s="197">
        <f t="shared" si="46"/>
        <v>12465.85</v>
      </c>
      <c r="J681" s="64">
        <f>SUM(I677:I681)</f>
        <v>24649070.880000003</v>
      </c>
      <c r="L681" s="64">
        <v>18597476.280000001</v>
      </c>
      <c r="M681" s="1" t="s">
        <v>265</v>
      </c>
      <c r="N681" s="2"/>
      <c r="O681" s="379"/>
      <c r="P681" s="379"/>
      <c r="Q681" s="379"/>
    </row>
    <row r="682" spans="1:17">
      <c r="A682" s="1" t="s">
        <v>284</v>
      </c>
      <c r="B682" s="2" t="s">
        <v>187</v>
      </c>
      <c r="C682" s="197">
        <v>1275308.3899999999</v>
      </c>
      <c r="D682" s="197">
        <v>177533.22</v>
      </c>
      <c r="E682" s="379">
        <f t="shared" si="45"/>
        <v>1097775.17</v>
      </c>
      <c r="G682" s="1" t="s">
        <v>284</v>
      </c>
      <c r="H682" s="2" t="s">
        <v>187</v>
      </c>
      <c r="I682" s="197">
        <f t="shared" si="46"/>
        <v>1275308.3899999999</v>
      </c>
      <c r="L682" s="64">
        <v>20855507.050000001</v>
      </c>
      <c r="M682" s="1" t="s">
        <v>275</v>
      </c>
      <c r="N682" s="2"/>
      <c r="O682" s="379"/>
      <c r="P682" s="379"/>
      <c r="Q682" s="379"/>
    </row>
    <row r="683" spans="1:17">
      <c r="A683" s="1" t="s">
        <v>284</v>
      </c>
      <c r="B683" s="2" t="s">
        <v>189</v>
      </c>
      <c r="C683" s="197">
        <v>1716171.17</v>
      </c>
      <c r="D683" s="197">
        <v>253862.23</v>
      </c>
      <c r="E683" s="379">
        <f t="shared" si="45"/>
        <v>1462308.94</v>
      </c>
      <c r="G683" s="1" t="s">
        <v>284</v>
      </c>
      <c r="H683" s="2" t="s">
        <v>189</v>
      </c>
      <c r="I683" s="197">
        <f t="shared" si="46"/>
        <v>1716171.17</v>
      </c>
      <c r="J683" s="64">
        <f>I683+I682</f>
        <v>2991479.5599999996</v>
      </c>
      <c r="L683" s="64">
        <v>21093625.760000002</v>
      </c>
      <c r="M683" s="1" t="s">
        <v>291</v>
      </c>
      <c r="N683" s="2"/>
      <c r="O683" s="379"/>
      <c r="P683" s="379"/>
      <c r="Q683" s="379"/>
    </row>
    <row r="684" spans="1:17">
      <c r="A684" s="1" t="s">
        <v>285</v>
      </c>
      <c r="B684" s="2" t="s">
        <v>187</v>
      </c>
      <c r="C684" s="197">
        <v>9418138.7200000007</v>
      </c>
      <c r="D684" s="197">
        <v>1261695.3</v>
      </c>
      <c r="E684" s="379">
        <f t="shared" si="45"/>
        <v>8156443.4200000009</v>
      </c>
      <c r="G684" s="1" t="s">
        <v>285</v>
      </c>
      <c r="H684" s="2" t="s">
        <v>187</v>
      </c>
      <c r="I684" s="197">
        <f t="shared" si="46"/>
        <v>9418138.7200000007</v>
      </c>
      <c r="L684" s="64">
        <v>23622513.98</v>
      </c>
      <c r="M684" s="1" t="s">
        <v>276</v>
      </c>
      <c r="N684" s="2"/>
      <c r="O684" s="379"/>
      <c r="P684" s="379"/>
      <c r="Q684" s="379"/>
    </row>
    <row r="685" spans="1:17">
      <c r="A685" s="1" t="s">
        <v>285</v>
      </c>
      <c r="B685" s="2" t="s">
        <v>188</v>
      </c>
      <c r="C685" s="197">
        <v>56255.62</v>
      </c>
      <c r="D685" s="197">
        <v>7973.66</v>
      </c>
      <c r="E685" s="379">
        <f t="shared" si="45"/>
        <v>48281.960000000006</v>
      </c>
      <c r="G685" s="1" t="s">
        <v>285</v>
      </c>
      <c r="H685" s="2" t="s">
        <v>188</v>
      </c>
      <c r="I685" s="197">
        <f t="shared" si="46"/>
        <v>56255.62</v>
      </c>
      <c r="J685" s="64">
        <f>I685+I684</f>
        <v>9474394.3399999999</v>
      </c>
      <c r="L685" s="64">
        <v>23854447.550000001</v>
      </c>
      <c r="M685" s="1" t="s">
        <v>283</v>
      </c>
      <c r="N685" s="2"/>
      <c r="O685" s="379"/>
      <c r="P685" s="379"/>
      <c r="Q685" s="379"/>
    </row>
    <row r="686" spans="1:17">
      <c r="A686" s="1" t="s">
        <v>269</v>
      </c>
      <c r="B686" s="2" t="s">
        <v>187</v>
      </c>
      <c r="C686" s="197">
        <v>16043401.369999999</v>
      </c>
      <c r="D686" s="197">
        <v>10273719.77</v>
      </c>
      <c r="E686" s="379">
        <f t="shared" si="45"/>
        <v>5769681.5999999996</v>
      </c>
      <c r="G686" s="1" t="s">
        <v>269</v>
      </c>
      <c r="H686" s="2" t="s">
        <v>187</v>
      </c>
      <c r="I686" s="197">
        <f t="shared" si="46"/>
        <v>16043401.369999999</v>
      </c>
      <c r="L686" s="64">
        <v>25627997.879999999</v>
      </c>
      <c r="M686" s="1" t="s">
        <v>265</v>
      </c>
      <c r="N686" s="2"/>
      <c r="O686" s="379"/>
      <c r="P686" s="379"/>
      <c r="Q686" s="379"/>
    </row>
    <row r="687" spans="1:17">
      <c r="A687" s="1" t="s">
        <v>269</v>
      </c>
      <c r="B687" s="2" t="s">
        <v>188</v>
      </c>
      <c r="C687" s="197">
        <v>189006.66</v>
      </c>
      <c r="D687" s="197">
        <v>51980.91</v>
      </c>
      <c r="E687" s="379">
        <f t="shared" si="45"/>
        <v>137025.75</v>
      </c>
      <c r="G687" s="1" t="s">
        <v>269</v>
      </c>
      <c r="H687" s="2" t="s">
        <v>188</v>
      </c>
      <c r="I687" s="197">
        <f t="shared" si="46"/>
        <v>189006.66</v>
      </c>
      <c r="L687" s="64">
        <v>27215256.309999999</v>
      </c>
      <c r="M687" s="1" t="s">
        <v>270</v>
      </c>
      <c r="N687" s="2"/>
      <c r="O687" s="379"/>
      <c r="P687" s="379"/>
      <c r="Q687" s="379"/>
    </row>
    <row r="688" spans="1:17">
      <c r="A688" s="1" t="s">
        <v>269</v>
      </c>
      <c r="B688" s="2" t="s">
        <v>189</v>
      </c>
      <c r="C688" s="197">
        <v>48394.5</v>
      </c>
      <c r="D688" s="197">
        <v>22281.06</v>
      </c>
      <c r="E688" s="379">
        <f t="shared" si="45"/>
        <v>26113.439999999999</v>
      </c>
      <c r="G688" s="1" t="s">
        <v>269</v>
      </c>
      <c r="H688" s="2" t="s">
        <v>189</v>
      </c>
      <c r="I688" s="197">
        <f t="shared" si="46"/>
        <v>48394.5</v>
      </c>
      <c r="L688" s="64">
        <v>28739927.809999999</v>
      </c>
      <c r="M688" s="1" t="s">
        <v>278</v>
      </c>
      <c r="N688" s="2"/>
      <c r="O688" s="379"/>
      <c r="P688" s="379"/>
      <c r="Q688" s="379"/>
    </row>
    <row r="689" spans="1:17">
      <c r="A689" s="1" t="s">
        <v>269</v>
      </c>
      <c r="B689" s="2" t="s">
        <v>190</v>
      </c>
      <c r="C689" s="197">
        <v>7206260.2699999996</v>
      </c>
      <c r="D689" s="197">
        <v>5071876.9400000004</v>
      </c>
      <c r="E689" s="379">
        <f t="shared" si="45"/>
        <v>2134383.3299999991</v>
      </c>
      <c r="G689" s="1" t="s">
        <v>269</v>
      </c>
      <c r="H689" s="2" t="s">
        <v>190</v>
      </c>
      <c r="I689" s="197">
        <f t="shared" si="46"/>
        <v>7206260.2699999996</v>
      </c>
      <c r="L689" s="64">
        <v>28754431.57</v>
      </c>
      <c r="M689" s="1" t="s">
        <v>266</v>
      </c>
      <c r="N689" s="2"/>
      <c r="O689" s="379"/>
      <c r="P689" s="379"/>
      <c r="Q689" s="379"/>
    </row>
    <row r="690" spans="1:17">
      <c r="A690" s="1" t="s">
        <v>269</v>
      </c>
      <c r="B690" s="2" t="s">
        <v>192</v>
      </c>
      <c r="C690" s="197">
        <v>847194.26</v>
      </c>
      <c r="D690" s="197">
        <v>318790.58</v>
      </c>
      <c r="E690" s="379">
        <f t="shared" si="45"/>
        <v>528403.67999999993</v>
      </c>
      <c r="G690" s="1" t="s">
        <v>269</v>
      </c>
      <c r="H690" s="2" t="s">
        <v>192</v>
      </c>
      <c r="I690" s="197">
        <f t="shared" si="46"/>
        <v>847194.26</v>
      </c>
      <c r="L690" s="64">
        <v>31885022.190000001</v>
      </c>
      <c r="M690" s="1" t="s">
        <v>276</v>
      </c>
      <c r="N690" s="2"/>
      <c r="O690" s="379"/>
      <c r="P690" s="379"/>
      <c r="Q690" s="379"/>
    </row>
    <row r="691" spans="1:17">
      <c r="A691" s="1" t="s">
        <v>269</v>
      </c>
      <c r="B691" s="2" t="s">
        <v>193</v>
      </c>
      <c r="C691" s="197">
        <v>307206.08</v>
      </c>
      <c r="D691" s="197">
        <v>-37326.28</v>
      </c>
      <c r="E691" s="379">
        <f t="shared" si="45"/>
        <v>344532.36</v>
      </c>
      <c r="G691" s="1" t="s">
        <v>269</v>
      </c>
      <c r="H691" s="2" t="s">
        <v>193</v>
      </c>
      <c r="I691" s="197">
        <f t="shared" si="46"/>
        <v>307206.08</v>
      </c>
      <c r="L691" s="64">
        <v>33960486.109999999</v>
      </c>
      <c r="M691" s="1" t="s">
        <v>273</v>
      </c>
      <c r="N691" s="2"/>
      <c r="O691" s="379"/>
      <c r="P691" s="379"/>
      <c r="Q691" s="379"/>
    </row>
    <row r="692" spans="1:17">
      <c r="A692" s="1" t="s">
        <v>269</v>
      </c>
      <c r="B692" s="2" t="s">
        <v>194</v>
      </c>
      <c r="C692" s="197">
        <v>335358.96999999997</v>
      </c>
      <c r="D692" s="197">
        <v>161979.94</v>
      </c>
      <c r="E692" s="379">
        <f t="shared" si="45"/>
        <v>173379.02999999997</v>
      </c>
      <c r="G692" s="1" t="s">
        <v>269</v>
      </c>
      <c r="H692" s="2" t="s">
        <v>194</v>
      </c>
      <c r="I692" s="197">
        <f t="shared" si="46"/>
        <v>335358.96999999997</v>
      </c>
      <c r="L692" s="64">
        <v>38113595.530000001</v>
      </c>
      <c r="M692" s="1" t="s">
        <v>267</v>
      </c>
      <c r="N692" s="2"/>
      <c r="O692" s="379"/>
      <c r="P692" s="379"/>
      <c r="Q692" s="379"/>
    </row>
    <row r="693" spans="1:17">
      <c r="A693" s="1" t="s">
        <v>269</v>
      </c>
      <c r="B693" s="2" t="s">
        <v>195</v>
      </c>
      <c r="C693" s="197">
        <v>89112.960000000006</v>
      </c>
      <c r="D693" s="197">
        <v>39808.01</v>
      </c>
      <c r="E693" s="379">
        <f t="shared" si="45"/>
        <v>49304.950000000004</v>
      </c>
      <c r="G693" s="1" t="s">
        <v>269</v>
      </c>
      <c r="H693" s="2" t="s">
        <v>195</v>
      </c>
      <c r="I693" s="197">
        <f t="shared" si="46"/>
        <v>89112.960000000006</v>
      </c>
      <c r="L693" s="64">
        <v>43265777.049999997</v>
      </c>
      <c r="M693" s="1" t="s">
        <v>263</v>
      </c>
      <c r="N693" s="2"/>
      <c r="O693" s="379"/>
      <c r="P693" s="379"/>
      <c r="Q693" s="379"/>
    </row>
    <row r="694" spans="1:17">
      <c r="A694" s="1" t="s">
        <v>269</v>
      </c>
      <c r="B694" s="2" t="s">
        <v>196</v>
      </c>
      <c r="C694" s="197">
        <v>118930.74</v>
      </c>
      <c r="D694" s="197">
        <v>36202.75</v>
      </c>
      <c r="E694" s="379">
        <f t="shared" si="45"/>
        <v>82727.990000000005</v>
      </c>
      <c r="G694" s="1" t="s">
        <v>269</v>
      </c>
      <c r="H694" s="2" t="s">
        <v>196</v>
      </c>
      <c r="I694" s="197">
        <f t="shared" si="46"/>
        <v>118930.74</v>
      </c>
      <c r="L694" s="64">
        <v>44874722.75</v>
      </c>
      <c r="M694" s="1" t="s">
        <v>263</v>
      </c>
      <c r="N694" s="2"/>
      <c r="O694" s="379"/>
      <c r="P694" s="379"/>
      <c r="Q694" s="379"/>
    </row>
    <row r="695" spans="1:17">
      <c r="A695" s="1" t="s">
        <v>269</v>
      </c>
      <c r="B695" s="2" t="s">
        <v>198</v>
      </c>
      <c r="C695" s="197">
        <v>60078.49</v>
      </c>
      <c r="D695" s="197">
        <v>14992.89</v>
      </c>
      <c r="E695" s="379">
        <f t="shared" si="45"/>
        <v>45085.599999999999</v>
      </c>
      <c r="G695" s="1" t="s">
        <v>269</v>
      </c>
      <c r="H695" s="2" t="s">
        <v>198</v>
      </c>
      <c r="I695" s="197">
        <f t="shared" si="46"/>
        <v>60078.49</v>
      </c>
      <c r="L695" s="64">
        <v>44959630.25</v>
      </c>
      <c r="M695" s="1" t="s">
        <v>264</v>
      </c>
      <c r="N695" s="2"/>
      <c r="O695" s="379"/>
      <c r="P695" s="379"/>
      <c r="Q695" s="379"/>
    </row>
    <row r="696" spans="1:17">
      <c r="A696" s="1" t="s">
        <v>269</v>
      </c>
      <c r="B696" s="2" t="s">
        <v>201</v>
      </c>
      <c r="C696" s="197">
        <v>202125.01</v>
      </c>
      <c r="D696" s="197">
        <v>127605.39</v>
      </c>
      <c r="E696" s="379">
        <f t="shared" si="45"/>
        <v>74519.62000000001</v>
      </c>
      <c r="G696" s="1" t="s">
        <v>269</v>
      </c>
      <c r="H696" s="2" t="s">
        <v>201</v>
      </c>
      <c r="I696" s="197">
        <f t="shared" si="46"/>
        <v>202125.01</v>
      </c>
      <c r="L696" s="64">
        <v>45257521.039999999</v>
      </c>
      <c r="M696" s="1" t="s">
        <v>272</v>
      </c>
      <c r="N696" s="2"/>
      <c r="O696" s="379"/>
      <c r="P696" s="379"/>
      <c r="Q696" s="379"/>
    </row>
    <row r="697" spans="1:17">
      <c r="A697" s="1" t="s">
        <v>269</v>
      </c>
      <c r="B697" s="2" t="s">
        <v>203</v>
      </c>
      <c r="C697" s="197">
        <v>91324.18</v>
      </c>
      <c r="D697" s="197">
        <v>76227.88</v>
      </c>
      <c r="E697" s="379">
        <f t="shared" si="45"/>
        <v>15096.299999999988</v>
      </c>
      <c r="G697" s="1" t="s">
        <v>269</v>
      </c>
      <c r="H697" s="2" t="s">
        <v>203</v>
      </c>
      <c r="I697" s="197">
        <f t="shared" si="46"/>
        <v>91324.18</v>
      </c>
      <c r="L697" s="64">
        <v>56642150.68</v>
      </c>
      <c r="M697" s="1" t="s">
        <v>273</v>
      </c>
      <c r="N697" s="2"/>
      <c r="O697" s="379"/>
      <c r="P697" s="379"/>
      <c r="Q697" s="379"/>
    </row>
    <row r="698" spans="1:17">
      <c r="A698" s="1" t="s">
        <v>269</v>
      </c>
      <c r="B698" s="2" t="s">
        <v>204</v>
      </c>
      <c r="C698" s="197">
        <v>65912.850000000006</v>
      </c>
      <c r="D698" s="197">
        <v>57488.959999999999</v>
      </c>
      <c r="E698" s="379">
        <f t="shared" si="45"/>
        <v>8423.8900000000067</v>
      </c>
      <c r="G698" s="1" t="s">
        <v>269</v>
      </c>
      <c r="H698" s="2" t="s">
        <v>204</v>
      </c>
      <c r="I698" s="197">
        <f t="shared" si="46"/>
        <v>65912.850000000006</v>
      </c>
      <c r="L698" s="64">
        <v>57839393.549999997</v>
      </c>
      <c r="M698" s="1" t="s">
        <v>264</v>
      </c>
      <c r="N698" s="2"/>
      <c r="O698" s="379"/>
      <c r="P698" s="379"/>
      <c r="Q698" s="379"/>
    </row>
    <row r="699" spans="1:17">
      <c r="A699" s="1" t="s">
        <v>269</v>
      </c>
      <c r="B699" s="2" t="s">
        <v>205</v>
      </c>
      <c r="C699" s="197">
        <v>6908.1</v>
      </c>
      <c r="D699" s="197">
        <v>1271.08</v>
      </c>
      <c r="E699" s="379">
        <f t="shared" si="45"/>
        <v>5637.02</v>
      </c>
      <c r="G699" s="1" t="s">
        <v>269</v>
      </c>
      <c r="H699" s="2" t="s">
        <v>205</v>
      </c>
      <c r="I699" s="197">
        <f t="shared" si="46"/>
        <v>6908.1</v>
      </c>
      <c r="J699" s="64">
        <f>SUM(I686:I699)</f>
        <v>25611214.439999998</v>
      </c>
      <c r="L699" s="64">
        <v>87394838.689999998</v>
      </c>
      <c r="M699" s="1" t="s">
        <v>270</v>
      </c>
      <c r="N699" s="2"/>
      <c r="O699" s="379"/>
      <c r="P699" s="379"/>
      <c r="Q699" s="379"/>
    </row>
    <row r="700" spans="1:17">
      <c r="A700" s="1" t="s">
        <v>302</v>
      </c>
      <c r="B700" s="2" t="s">
        <v>187</v>
      </c>
      <c r="C700" s="197">
        <v>180076.07</v>
      </c>
      <c r="D700" s="197">
        <v>106816.14</v>
      </c>
      <c r="E700" s="379">
        <f t="shared" si="45"/>
        <v>73259.930000000008</v>
      </c>
      <c r="G700" s="1" t="s">
        <v>302</v>
      </c>
      <c r="H700" s="2" t="s">
        <v>187</v>
      </c>
      <c r="I700" s="197">
        <f t="shared" si="46"/>
        <v>180076.07</v>
      </c>
      <c r="L700" s="64">
        <v>88154251.659999996</v>
      </c>
      <c r="M700" s="1" t="s">
        <v>264</v>
      </c>
      <c r="N700" s="2"/>
      <c r="O700" s="379"/>
      <c r="P700" s="379"/>
      <c r="Q700" s="379"/>
    </row>
    <row r="701" spans="1:17">
      <c r="A701" s="1" t="s">
        <v>302</v>
      </c>
      <c r="B701" s="2" t="s">
        <v>204</v>
      </c>
      <c r="C701" s="197">
        <v>5950</v>
      </c>
      <c r="D701" s="197">
        <v>5948.08</v>
      </c>
      <c r="E701" s="379">
        <f t="shared" si="45"/>
        <v>1.9200000000000728</v>
      </c>
      <c r="G701" s="1" t="s">
        <v>302</v>
      </c>
      <c r="H701" s="2" t="s">
        <v>204</v>
      </c>
      <c r="I701" s="197">
        <f t="shared" si="46"/>
        <v>5950</v>
      </c>
      <c r="J701" s="197">
        <f>I701+I700</f>
        <v>186026.07</v>
      </c>
      <c r="N701" s="2"/>
      <c r="O701" s="379"/>
      <c r="P701" s="379"/>
      <c r="Q701" s="379"/>
    </row>
    <row r="702" spans="1:17">
      <c r="C702" s="373">
        <f>SUM(C401:C701)</f>
        <v>1176998753.599999</v>
      </c>
      <c r="D702" s="373">
        <f>SUM(D401:D701)</f>
        <v>567918158.59999955</v>
      </c>
      <c r="E702" s="373">
        <f>SUM(E401:E701)</f>
        <v>609080594.99999988</v>
      </c>
      <c r="I702" s="199">
        <f>SUM(I401:I701)</f>
        <v>1176998753.599999</v>
      </c>
      <c r="J702" s="199">
        <f>SUM(J401:J701)</f>
        <v>1176998753.5999999</v>
      </c>
      <c r="N702" s="2"/>
      <c r="O702" s="379"/>
      <c r="P702" s="379"/>
      <c r="Q702" s="379"/>
    </row>
    <row r="703" spans="1:17" ht="13.5" thickBot="1">
      <c r="C703" s="375">
        <f>C702+C93</f>
        <v>1243593917.1499989</v>
      </c>
      <c r="D703" s="375">
        <f>D702+D93</f>
        <v>597340628.4199996</v>
      </c>
      <c r="E703" s="375">
        <f>E702+E93</f>
        <v>646253288.7299999</v>
      </c>
      <c r="J703" s="64">
        <f>J702-C702</f>
        <v>0</v>
      </c>
      <c r="N703" s="2"/>
      <c r="O703" s="379"/>
      <c r="P703" s="379"/>
      <c r="Q703" s="379"/>
    </row>
    <row r="704" spans="1:17" ht="13.5" thickTop="1">
      <c r="C704" s="197"/>
      <c r="D704" s="197"/>
    </row>
    <row r="707" spans="5:5">
      <c r="E707" s="197"/>
    </row>
    <row r="708" spans="5:5">
      <c r="E708" s="64"/>
    </row>
  </sheetData>
  <sortState xmlns:xlrd2="http://schemas.microsoft.com/office/spreadsheetml/2017/richdata2" ref="L401:M700">
    <sortCondition ref="L401:L700"/>
  </sortState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B1:K23"/>
  <sheetViews>
    <sheetView showGridLines="0" workbookViewId="0">
      <selection activeCell="D22" sqref="D22"/>
    </sheetView>
  </sheetViews>
  <sheetFormatPr defaultColWidth="9.140625" defaultRowHeight="18.75"/>
  <cols>
    <col min="1" max="1" width="12.5703125" style="54" customWidth="1"/>
    <col min="2" max="2" width="24.7109375" style="54" customWidth="1"/>
    <col min="3" max="3" width="23.85546875" style="54" customWidth="1"/>
    <col min="4" max="4" width="22.5703125" style="54" customWidth="1"/>
    <col min="5" max="5" width="21.140625" style="54" customWidth="1"/>
    <col min="6" max="6" width="21.42578125" style="54" customWidth="1"/>
    <col min="7" max="7" width="15.28515625" style="54" customWidth="1"/>
    <col min="8" max="9" width="9.140625" style="54"/>
    <col min="10" max="10" width="23.85546875" style="54" customWidth="1"/>
    <col min="11" max="11" width="16.5703125" style="54" customWidth="1"/>
    <col min="12" max="16384" width="9.140625" style="54"/>
  </cols>
  <sheetData>
    <row r="1" spans="2:11">
      <c r="B1" s="53" t="str">
        <f>Reconciliation!A1</f>
        <v xml:space="preserve">Peoples Gas System 2024 BUDGET Property Tax Appraisal </v>
      </c>
      <c r="C1" s="53"/>
      <c r="D1" s="53"/>
    </row>
    <row r="2" spans="2:11">
      <c r="B2" s="53" t="s">
        <v>28</v>
      </c>
      <c r="C2" s="53"/>
      <c r="D2" s="53"/>
    </row>
    <row r="3" spans="2:11">
      <c r="B3" s="57" t="s">
        <v>1868</v>
      </c>
      <c r="C3" s="57"/>
      <c r="D3" s="53"/>
    </row>
    <row r="4" spans="2:11">
      <c r="B4" s="57"/>
      <c r="C4" s="57"/>
      <c r="D4" s="53"/>
    </row>
    <row r="5" spans="2:11">
      <c r="D5" s="74" t="s">
        <v>1869</v>
      </c>
    </row>
    <row r="6" spans="2:11">
      <c r="C6" s="378" t="s">
        <v>29</v>
      </c>
      <c r="D6" s="76">
        <v>45291</v>
      </c>
      <c r="G6" s="510"/>
    </row>
    <row r="7" spans="2:11">
      <c r="C7" s="71" t="s">
        <v>1781</v>
      </c>
      <c r="D7" s="73">
        <f>'BalSht-NBV'!C20</f>
        <v>3198534883.5719256</v>
      </c>
    </row>
    <row r="8" spans="2:11">
      <c r="C8" s="71" t="s">
        <v>36</v>
      </c>
      <c r="D8" s="77">
        <f>'Sum. of Prop.'!B17</f>
        <v>5031897.24</v>
      </c>
      <c r="J8" s="569"/>
    </row>
    <row r="9" spans="2:11">
      <c r="C9" s="71" t="s">
        <v>30</v>
      </c>
      <c r="D9" s="77">
        <f>'Sum. of Prop.'!B24</f>
        <v>1939551.55</v>
      </c>
      <c r="J9" s="569"/>
    </row>
    <row r="10" spans="2:11">
      <c r="C10" s="71" t="s">
        <v>31</v>
      </c>
      <c r="D10" s="77">
        <f>'Sum. of Prop.'!B9</f>
        <v>35607098</v>
      </c>
      <c r="J10" s="569"/>
    </row>
    <row r="11" spans="2:11">
      <c r="C11" s="71" t="s">
        <v>32</v>
      </c>
      <c r="D11" s="163">
        <f>SUM(D7:D10)</f>
        <v>3241113430.3619256</v>
      </c>
      <c r="J11" s="569"/>
      <c r="K11" s="544"/>
    </row>
    <row r="12" spans="2:11">
      <c r="C12" s="71"/>
      <c r="D12" s="73"/>
    </row>
    <row r="13" spans="2:11">
      <c r="C13" s="71" t="s">
        <v>253</v>
      </c>
      <c r="D13" s="77">
        <f>'Sum. of Prop.'!D13</f>
        <v>-914562766.53991437</v>
      </c>
    </row>
    <row r="14" spans="2:11">
      <c r="C14" s="71" t="s">
        <v>33</v>
      </c>
      <c r="D14" s="163">
        <f>D11+D13</f>
        <v>2326550663.822011</v>
      </c>
      <c r="J14" s="544"/>
    </row>
    <row r="15" spans="2:11" ht="12.6" customHeight="1">
      <c r="C15" s="71"/>
    </row>
    <row r="16" spans="2:11">
      <c r="C16" s="71" t="s">
        <v>34</v>
      </c>
      <c r="D16" s="80">
        <f>'Sum. of Prop.'!B28</f>
        <v>4100000</v>
      </c>
    </row>
    <row r="17" spans="3:10" ht="15" customHeight="1">
      <c r="C17" s="71"/>
      <c r="J17" s="570"/>
    </row>
    <row r="18" spans="3:10">
      <c r="C18" s="71" t="s">
        <v>35</v>
      </c>
      <c r="D18" s="88">
        <f>+D14+D16</f>
        <v>2330650663.822011</v>
      </c>
      <c r="F18" s="544"/>
    </row>
    <row r="19" spans="3:10">
      <c r="C19" s="71"/>
    </row>
    <row r="20" spans="3:10">
      <c r="C20" s="71" t="s">
        <v>254</v>
      </c>
      <c r="D20" s="78">
        <f>D46*D18</f>
        <v>0</v>
      </c>
    </row>
    <row r="21" spans="3:10">
      <c r="C21" s="71"/>
    </row>
    <row r="22" spans="3:10" ht="19.5" thickBot="1">
      <c r="C22" s="71" t="s">
        <v>69</v>
      </c>
      <c r="D22" s="392">
        <f>D18-D20</f>
        <v>2330650663.822011</v>
      </c>
    </row>
    <row r="23" spans="3:10" ht="19.5" thickTop="1"/>
  </sheetData>
  <phoneticPr fontId="2" type="noConversion"/>
  <printOptions horizontalCentered="1"/>
  <pageMargins left="0.75" right="0.75" top="1.5" bottom="1" header="0.5" footer="0.5"/>
  <pageSetup orientation="portrait" r:id="rId1"/>
  <headerFooter alignWithMargins="0">
    <oddFooter>&amp;CSchedule 1</oddFooter>
  </headerFooter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N40"/>
  <sheetViews>
    <sheetView showGridLines="0" workbookViewId="0">
      <selection activeCell="A38" sqref="A38"/>
    </sheetView>
  </sheetViews>
  <sheetFormatPr defaultColWidth="9.140625" defaultRowHeight="12.75"/>
  <cols>
    <col min="1" max="1" width="52.5703125" style="1" customWidth="1"/>
    <col min="2" max="2" width="19.42578125" style="1" customWidth="1"/>
    <col min="3" max="3" width="2.140625" style="1" customWidth="1"/>
    <col min="4" max="4" width="17.85546875" style="1" customWidth="1"/>
    <col min="5" max="5" width="2.140625" style="1" customWidth="1"/>
    <col min="6" max="6" width="23.85546875" style="1" customWidth="1"/>
    <col min="7" max="7" width="2.140625" style="1" customWidth="1"/>
    <col min="8" max="8" width="9.85546875" style="1" customWidth="1"/>
    <col min="9" max="10" width="9.140625" style="1"/>
    <col min="11" max="11" width="14.28515625" style="1" customWidth="1"/>
    <col min="12" max="12" width="2" style="1" customWidth="1"/>
    <col min="13" max="16384" width="9.140625" style="1"/>
  </cols>
  <sheetData>
    <row r="1" spans="1:14" ht="18.75">
      <c r="A1" s="53" t="str">
        <f>Reconciliation!A1</f>
        <v xml:space="preserve">Peoples Gas System 2024 BUDGET Property Tax Appraisal </v>
      </c>
      <c r="B1" s="53"/>
      <c r="C1" s="53"/>
      <c r="D1" s="53"/>
      <c r="E1" s="11"/>
      <c r="F1" s="11"/>
      <c r="G1" s="11"/>
      <c r="H1" s="11"/>
      <c r="I1" s="3"/>
      <c r="J1" s="3"/>
    </row>
    <row r="2" spans="1:14" ht="18.75">
      <c r="A2" s="53" t="s">
        <v>1802</v>
      </c>
      <c r="B2" s="53"/>
      <c r="C2" s="53"/>
      <c r="D2" s="53"/>
      <c r="E2" s="11"/>
      <c r="F2" s="11"/>
      <c r="G2" s="11"/>
      <c r="H2" s="11"/>
      <c r="I2" s="3"/>
      <c r="J2" s="3"/>
    </row>
    <row r="3" spans="1:14" ht="18.75">
      <c r="A3" s="57" t="str">
        <f>'Cost Approach'!B3</f>
        <v>January 1, 2024</v>
      </c>
      <c r="B3" s="53"/>
      <c r="C3" s="53"/>
      <c r="D3" s="53"/>
      <c r="E3" s="11"/>
      <c r="F3" s="11"/>
      <c r="G3" s="11"/>
      <c r="H3" s="11"/>
      <c r="I3" s="3"/>
      <c r="J3" s="3"/>
    </row>
    <row r="4" spans="1:14" ht="20.25">
      <c r="A4" s="3"/>
      <c r="B4" s="3"/>
      <c r="C4" s="3"/>
      <c r="D4" s="3"/>
      <c r="E4" s="3"/>
      <c r="F4" s="3"/>
      <c r="G4" s="3"/>
      <c r="H4" s="3"/>
      <c r="I4" s="3"/>
      <c r="J4" s="3"/>
      <c r="K4" s="432"/>
      <c r="L4" s="433"/>
      <c r="M4" s="433"/>
    </row>
    <row r="5" spans="1:14" ht="18.75">
      <c r="A5" s="3"/>
      <c r="B5" s="74" t="s">
        <v>42</v>
      </c>
      <c r="C5" s="74"/>
      <c r="D5" s="74" t="s">
        <v>43</v>
      </c>
      <c r="E5" s="74"/>
      <c r="F5" s="74" t="s">
        <v>44</v>
      </c>
      <c r="G5" s="74"/>
      <c r="H5" s="74" t="s">
        <v>13</v>
      </c>
      <c r="I5" s="9"/>
      <c r="J5" s="9"/>
      <c r="K5" s="2"/>
      <c r="L5" s="2"/>
      <c r="M5" s="2"/>
    </row>
    <row r="6" spans="1:14" ht="18.75">
      <c r="A6" s="3"/>
      <c r="B6" s="75" t="s">
        <v>25</v>
      </c>
      <c r="C6" s="75"/>
      <c r="D6" s="75" t="s">
        <v>58</v>
      </c>
      <c r="E6" s="75"/>
      <c r="F6" s="75" t="s">
        <v>39</v>
      </c>
      <c r="G6" s="75"/>
      <c r="H6" s="75" t="s">
        <v>15</v>
      </c>
      <c r="I6" s="9"/>
      <c r="J6" s="9"/>
      <c r="K6" s="32"/>
      <c r="L6" s="32"/>
      <c r="M6" s="32"/>
    </row>
    <row r="7" spans="1:14" ht="15.7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4" ht="18.75">
      <c r="A8" s="3" t="s">
        <v>1778</v>
      </c>
      <c r="B8" s="72">
        <f>'BalSht-NBV'!C25</f>
        <v>3205506332.3619256</v>
      </c>
      <c r="C8" s="162"/>
      <c r="D8" s="72">
        <f>'BalSht-NBV'!D25</f>
        <v>-914562766.53991437</v>
      </c>
      <c r="E8" s="162"/>
      <c r="F8" s="195">
        <f>+B8+D8</f>
        <v>2290943565.822011</v>
      </c>
      <c r="G8" s="3"/>
      <c r="H8" s="3"/>
      <c r="I8" s="3"/>
      <c r="J8" s="3"/>
      <c r="N8" s="437"/>
    </row>
    <row r="9" spans="1:14" ht="18.75">
      <c r="A9" s="3" t="s">
        <v>45</v>
      </c>
      <c r="B9" s="162">
        <f>'BalSht-NBV'!C27</f>
        <v>35607098</v>
      </c>
      <c r="C9" s="162"/>
      <c r="D9" s="162">
        <f>'BalSht-NBV'!D27</f>
        <v>0</v>
      </c>
      <c r="E9" s="162"/>
      <c r="F9" s="162">
        <f>+B9+D9</f>
        <v>35607098</v>
      </c>
      <c r="G9" s="3"/>
      <c r="H9" s="3"/>
      <c r="I9" s="3"/>
      <c r="J9" s="3"/>
      <c r="K9" s="139"/>
    </row>
    <row r="10" spans="1:14" ht="18.75">
      <c r="A10" s="48" t="s">
        <v>32</v>
      </c>
      <c r="B10" s="163">
        <f>B8+B9</f>
        <v>3241113430.3619256</v>
      </c>
      <c r="C10" s="162"/>
      <c r="D10" s="163">
        <f>D8+D9</f>
        <v>-914562766.53991437</v>
      </c>
      <c r="E10" s="162"/>
      <c r="F10" s="163">
        <f>F8+F9</f>
        <v>2326550663.822011</v>
      </c>
      <c r="G10" s="3"/>
      <c r="H10" s="3"/>
      <c r="I10" s="3"/>
      <c r="J10" s="3"/>
    </row>
    <row r="11" spans="1:14" ht="18.75">
      <c r="A11" s="3" t="s">
        <v>46</v>
      </c>
      <c r="B11" s="162">
        <v>0</v>
      </c>
      <c r="C11" s="162"/>
      <c r="D11" s="162">
        <v>0</v>
      </c>
      <c r="E11" s="162"/>
      <c r="F11" s="162">
        <f>+B11-D11</f>
        <v>0</v>
      </c>
      <c r="G11" s="3"/>
      <c r="H11" s="3"/>
      <c r="I11" s="3"/>
      <c r="J11" s="3"/>
    </row>
    <row r="12" spans="1:14" ht="18.75">
      <c r="A12" s="3" t="s">
        <v>47</v>
      </c>
      <c r="B12" s="164">
        <f>'BalSht-NBV'!C28</f>
        <v>4100000</v>
      </c>
      <c r="C12" s="162"/>
      <c r="D12" s="164">
        <f>'BalSht-NBV'!D28</f>
        <v>0</v>
      </c>
      <c r="E12" s="162"/>
      <c r="F12" s="164">
        <f>+B12+D12</f>
        <v>4100000</v>
      </c>
      <c r="G12" s="3"/>
      <c r="H12" s="3"/>
      <c r="I12" s="3"/>
      <c r="J12" s="3"/>
    </row>
    <row r="13" spans="1:14" ht="18.75">
      <c r="A13" s="171" t="s">
        <v>248</v>
      </c>
      <c r="B13" s="72">
        <f>B10+B12</f>
        <v>3245213430.3619256</v>
      </c>
      <c r="C13" s="162"/>
      <c r="D13" s="72">
        <f>D10+D12</f>
        <v>-914562766.53991437</v>
      </c>
      <c r="E13" s="162"/>
      <c r="F13" s="172">
        <f>F10+F12</f>
        <v>2330650663.822011</v>
      </c>
      <c r="G13" s="3"/>
      <c r="H13" s="55">
        <f>+H25+H27</f>
        <v>1</v>
      </c>
      <c r="I13" s="3"/>
      <c r="J13" s="3"/>
      <c r="M13" s="315"/>
    </row>
    <row r="14" spans="1:14" ht="18.75">
      <c r="A14" s="3"/>
      <c r="B14" s="3"/>
      <c r="C14" s="162"/>
      <c r="D14" s="162"/>
      <c r="E14" s="162"/>
      <c r="F14" s="162"/>
      <c r="G14" s="3"/>
      <c r="H14" s="3"/>
      <c r="I14" s="3"/>
      <c r="J14" s="3"/>
    </row>
    <row r="15" spans="1:14" ht="18.75">
      <c r="A15" s="3" t="s">
        <v>48</v>
      </c>
      <c r="B15" s="162"/>
      <c r="C15" s="162"/>
      <c r="D15" s="162"/>
      <c r="E15" s="162"/>
      <c r="F15" s="162"/>
      <c r="G15" s="3"/>
      <c r="H15" s="3"/>
      <c r="I15" s="3"/>
      <c r="J15" s="3"/>
    </row>
    <row r="16" spans="1:14" ht="18.75">
      <c r="A16" s="3" t="s">
        <v>49</v>
      </c>
      <c r="B16" s="72">
        <f>B9</f>
        <v>35607098</v>
      </c>
      <c r="C16" s="162"/>
      <c r="D16" s="72">
        <f>+D9</f>
        <v>0</v>
      </c>
      <c r="E16" s="162"/>
      <c r="F16" s="72">
        <f>+B16+D16</f>
        <v>35607098</v>
      </c>
      <c r="G16" s="3"/>
      <c r="H16" s="3"/>
      <c r="I16" s="3"/>
      <c r="J16" s="3"/>
    </row>
    <row r="17" spans="1:13" ht="18.75">
      <c r="A17" s="3" t="s">
        <v>50</v>
      </c>
      <c r="B17" s="162">
        <f>'BalSht-NBV'!C22</f>
        <v>5031897.24</v>
      </c>
      <c r="C17" s="162"/>
      <c r="D17" s="162">
        <f>'BalSht-NBV'!D22</f>
        <v>-5028152.9800000144</v>
      </c>
      <c r="E17" s="162"/>
      <c r="F17" s="72">
        <f t="shared" ref="F17:F24" si="0">+B17+D17</f>
        <v>3744.2599999858066</v>
      </c>
      <c r="G17" s="3"/>
      <c r="H17" s="3"/>
      <c r="I17" s="3"/>
      <c r="J17" s="3"/>
    </row>
    <row r="18" spans="1:13" ht="18.75">
      <c r="A18" s="3" t="s">
        <v>51</v>
      </c>
      <c r="B18" s="162">
        <f>B11</f>
        <v>0</v>
      </c>
      <c r="C18" s="162"/>
      <c r="D18" s="162">
        <f>D11</f>
        <v>0</v>
      </c>
      <c r="E18" s="162"/>
      <c r="F18" s="72">
        <f t="shared" si="0"/>
        <v>0</v>
      </c>
      <c r="G18" s="3"/>
      <c r="H18" s="3"/>
      <c r="I18" s="3"/>
      <c r="J18" s="3"/>
    </row>
    <row r="19" spans="1:13" ht="18.75">
      <c r="A19" s="3" t="s">
        <v>34</v>
      </c>
      <c r="B19" s="162">
        <f>+B12</f>
        <v>4100000</v>
      </c>
      <c r="C19" s="162"/>
      <c r="D19" s="162">
        <f>+D12</f>
        <v>0</v>
      </c>
      <c r="E19" s="162"/>
      <c r="F19" s="72">
        <f t="shared" si="0"/>
        <v>4100000</v>
      </c>
      <c r="G19" s="3"/>
      <c r="H19" s="3"/>
      <c r="I19" s="3"/>
      <c r="J19" s="3"/>
    </row>
    <row r="20" spans="1:13" ht="18.75">
      <c r="A20" s="3" t="s">
        <v>52</v>
      </c>
      <c r="B20" s="162">
        <f>'BalSht-NBV'!C9</f>
        <v>110996255.04000002</v>
      </c>
      <c r="C20" s="162"/>
      <c r="D20" s="162">
        <f>'BalSht-NBV'!D9</f>
        <v>-30995545.602096666</v>
      </c>
      <c r="E20" s="162"/>
      <c r="F20" s="72">
        <f t="shared" si="0"/>
        <v>80000709.43790336</v>
      </c>
      <c r="G20" s="3"/>
      <c r="H20" s="3"/>
      <c r="I20" s="3"/>
      <c r="J20" s="3"/>
    </row>
    <row r="21" spans="1:13" ht="18.75">
      <c r="A21" s="3" t="s">
        <v>53</v>
      </c>
      <c r="B21" s="162">
        <f>'BalSht-NBV'!C12</f>
        <v>41664220.717936121</v>
      </c>
      <c r="C21" s="162"/>
      <c r="D21" s="162">
        <f>'BalSht-NBV'!D12</f>
        <v>-17283485.235455558</v>
      </c>
      <c r="E21" s="162"/>
      <c r="F21" s="72">
        <f t="shared" si="0"/>
        <v>24380735.482480563</v>
      </c>
      <c r="G21" s="3"/>
      <c r="H21" s="3"/>
      <c r="I21" s="3"/>
      <c r="J21" s="3"/>
    </row>
    <row r="22" spans="1:13" ht="18.75">
      <c r="A22" s="3" t="s">
        <v>54</v>
      </c>
      <c r="B22" s="162">
        <f>'BalSht-NBV'!C7+'BalSht-NBV'!C8</f>
        <v>12620.1</v>
      </c>
      <c r="C22" s="162"/>
      <c r="D22" s="162">
        <f>'BalSht-NBV'!D7+'BalSht-NBV'!D8</f>
        <v>-1.9281287677586079E-10</v>
      </c>
      <c r="E22" s="162"/>
      <c r="F22" s="72">
        <f t="shared" si="0"/>
        <v>12620.099999999808</v>
      </c>
      <c r="G22" s="3"/>
      <c r="H22" s="3"/>
      <c r="I22" s="3"/>
      <c r="J22" s="3"/>
    </row>
    <row r="23" spans="1:13" ht="18.75">
      <c r="A23" s="3" t="s">
        <v>100</v>
      </c>
      <c r="B23" s="162">
        <f>'BalSht-NBV'!C10+'BalSht-NBV'!C11+'BalSht-NBV'!C14</f>
        <v>52321343.078800008</v>
      </c>
      <c r="C23" s="162"/>
      <c r="D23" s="162">
        <f>'BalSht-NBV'!D10+'BalSht-NBV'!D11+'BalSht-NBV'!D14</f>
        <v>-9935212.8101631198</v>
      </c>
      <c r="E23" s="162"/>
      <c r="F23" s="72">
        <f t="shared" si="0"/>
        <v>42386130.26863689</v>
      </c>
      <c r="G23" s="3"/>
      <c r="H23" s="3"/>
      <c r="I23" s="3"/>
      <c r="J23" s="3"/>
    </row>
    <row r="24" spans="1:13" ht="18.75">
      <c r="A24" s="3" t="s">
        <v>55</v>
      </c>
      <c r="B24" s="164">
        <f>'BalSht-NBV'!C23</f>
        <v>1939551.55</v>
      </c>
      <c r="C24" s="162"/>
      <c r="D24" s="164">
        <f>'BalSht-NBV'!D23</f>
        <v>0</v>
      </c>
      <c r="E24" s="162"/>
      <c r="F24" s="548">
        <f t="shared" si="0"/>
        <v>1939551.55</v>
      </c>
      <c r="G24" s="3"/>
      <c r="H24" s="3"/>
      <c r="I24" s="3"/>
      <c r="J24" s="3"/>
    </row>
    <row r="25" spans="1:13" ht="18.75">
      <c r="A25" s="48" t="s">
        <v>56</v>
      </c>
      <c r="B25" s="72">
        <f>SUM(B16:B24)</f>
        <v>251672985.72673619</v>
      </c>
      <c r="C25" s="162"/>
      <c r="D25" s="72">
        <f>SUM(D16:D24)</f>
        <v>-63242396.627715357</v>
      </c>
      <c r="E25" s="162"/>
      <c r="F25" s="72">
        <f>SUM(F16:F24)</f>
        <v>188430589.09902078</v>
      </c>
      <c r="G25" s="3"/>
      <c r="H25" s="161">
        <f>F25/F13</f>
        <v>8.0848920013613421E-2</v>
      </c>
      <c r="I25" s="3"/>
      <c r="J25" s="3"/>
      <c r="M25" s="330"/>
    </row>
    <row r="26" spans="1:13" ht="18.75">
      <c r="A26" s="3"/>
      <c r="B26" s="54"/>
      <c r="C26" s="54"/>
      <c r="D26" s="54"/>
      <c r="E26" s="54"/>
      <c r="F26" s="54"/>
      <c r="G26" s="3"/>
      <c r="H26" s="3"/>
      <c r="I26" s="3"/>
      <c r="J26" s="3"/>
    </row>
    <row r="27" spans="1:13" ht="18.75">
      <c r="A27" s="54" t="s">
        <v>57</v>
      </c>
      <c r="B27" s="88">
        <f>+B13-B25</f>
        <v>2993540444.6351895</v>
      </c>
      <c r="C27" s="54"/>
      <c r="D27" s="88">
        <f>+D13-D25</f>
        <v>-851320369.91219902</v>
      </c>
      <c r="E27" s="54"/>
      <c r="F27" s="88">
        <f>F13-F25</f>
        <v>2142220074.7229903</v>
      </c>
      <c r="G27" s="56"/>
      <c r="H27" s="90">
        <f>(F27/F13)</f>
        <v>0.91915107998638657</v>
      </c>
      <c r="I27" s="3"/>
      <c r="J27" s="3"/>
      <c r="L27" s="430"/>
      <c r="M27" s="431"/>
    </row>
    <row r="28" spans="1:13" ht="18.75">
      <c r="A28" s="54" t="s">
        <v>34</v>
      </c>
      <c r="B28" s="79">
        <v>4100000</v>
      </c>
      <c r="C28" s="54"/>
      <c r="D28" s="79">
        <f>D19</f>
        <v>0</v>
      </c>
      <c r="E28" s="54"/>
      <c r="F28" s="79">
        <f>F19</f>
        <v>4100000</v>
      </c>
      <c r="G28" s="3"/>
      <c r="H28" s="90"/>
      <c r="I28" s="3"/>
      <c r="J28" s="3"/>
    </row>
    <row r="29" spans="1:13" ht="19.5" thickBot="1">
      <c r="A29" s="616" t="s">
        <v>249</v>
      </c>
      <c r="B29" s="89">
        <f>SUM(B27:B28)</f>
        <v>2997640444.6351895</v>
      </c>
      <c r="C29" s="54"/>
      <c r="D29" s="89">
        <f>SUM(D27:D28)</f>
        <v>-851320369.91219902</v>
      </c>
      <c r="E29" s="54"/>
      <c r="F29" s="173">
        <f>SUM(F27:F28)</f>
        <v>2146320074.7229903</v>
      </c>
      <c r="G29" s="3"/>
      <c r="H29" s="3"/>
      <c r="I29" s="3"/>
      <c r="J29" s="3"/>
    </row>
    <row r="30" spans="1:13" ht="16.5" thickTop="1">
      <c r="A30" s="48"/>
      <c r="B30" s="277"/>
      <c r="C30" s="3"/>
      <c r="D30" s="3"/>
      <c r="E30" s="3"/>
      <c r="F30" s="3"/>
      <c r="G30" s="3"/>
      <c r="H30" s="3"/>
      <c r="I30" s="3"/>
      <c r="J30" s="3"/>
    </row>
    <row r="31" spans="1:13" ht="15.75">
      <c r="A31" s="3"/>
      <c r="B31" s="410"/>
      <c r="C31" s="3"/>
      <c r="D31" s="3"/>
      <c r="E31" s="3"/>
      <c r="F31" s="3"/>
      <c r="G31" s="3"/>
      <c r="H31" s="3"/>
      <c r="I31" s="3"/>
      <c r="J31" s="3"/>
    </row>
    <row r="32" spans="1:13" ht="15.7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4" ht="15.7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4" ht="15.7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4" ht="15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5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5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5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5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</sheetData>
  <phoneticPr fontId="2" type="noConversion"/>
  <printOptions horizontalCentered="1"/>
  <pageMargins left="0.5" right="0.5" top="1.5" bottom="1" header="0.5" footer="0.5"/>
  <pageSetup scale="75" orientation="portrait" r:id="rId1"/>
  <headerFooter alignWithMargins="0">
    <oddFooter>&amp;CSchedule 2</oddFooter>
  </headerFooter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AB51"/>
  <sheetViews>
    <sheetView showGridLines="0" workbookViewId="0">
      <selection activeCell="J25" sqref="J25"/>
    </sheetView>
  </sheetViews>
  <sheetFormatPr defaultColWidth="9.140625" defaultRowHeight="12.75"/>
  <cols>
    <col min="1" max="1" width="21.42578125" style="1" customWidth="1"/>
    <col min="2" max="2" width="19" style="1" customWidth="1"/>
    <col min="3" max="3" width="2.28515625" style="1" customWidth="1"/>
    <col min="4" max="4" width="11.7109375" style="1" customWidth="1"/>
    <col min="5" max="5" width="13.28515625" style="1" customWidth="1"/>
    <col min="6" max="6" width="12.7109375" style="1" customWidth="1"/>
    <col min="7" max="7" width="15.5703125" style="1" bestFit="1" customWidth="1"/>
    <col min="8" max="8" width="14.28515625" style="1" bestFit="1" customWidth="1"/>
    <col min="9" max="9" width="9.28515625" style="1" bestFit="1" customWidth="1"/>
    <col min="10" max="10" width="11.28515625" style="1" customWidth="1"/>
    <col min="11" max="11" width="17" style="1" customWidth="1"/>
    <col min="12" max="12" width="12.28515625" style="1" customWidth="1"/>
    <col min="13" max="26" width="9.140625" style="1"/>
    <col min="27" max="27" width="14" style="1" customWidth="1"/>
    <col min="28" max="28" width="17.140625" style="1" customWidth="1"/>
    <col min="29" max="16384" width="9.140625" style="1"/>
  </cols>
  <sheetData>
    <row r="1" spans="1:13" ht="18.75">
      <c r="A1" s="53" t="str">
        <f>Reconciliation!A1</f>
        <v xml:space="preserve">Peoples Gas System 2024 BUDGET Property Tax Appraisal </v>
      </c>
      <c r="B1" s="53"/>
      <c r="C1" s="53"/>
      <c r="D1" s="53"/>
      <c r="E1" s="53"/>
      <c r="F1" s="53"/>
      <c r="G1" s="54"/>
    </row>
    <row r="2" spans="1:13" ht="18.75">
      <c r="A2" s="53" t="s">
        <v>21</v>
      </c>
      <c r="B2" s="53"/>
      <c r="C2" s="53"/>
      <c r="D2" s="53"/>
      <c r="E2" s="53"/>
      <c r="F2" s="53"/>
      <c r="G2" s="54"/>
    </row>
    <row r="3" spans="1:13" ht="18.75">
      <c r="A3" s="54"/>
      <c r="B3" s="54"/>
      <c r="C3" s="54"/>
      <c r="D3" s="54"/>
      <c r="E3" s="54"/>
      <c r="F3" s="54"/>
      <c r="G3" s="54"/>
    </row>
    <row r="4" spans="1:13" ht="18.75">
      <c r="A4" s="74"/>
      <c r="B4" s="74"/>
      <c r="C4" s="74"/>
      <c r="D4" s="74"/>
      <c r="E4" s="74"/>
      <c r="F4" s="74" t="s">
        <v>18</v>
      </c>
      <c r="G4" s="54"/>
    </row>
    <row r="5" spans="1:13" ht="18.75">
      <c r="A5" s="74"/>
      <c r="B5" s="74"/>
      <c r="C5" s="74"/>
      <c r="D5" s="74"/>
      <c r="E5" s="74"/>
      <c r="F5" s="74" t="s">
        <v>20</v>
      </c>
      <c r="G5" s="54"/>
    </row>
    <row r="6" spans="1:13" ht="18.75">
      <c r="A6" s="75" t="s">
        <v>22</v>
      </c>
      <c r="B6" s="75" t="s">
        <v>23</v>
      </c>
      <c r="C6" s="75"/>
      <c r="D6" s="75" t="s">
        <v>24</v>
      </c>
      <c r="E6" s="75" t="s">
        <v>25</v>
      </c>
      <c r="F6" s="75" t="s">
        <v>25</v>
      </c>
      <c r="G6" s="54"/>
    </row>
    <row r="7" spans="1:13" ht="18.75">
      <c r="A7" s="54"/>
      <c r="C7" s="54"/>
      <c r="D7" s="54"/>
      <c r="E7" s="54"/>
      <c r="F7" s="54"/>
      <c r="G7" s="54"/>
    </row>
    <row r="8" spans="1:13" ht="18.75">
      <c r="A8" s="54" t="s">
        <v>26</v>
      </c>
      <c r="B8" s="73">
        <f>LTD!E7</f>
        <v>750000000</v>
      </c>
      <c r="C8" s="73"/>
      <c r="D8" s="148">
        <f>B8/B12</f>
        <v>0.40184609359874973</v>
      </c>
      <c r="E8" s="148">
        <f>LTD!I7</f>
        <v>4.2999999999999997E-2</v>
      </c>
      <c r="F8" s="148">
        <f>D8*E8</f>
        <v>1.7279382024746236E-2</v>
      </c>
      <c r="G8" s="54"/>
    </row>
    <row r="9" spans="1:13" ht="18.75">
      <c r="A9" s="54"/>
      <c r="B9" s="54"/>
      <c r="C9" s="54"/>
      <c r="D9" s="54"/>
      <c r="E9" s="54"/>
      <c r="F9" s="148"/>
      <c r="G9" s="54"/>
    </row>
    <row r="10" spans="1:13" ht="18.75">
      <c r="A10" s="54" t="s">
        <v>27</v>
      </c>
      <c r="B10" s="79">
        <f>K22</f>
        <v>1116386191</v>
      </c>
      <c r="C10" s="79"/>
      <c r="D10" s="148">
        <f>B10/B12</f>
        <v>0.59815390640125021</v>
      </c>
      <c r="E10" s="167">
        <v>0.11</v>
      </c>
      <c r="F10" s="148">
        <f>D10*E10</f>
        <v>6.579692970413753E-2</v>
      </c>
      <c r="G10" s="54"/>
      <c r="K10" s="1" t="s">
        <v>1827</v>
      </c>
    </row>
    <row r="11" spans="1:13" ht="18.75">
      <c r="A11" s="54"/>
      <c r="B11" s="54"/>
      <c r="C11" s="54"/>
      <c r="D11" s="54"/>
      <c r="E11" s="54"/>
      <c r="F11" s="148"/>
      <c r="G11" s="54"/>
    </row>
    <row r="12" spans="1:13" ht="19.5" thickBot="1">
      <c r="A12" s="74" t="s">
        <v>15</v>
      </c>
      <c r="B12" s="163">
        <f>SUM(B8:B11)</f>
        <v>1866386191</v>
      </c>
      <c r="C12" s="73"/>
      <c r="D12" s="188">
        <f>SUM(D8:D11)</f>
        <v>1</v>
      </c>
      <c r="E12" s="54"/>
      <c r="F12" s="393">
        <f>SUM(F8:F11)</f>
        <v>8.3076311728883773E-2</v>
      </c>
      <c r="G12" s="54"/>
    </row>
    <row r="13" spans="1:13" ht="16.5" thickTop="1">
      <c r="A13" s="3"/>
      <c r="B13" s="3"/>
      <c r="C13" s="3"/>
      <c r="D13" s="3"/>
      <c r="E13" s="3"/>
      <c r="F13" s="3"/>
      <c r="G13" s="3"/>
    </row>
    <row r="14" spans="1:13" ht="15.75">
      <c r="E14" s="3"/>
      <c r="F14" s="3"/>
      <c r="G14" s="3"/>
    </row>
    <row r="15" spans="1:13" ht="15.75">
      <c r="F15" s="3"/>
    </row>
    <row r="16" spans="1:13" ht="15.75">
      <c r="F16" s="3"/>
      <c r="J16" s="629"/>
      <c r="K16" s="629"/>
      <c r="L16" s="629"/>
      <c r="M16" s="629"/>
    </row>
    <row r="17" spans="1:28">
      <c r="J17" s="629" t="s">
        <v>1882</v>
      </c>
      <c r="K17" s="629"/>
    </row>
    <row r="18" spans="1:28" ht="15.75">
      <c r="A18" s="3"/>
      <c r="J18" s="629"/>
      <c r="K18" s="629"/>
    </row>
    <row r="19" spans="1:28" ht="15.75">
      <c r="A19" s="3"/>
      <c r="J19" s="629">
        <v>207</v>
      </c>
      <c r="K19" s="760">
        <v>5575333</v>
      </c>
    </row>
    <row r="20" spans="1:28">
      <c r="J20" s="629">
        <v>211</v>
      </c>
      <c r="K20" s="760">
        <v>981974836</v>
      </c>
    </row>
    <row r="21" spans="1:28">
      <c r="J21" s="629">
        <v>216</v>
      </c>
      <c r="K21" s="760">
        <v>128836022</v>
      </c>
    </row>
    <row r="22" spans="1:28" ht="15.75">
      <c r="A22" s="3"/>
      <c r="J22" s="761" t="s">
        <v>15</v>
      </c>
      <c r="K22" s="762">
        <f>SUM(K19:K21)</f>
        <v>1116386191</v>
      </c>
    </row>
    <row r="23" spans="1:28" ht="15.75">
      <c r="A23" s="58"/>
    </row>
    <row r="24" spans="1:28" ht="15.75">
      <c r="A24" s="3"/>
      <c r="D24" s="9"/>
      <c r="E24" s="9"/>
      <c r="F24" s="9"/>
      <c r="G24" s="9"/>
      <c r="H24" s="9"/>
      <c r="I24" s="9"/>
      <c r="J24" s="629" t="s">
        <v>1894</v>
      </c>
      <c r="K24" s="629"/>
      <c r="L24" s="629"/>
      <c r="M24" s="629"/>
    </row>
    <row r="25" spans="1:28" ht="15.75">
      <c r="A25" s="3"/>
      <c r="D25" s="9"/>
      <c r="E25" s="9"/>
      <c r="F25" s="9"/>
      <c r="G25" s="9"/>
      <c r="H25" s="9"/>
      <c r="I25" s="9"/>
    </row>
    <row r="26" spans="1:28" ht="15.75">
      <c r="A26" s="4"/>
      <c r="D26" s="59"/>
      <c r="E26" s="4"/>
      <c r="F26" s="59"/>
      <c r="G26" s="4"/>
      <c r="H26" s="59"/>
      <c r="I26" s="4"/>
    </row>
    <row r="28" spans="1:28" ht="15.75">
      <c r="A28" s="60"/>
      <c r="D28" s="61"/>
      <c r="E28" s="62"/>
      <c r="F28" s="63"/>
      <c r="G28" s="63"/>
      <c r="H28" s="63"/>
      <c r="I28" s="14"/>
    </row>
    <row r="29" spans="1:28" ht="15.75">
      <c r="A29" s="60"/>
      <c r="D29" s="61"/>
      <c r="E29" s="62"/>
      <c r="F29" s="63"/>
      <c r="G29" s="63"/>
      <c r="H29" s="63"/>
      <c r="I29" s="14"/>
    </row>
    <row r="30" spans="1:28" ht="15.75">
      <c r="A30" s="60"/>
      <c r="D30" s="61"/>
      <c r="E30" s="62"/>
      <c r="F30" s="63"/>
      <c r="G30" s="63"/>
      <c r="H30" s="63"/>
      <c r="I30" s="14"/>
    </row>
    <row r="31" spans="1:28" ht="15.75">
      <c r="A31" s="60"/>
      <c r="D31" s="61"/>
      <c r="E31" s="62"/>
      <c r="F31" s="63"/>
      <c r="G31" s="63"/>
      <c r="H31" s="63"/>
      <c r="I31" s="14"/>
    </row>
    <row r="32" spans="1:28" ht="15.75">
      <c r="A32" s="60"/>
      <c r="D32" s="61"/>
      <c r="E32" s="62"/>
      <c r="F32" s="63"/>
      <c r="G32" s="63"/>
      <c r="H32" s="63"/>
      <c r="I32" s="14"/>
      <c r="AB32" s="615"/>
    </row>
    <row r="33" spans="1:9" ht="15.75">
      <c r="A33" s="60"/>
      <c r="D33" s="61"/>
      <c r="E33" s="62"/>
      <c r="F33" s="63"/>
      <c r="G33" s="63"/>
      <c r="H33" s="63"/>
      <c r="I33" s="14"/>
    </row>
    <row r="34" spans="1:9" ht="15.75">
      <c r="D34" s="3"/>
      <c r="E34" s="3"/>
      <c r="F34" s="3"/>
      <c r="G34" s="3"/>
      <c r="H34" s="3"/>
      <c r="I34" s="3"/>
    </row>
    <row r="35" spans="1:9" ht="15.75">
      <c r="D35" s="63"/>
      <c r="E35" s="3"/>
      <c r="F35" s="63"/>
      <c r="G35" s="63"/>
      <c r="H35" s="63"/>
      <c r="I35" s="3"/>
    </row>
    <row r="36" spans="1:9" ht="15.75">
      <c r="A36" s="3"/>
      <c r="D36" s="12"/>
      <c r="F36" s="63"/>
      <c r="G36" s="63"/>
    </row>
    <row r="37" spans="1:9" ht="15.75">
      <c r="D37" s="12"/>
      <c r="F37" s="12"/>
      <c r="G37" s="12"/>
      <c r="H37" s="12"/>
    </row>
    <row r="38" spans="1:9" ht="15.75">
      <c r="D38" s="12"/>
      <c r="F38" s="12"/>
      <c r="G38" s="12"/>
      <c r="H38" s="12"/>
    </row>
    <row r="39" spans="1:9" ht="15.75">
      <c r="D39" s="12"/>
      <c r="F39" s="12"/>
      <c r="G39" s="13"/>
      <c r="H39" s="14"/>
    </row>
    <row r="40" spans="1:9" ht="15.75">
      <c r="D40" s="64"/>
      <c r="F40" s="12"/>
      <c r="G40" s="12"/>
      <c r="H40" s="12"/>
    </row>
    <row r="41" spans="1:9" ht="15.75">
      <c r="D41" s="64"/>
      <c r="F41" s="12"/>
      <c r="G41" s="12"/>
      <c r="H41" s="12"/>
    </row>
    <row r="44" spans="1:9" ht="15.75">
      <c r="A44" s="3"/>
    </row>
    <row r="45" spans="1:9" ht="15.75">
      <c r="A45" s="58"/>
      <c r="F45" s="9"/>
    </row>
    <row r="46" spans="1:9" ht="15.75">
      <c r="D46" s="59"/>
      <c r="E46" s="59"/>
      <c r="F46" s="4"/>
      <c r="G46" s="3"/>
      <c r="H46" s="3"/>
      <c r="I46" s="3"/>
    </row>
    <row r="47" spans="1:9" ht="15.75">
      <c r="D47" s="59"/>
      <c r="E47" s="59"/>
      <c r="F47" s="4"/>
      <c r="G47" s="3"/>
      <c r="H47" s="3"/>
      <c r="I47" s="3"/>
    </row>
    <row r="48" spans="1:9" ht="15.75">
      <c r="A48" s="3"/>
      <c r="D48" s="63"/>
      <c r="E48" s="63"/>
      <c r="F48" s="12"/>
      <c r="G48" s="3"/>
      <c r="H48" s="3"/>
      <c r="I48" s="3"/>
    </row>
    <row r="49" spans="4:9" ht="15.75">
      <c r="D49" s="3"/>
      <c r="E49" s="3"/>
      <c r="F49" s="3"/>
      <c r="G49" s="3"/>
      <c r="H49" s="3"/>
      <c r="I49" s="3"/>
    </row>
    <row r="50" spans="4:9" ht="15.75">
      <c r="D50" s="3"/>
      <c r="E50" s="3"/>
      <c r="F50" s="3"/>
      <c r="G50" s="3"/>
      <c r="H50" s="3"/>
      <c r="I50" s="3"/>
    </row>
    <row r="51" spans="4:9" ht="15.75">
      <c r="D51" s="3"/>
      <c r="E51" s="3"/>
      <c r="F51" s="3"/>
      <c r="G51" s="3"/>
      <c r="H51" s="3"/>
      <c r="I51" s="3"/>
    </row>
  </sheetData>
  <phoneticPr fontId="2" type="noConversion"/>
  <printOptions horizontalCentered="1"/>
  <pageMargins left="0.75" right="0.75" top="2" bottom="1" header="0.5" footer="0.5"/>
  <pageSetup orientation="portrait" r:id="rId1"/>
  <headerFooter alignWithMargins="0">
    <oddFooter>&amp;CSchedule 3</oddFooter>
  </headerFooter>
  <customProperties>
    <customPr name="_pios_id" r:id="rId2"/>
    <customPr name="EpmWorksheetKeyString_GUID" r:id="rId3"/>
  </customPropertie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O30"/>
  <sheetViews>
    <sheetView showGridLines="0" workbookViewId="0">
      <selection activeCell="I7" sqref="A7:I7"/>
    </sheetView>
  </sheetViews>
  <sheetFormatPr defaultColWidth="9.140625" defaultRowHeight="12.75"/>
  <cols>
    <col min="1" max="1" width="68.140625" style="1" customWidth="1"/>
    <col min="2" max="2" width="16.140625" style="1" customWidth="1"/>
    <col min="3" max="3" width="22" style="1" customWidth="1"/>
    <col min="4" max="4" width="15.28515625" style="1" customWidth="1"/>
    <col min="5" max="5" width="22" style="1" customWidth="1"/>
    <col min="6" max="6" width="1.85546875" style="1" customWidth="1"/>
    <col min="7" max="7" width="19.28515625" style="1" customWidth="1"/>
    <col min="8" max="8" width="1" style="1" customWidth="1"/>
    <col min="9" max="9" width="17" style="1" customWidth="1"/>
    <col min="10" max="10" width="14.28515625" style="1" customWidth="1"/>
    <col min="11" max="11" width="12.42578125" style="1" customWidth="1"/>
    <col min="12" max="13" width="9.140625" style="1"/>
    <col min="14" max="14" width="12.28515625" style="1" bestFit="1" customWidth="1"/>
    <col min="15" max="15" width="11.140625" style="584" bestFit="1" customWidth="1"/>
    <col min="16" max="16384" width="9.140625" style="1"/>
  </cols>
  <sheetData>
    <row r="1" spans="1:15" s="3" customFormat="1" ht="18.75">
      <c r="A1" s="763" t="s">
        <v>1871</v>
      </c>
      <c r="B1" s="763"/>
      <c r="C1" s="763"/>
      <c r="D1" s="763"/>
      <c r="E1" s="763"/>
      <c r="F1" s="763"/>
      <c r="G1" s="763"/>
      <c r="H1" s="763"/>
      <c r="I1" s="763"/>
      <c r="J1" s="53"/>
      <c r="O1" s="583"/>
    </row>
    <row r="2" spans="1:15" s="3" customFormat="1" ht="18.75">
      <c r="A2" s="53" t="s">
        <v>68</v>
      </c>
      <c r="B2" s="53"/>
      <c r="C2" s="53"/>
      <c r="D2" s="53"/>
      <c r="E2" s="53"/>
      <c r="F2" s="53"/>
      <c r="G2" s="53"/>
      <c r="H2" s="53"/>
      <c r="I2" s="53"/>
      <c r="J2" s="53"/>
      <c r="O2" s="583"/>
    </row>
    <row r="3" spans="1:15" ht="18.75">
      <c r="A3" s="54"/>
      <c r="B3" s="54"/>
      <c r="C3" s="79"/>
      <c r="D3" s="54"/>
      <c r="E3" s="79"/>
      <c r="F3" s="74"/>
      <c r="G3" s="79"/>
      <c r="H3" s="75"/>
      <c r="I3" s="79"/>
      <c r="J3" s="54"/>
    </row>
    <row r="4" spans="1:15" ht="18.75">
      <c r="B4" s="54"/>
      <c r="C4" s="78"/>
      <c r="D4" s="54"/>
      <c r="E4" s="79"/>
      <c r="F4" s="74"/>
      <c r="G4" s="81"/>
      <c r="H4" s="75"/>
      <c r="I4" s="627"/>
      <c r="J4" s="54"/>
      <c r="K4" s="437"/>
    </row>
    <row r="5" spans="1:15" ht="15.75">
      <c r="E5" s="12"/>
      <c r="F5" s="12"/>
      <c r="G5" s="13"/>
      <c r="H5" s="13"/>
      <c r="I5" s="14"/>
      <c r="K5" s="437"/>
    </row>
    <row r="6" spans="1:15" ht="15.75">
      <c r="C6" s="12"/>
      <c r="D6" s="1" t="s">
        <v>1881</v>
      </c>
      <c r="E6" s="12" t="s">
        <v>1878</v>
      </c>
      <c r="F6" s="12"/>
      <c r="G6" s="13" t="s">
        <v>1879</v>
      </c>
      <c r="H6" s="13"/>
      <c r="I6" s="131" t="s">
        <v>1880</v>
      </c>
    </row>
    <row r="7" spans="1:15" ht="18.75">
      <c r="A7" s="757" t="s">
        <v>1887</v>
      </c>
      <c r="B7" s="629"/>
      <c r="C7" s="629"/>
      <c r="D7" s="629">
        <v>569000000</v>
      </c>
      <c r="E7" s="629">
        <v>750000000</v>
      </c>
      <c r="F7" s="629"/>
      <c r="G7" s="758">
        <v>28407188</v>
      </c>
      <c r="H7" s="758"/>
      <c r="I7" s="759">
        <v>4.2999999999999997E-2</v>
      </c>
    </row>
    <row r="8" spans="1:15" ht="18.75">
      <c r="A8" s="78"/>
      <c r="B8" s="585"/>
      <c r="C8" s="585"/>
      <c r="D8" s="585"/>
      <c r="E8" s="586"/>
      <c r="F8" s="585"/>
      <c r="G8"/>
      <c r="H8"/>
      <c r="I8"/>
      <c r="J8"/>
      <c r="K8"/>
    </row>
    <row r="9" spans="1:15">
      <c r="G9"/>
      <c r="H9"/>
      <c r="I9"/>
      <c r="J9"/>
      <c r="K9"/>
    </row>
    <row r="10" spans="1:15">
      <c r="A10"/>
      <c r="B10"/>
      <c r="C10"/>
      <c r="D10"/>
      <c r="E10"/>
      <c r="F10"/>
      <c r="G10"/>
      <c r="H10"/>
      <c r="I10"/>
      <c r="J10"/>
      <c r="K10"/>
    </row>
    <row r="11" spans="1:15" ht="15">
      <c r="A11" s="435"/>
      <c r="B11" s="587"/>
      <c r="C11" s="587"/>
      <c r="D11" s="587"/>
      <c r="E11" s="587"/>
      <c r="F11" s="587"/>
      <c r="G11" s="587"/>
      <c r="H11" s="435"/>
      <c r="I11" s="435"/>
      <c r="J11" s="435"/>
      <c r="K11" s="435"/>
    </row>
    <row r="12" spans="1:15" ht="15">
      <c r="A12" s="618"/>
      <c r="B12" s="587"/>
      <c r="C12" s="587"/>
      <c r="D12" s="587"/>
      <c r="E12" s="587"/>
      <c r="F12" s="587"/>
      <c r="G12" s="587"/>
      <c r="H12" s="435"/>
      <c r="I12" s="435"/>
      <c r="J12" s="435"/>
      <c r="K12" s="435"/>
    </row>
    <row r="13" spans="1:15" ht="15">
      <c r="A13" s="435"/>
      <c r="B13" s="588"/>
      <c r="C13" s="589"/>
      <c r="D13" s="588"/>
      <c r="E13" s="589"/>
      <c r="F13" s="587"/>
      <c r="G13" s="435"/>
      <c r="H13" s="435"/>
      <c r="I13" s="435"/>
      <c r="J13" s="435"/>
      <c r="K13" s="435"/>
    </row>
    <row r="14" spans="1:15" ht="15">
      <c r="A14" s="436"/>
      <c r="B14"/>
      <c r="C14"/>
      <c r="D14"/>
      <c r="E14"/>
      <c r="F14"/>
      <c r="G14"/>
      <c r="H14"/>
      <c r="I14"/>
      <c r="J14"/>
      <c r="K14"/>
    </row>
    <row r="15" spans="1:15" ht="15">
      <c r="A15" s="436"/>
      <c r="B15" s="590"/>
      <c r="C15" s="591"/>
      <c r="D15" s="592"/>
      <c r="E15" s="592"/>
      <c r="F15" s="593"/>
      <c r="G15" s="594"/>
      <c r="H15"/>
      <c r="I15"/>
      <c r="J15"/>
      <c r="K15" s="435"/>
    </row>
    <row r="16" spans="1:15" ht="15">
      <c r="A16" s="436"/>
      <c r="B16" s="595"/>
      <c r="C16" s="591"/>
      <c r="D16" s="596"/>
      <c r="E16" s="596"/>
      <c r="F16" s="596"/>
      <c r="G16" s="594"/>
      <c r="H16"/>
      <c r="I16"/>
      <c r="J16"/>
      <c r="K16" s="435"/>
    </row>
    <row r="17" spans="1:11" ht="15">
      <c r="A17" s="436"/>
      <c r="B17" s="597"/>
      <c r="C17" s="591"/>
      <c r="D17" s="598"/>
      <c r="E17" s="598"/>
      <c r="F17" s="598"/>
      <c r="G17" s="599"/>
      <c r="H17"/>
      <c r="I17"/>
      <c r="J17"/>
      <c r="K17" s="435"/>
    </row>
    <row r="18" spans="1:11" ht="15">
      <c r="A18" s="436"/>
      <c r="B18" s="597"/>
      <c r="C18" s="591"/>
      <c r="D18" s="598"/>
      <c r="E18" s="598"/>
      <c r="F18" s="598"/>
      <c r="G18" s="599"/>
      <c r="H18"/>
      <c r="I18"/>
      <c r="J18"/>
      <c r="K18" s="435"/>
    </row>
    <row r="19" spans="1:11" ht="15">
      <c r="A19" s="436"/>
      <c r="B19" s="597"/>
      <c r="C19" s="600"/>
      <c r="D19" s="598"/>
      <c r="E19" s="598"/>
      <c r="F19" s="598"/>
      <c r="G19" s="599"/>
      <c r="H19"/>
      <c r="I19"/>
      <c r="J19"/>
      <c r="K19" s="435"/>
    </row>
    <row r="20" spans="1:11" ht="15">
      <c r="A20" s="436"/>
      <c r="B20" s="435"/>
      <c r="C20" s="435"/>
      <c r="D20" s="435"/>
      <c r="E20" s="435"/>
      <c r="F20" s="435"/>
      <c r="G20" s="599"/>
      <c r="H20"/>
      <c r="I20"/>
      <c r="J20"/>
      <c r="K20" s="435"/>
    </row>
    <row r="21" spans="1:11" ht="15.75">
      <c r="A21" s="764"/>
      <c r="B21" s="764"/>
      <c r="C21" s="764"/>
      <c r="D21" s="764"/>
      <c r="E21" s="764"/>
      <c r="F21" s="764"/>
      <c r="G21" s="601"/>
      <c r="H21"/>
      <c r="I21"/>
      <c r="J21"/>
      <c r="K21" s="435"/>
    </row>
    <row r="22" spans="1:11" ht="15">
      <c r="A22" s="436"/>
      <c r="B22" s="514"/>
      <c r="C22" s="514"/>
      <c r="D22"/>
      <c r="E22" s="540"/>
      <c r="F22" s="540"/>
      <c r="G22" s="601"/>
      <c r="H22"/>
      <c r="I22"/>
      <c r="J22"/>
      <c r="K22" s="435"/>
    </row>
    <row r="23" spans="1:11" ht="15">
      <c r="A23" s="436"/>
      <c r="B23" s="514"/>
      <c r="C23" s="514"/>
      <c r="D23"/>
      <c r="E23" s="540"/>
      <c r="F23" s="540"/>
      <c r="G23" s="601"/>
      <c r="H23"/>
      <c r="I23"/>
      <c r="J23"/>
      <c r="K23" s="435"/>
    </row>
    <row r="24" spans="1:11" ht="15">
      <c r="A24" s="436"/>
      <c r="B24" s="514"/>
      <c r="C24" s="514"/>
      <c r="D24"/>
      <c r="E24" s="540"/>
      <c r="F24" s="540"/>
      <c r="G24" s="601"/>
      <c r="H24"/>
      <c r="I24"/>
      <c r="J24"/>
      <c r="K24"/>
    </row>
    <row r="25" spans="1:11">
      <c r="A25" s="441"/>
      <c r="B25" s="602"/>
      <c r="C25" s="514"/>
      <c r="D25"/>
      <c r="E25" s="540"/>
      <c r="F25" s="540"/>
      <c r="G25" s="601"/>
      <c r="H25"/>
      <c r="I25"/>
      <c r="J25"/>
      <c r="K25"/>
    </row>
    <row r="26" spans="1:11">
      <c r="A26" s="539"/>
      <c r="B26" s="602"/>
      <c r="C26" s="514"/>
      <c r="D26"/>
      <c r="E26" s="540"/>
      <c r="F26" s="540"/>
      <c r="G26" s="601"/>
      <c r="H26"/>
      <c r="I26"/>
      <c r="J26"/>
      <c r="K26"/>
    </row>
    <row r="27" spans="1:11" ht="15">
      <c r="A27" s="603"/>
      <c r="B27" s="604"/>
      <c r="C27" s="604"/>
      <c r="D27" s="605"/>
      <c r="E27" s="606"/>
      <c r="F27" s="606"/>
      <c r="G27" s="607"/>
      <c r="H27"/>
      <c r="I27"/>
      <c r="J27"/>
      <c r="K27"/>
    </row>
    <row r="28" spans="1:11">
      <c r="A28" s="441"/>
      <c r="B28" s="515"/>
      <c r="C28" s="515"/>
      <c r="D28" s="441"/>
      <c r="E28" s="541"/>
      <c r="F28" s="541"/>
      <c r="G28" s="608"/>
      <c r="H28"/>
      <c r="I28"/>
      <c r="J28"/>
      <c r="K28"/>
    </row>
    <row r="29" spans="1:11">
      <c r="A29" s="441"/>
      <c r="B29" s="514"/>
      <c r="C29" s="514"/>
      <c r="D29"/>
      <c r="E29" s="540"/>
      <c r="F29" s="540"/>
      <c r="G29" s="601"/>
      <c r="H29"/>
      <c r="I29"/>
      <c r="J29"/>
      <c r="K29"/>
    </row>
    <row r="30" spans="1:11">
      <c r="A30" s="176"/>
      <c r="B30" s="514"/>
      <c r="C30" s="514"/>
      <c r="E30" s="540"/>
      <c r="F30" s="540"/>
      <c r="G30" s="315"/>
    </row>
  </sheetData>
  <mergeCells count="2">
    <mergeCell ref="A1:I1"/>
    <mergeCell ref="A21:F21"/>
  </mergeCells>
  <phoneticPr fontId="2" type="noConversion"/>
  <printOptions horizontalCentered="1"/>
  <pageMargins left="0.75" right="0.75" top="1" bottom="1" header="0.5" footer="0.5"/>
  <pageSetup scale="62" orientation="landscape" r:id="rId1"/>
  <headerFooter alignWithMargins="0">
    <oddFooter>&amp;CSchedule 4</oddFooter>
  </headerFooter>
  <customProperties>
    <customPr name="_pios_id" r:id="rId2"/>
    <customPr name="EpmWorksheetKeyString_GUID" r:id="rId3"/>
    <customPr name="FPMExcelClientCellBasedFunctionStatus" r:id="rId4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AA59"/>
  <sheetViews>
    <sheetView showGridLines="0" topLeftCell="A30" workbookViewId="0">
      <selection activeCell="G14" sqref="G14"/>
    </sheetView>
  </sheetViews>
  <sheetFormatPr defaultColWidth="9.140625" defaultRowHeight="12.75"/>
  <cols>
    <col min="1" max="1" width="23.85546875" style="1" customWidth="1"/>
    <col min="2" max="2" width="18.42578125" style="1" customWidth="1"/>
    <col min="3" max="3" width="1.7109375" style="1" customWidth="1"/>
    <col min="4" max="4" width="14.28515625" style="1" customWidth="1"/>
    <col min="5" max="5" width="1.140625" style="1" customWidth="1"/>
    <col min="6" max="6" width="22.42578125" style="1" customWidth="1"/>
    <col min="7" max="7" width="22.140625" style="1" customWidth="1"/>
    <col min="8" max="8" width="14.7109375" style="1" customWidth="1"/>
    <col min="9" max="12" width="10.28515625" style="1" customWidth="1"/>
    <col min="13" max="13" width="2.5703125" style="1" customWidth="1"/>
    <col min="14" max="14" width="14.140625" style="1" customWidth="1"/>
    <col min="15" max="15" width="12" style="28" bestFit="1" customWidth="1"/>
    <col min="16" max="16" width="12.140625" style="28" customWidth="1"/>
    <col min="17" max="17" width="2.28515625" style="28" customWidth="1"/>
    <col min="18" max="18" width="11" style="28" customWidth="1"/>
    <col min="19" max="19" width="3.42578125" style="28" customWidth="1"/>
    <col min="20" max="20" width="12.42578125" style="28" customWidth="1"/>
    <col min="21" max="21" width="11.85546875" style="28" customWidth="1"/>
    <col min="22" max="22" width="10.5703125" style="28" customWidth="1"/>
    <col min="23" max="24" width="11" style="28" customWidth="1"/>
    <col min="25" max="25" width="11.28515625" style="28" customWidth="1"/>
    <col min="26" max="26" width="10.85546875" style="28" customWidth="1"/>
    <col min="27" max="27" width="12.85546875" style="28" customWidth="1"/>
    <col min="28" max="16384" width="9.140625" style="1"/>
  </cols>
  <sheetData>
    <row r="1" spans="1:27" ht="18.75">
      <c r="A1" s="53" t="str">
        <f>Reconciliation!A1</f>
        <v xml:space="preserve">Peoples Gas System 2024 BUDGET Property Tax Appraisal </v>
      </c>
      <c r="B1" s="53"/>
      <c r="C1" s="53"/>
      <c r="D1" s="53"/>
      <c r="E1" s="53"/>
      <c r="F1" s="53"/>
      <c r="G1" s="53"/>
      <c r="H1" s="54"/>
      <c r="O1" s="16"/>
      <c r="P1" s="16"/>
      <c r="Q1" s="16"/>
      <c r="R1" s="16"/>
      <c r="S1" s="16"/>
      <c r="T1" s="16"/>
      <c r="U1" s="16"/>
    </row>
    <row r="2" spans="1:27" ht="18" customHeight="1">
      <c r="A2" s="53" t="s">
        <v>260</v>
      </c>
      <c r="B2" s="53"/>
      <c r="C2" s="53"/>
      <c r="D2" s="53"/>
      <c r="E2" s="53"/>
      <c r="F2" s="53"/>
      <c r="G2" s="53"/>
      <c r="H2" s="54"/>
      <c r="O2" s="16"/>
      <c r="P2" s="16"/>
      <c r="Q2" s="16"/>
      <c r="R2" s="16"/>
      <c r="S2" s="16"/>
      <c r="T2" s="16"/>
      <c r="U2" s="16"/>
    </row>
    <row r="3" spans="1:27" ht="18.75">
      <c r="A3" s="141" t="s">
        <v>1876</v>
      </c>
      <c r="B3" s="141"/>
      <c r="C3" s="141"/>
      <c r="D3" s="141"/>
      <c r="E3" s="141"/>
      <c r="F3" s="141"/>
      <c r="G3" s="53"/>
      <c r="H3" s="54"/>
      <c r="O3" s="412"/>
      <c r="P3" s="412"/>
      <c r="Q3" s="412"/>
      <c r="R3" s="412"/>
      <c r="S3" s="412"/>
      <c r="T3" s="412"/>
      <c r="U3" s="16"/>
      <c r="Y3" s="28">
        <v>6</v>
      </c>
    </row>
    <row r="4" spans="1:27" ht="18.75">
      <c r="A4" s="141"/>
      <c r="B4" s="142" t="s">
        <v>231</v>
      </c>
      <c r="C4" s="142"/>
      <c r="D4" s="142" t="s">
        <v>232</v>
      </c>
      <c r="E4" s="142"/>
      <c r="F4" s="142" t="s">
        <v>233</v>
      </c>
      <c r="G4" s="53"/>
      <c r="H4" s="54"/>
      <c r="O4" s="412"/>
      <c r="P4" s="413"/>
      <c r="Q4" s="413"/>
      <c r="R4" s="413"/>
      <c r="S4" s="413"/>
      <c r="T4" s="413"/>
      <c r="U4" s="16"/>
    </row>
    <row r="5" spans="1:27" ht="18.75">
      <c r="A5" s="141"/>
      <c r="B5" s="142"/>
      <c r="C5" s="142"/>
      <c r="D5" s="142"/>
      <c r="E5" s="142"/>
      <c r="F5" s="142" t="s">
        <v>234</v>
      </c>
      <c r="G5" s="143"/>
      <c r="H5" s="54"/>
      <c r="O5" s="1"/>
      <c r="P5" s="1"/>
      <c r="Q5" s="1"/>
      <c r="R5" s="1"/>
      <c r="S5" s="1"/>
      <c r="T5" s="1"/>
      <c r="U5" s="1"/>
    </row>
    <row r="6" spans="1:27" ht="18.75">
      <c r="A6" s="74"/>
      <c r="B6" s="74" t="s">
        <v>19</v>
      </c>
      <c r="C6" s="144"/>
      <c r="D6" s="74"/>
      <c r="E6" s="145"/>
      <c r="F6" s="74" t="s">
        <v>18</v>
      </c>
      <c r="G6" s="145"/>
      <c r="O6" s="266"/>
      <c r="P6" s="414"/>
      <c r="Q6" s="414"/>
      <c r="R6" s="415"/>
      <c r="S6" s="415"/>
      <c r="T6" s="266"/>
      <c r="U6" s="415"/>
    </row>
    <row r="7" spans="1:27" ht="18.75">
      <c r="A7" s="75" t="s">
        <v>16</v>
      </c>
      <c r="B7" s="75" t="s">
        <v>235</v>
      </c>
      <c r="C7" s="146"/>
      <c r="D7" s="75" t="s">
        <v>17</v>
      </c>
      <c r="E7" s="146"/>
      <c r="F7" s="75" t="s">
        <v>19</v>
      </c>
      <c r="G7" s="145"/>
      <c r="O7" s="416"/>
      <c r="P7" s="416"/>
      <c r="Q7" s="416"/>
      <c r="R7" s="416"/>
      <c r="S7" s="416"/>
      <c r="T7" s="417"/>
      <c r="U7" s="415"/>
    </row>
    <row r="8" spans="1:27" ht="18.75">
      <c r="A8" s="74">
        <v>2021</v>
      </c>
      <c r="B8" s="73">
        <v>97220750</v>
      </c>
      <c r="C8" s="73"/>
      <c r="D8" s="74">
        <v>1</v>
      </c>
      <c r="E8" s="147"/>
      <c r="F8" s="73">
        <f>B8*(D8/Y3)</f>
        <v>16203458.333333332</v>
      </c>
      <c r="G8" s="54"/>
      <c r="H8" s="54"/>
      <c r="O8" s="266"/>
      <c r="P8" s="418"/>
      <c r="Q8" s="418"/>
      <c r="R8" s="419"/>
      <c r="S8" s="420"/>
      <c r="T8" s="418"/>
      <c r="U8" s="421"/>
    </row>
    <row r="9" spans="1:27" ht="19.5" customHeight="1">
      <c r="A9" s="74" t="s">
        <v>1874</v>
      </c>
      <c r="B9" s="73">
        <f>Z15</f>
        <v>104319925.66549912</v>
      </c>
      <c r="C9" s="73"/>
      <c r="D9" s="74">
        <v>2</v>
      </c>
      <c r="E9" s="147"/>
      <c r="F9" s="73">
        <f>B9*(D9/Y3)</f>
        <v>34773308.555166371</v>
      </c>
      <c r="G9" s="54"/>
      <c r="H9" s="54"/>
      <c r="O9" s="266"/>
      <c r="P9" s="418"/>
      <c r="Q9" s="418"/>
      <c r="R9" s="419"/>
      <c r="S9" s="420"/>
      <c r="T9" s="418"/>
      <c r="U9" s="421"/>
    </row>
    <row r="10" spans="1:27" ht="19.5" customHeight="1">
      <c r="A10" s="74" t="s">
        <v>1873</v>
      </c>
      <c r="B10" s="73">
        <f>AA15</f>
        <v>113111858</v>
      </c>
      <c r="C10" s="73"/>
      <c r="D10" s="74">
        <v>3</v>
      </c>
      <c r="E10" s="147"/>
      <c r="F10" s="73">
        <f>B10*(D10/Y3)</f>
        <v>56555929</v>
      </c>
      <c r="G10" s="54"/>
      <c r="H10" s="54"/>
      <c r="O10" s="422"/>
      <c r="P10" s="418"/>
      <c r="Q10" s="418"/>
      <c r="R10" s="419"/>
      <c r="S10" s="420"/>
      <c r="T10" s="418"/>
      <c r="U10" s="421"/>
    </row>
    <row r="11" spans="1:27" ht="19.5" customHeight="1">
      <c r="A11" s="531"/>
      <c r="B11" s="529" t="s">
        <v>1172</v>
      </c>
      <c r="C11" s="532"/>
      <c r="D11" s="533"/>
      <c r="E11" s="534"/>
      <c r="F11" s="529" t="s">
        <v>236</v>
      </c>
      <c r="G11" s="529" t="s">
        <v>1136</v>
      </c>
      <c r="H11" s="54"/>
      <c r="O11" s="422"/>
      <c r="P11" s="418"/>
      <c r="Q11" s="418"/>
      <c r="R11" s="419"/>
      <c r="S11" s="420"/>
      <c r="T11" s="418"/>
      <c r="U11" s="421"/>
    </row>
    <row r="12" spans="1:27" ht="19.5" customHeight="1">
      <c r="A12" s="535" t="s">
        <v>1872</v>
      </c>
      <c r="B12" s="530">
        <f>SUM(B8:B10)/3</f>
        <v>104884177.88849969</v>
      </c>
      <c r="C12" s="530"/>
      <c r="D12" s="536"/>
      <c r="E12" s="537"/>
      <c r="F12" s="530">
        <f>SUM(F8:F10)</f>
        <v>107532695.88849971</v>
      </c>
      <c r="G12" s="530">
        <v>107000000</v>
      </c>
      <c r="H12" s="54"/>
      <c r="I12" s="437"/>
      <c r="O12" s="176" t="s">
        <v>1762</v>
      </c>
      <c r="P12" s="389" t="s">
        <v>1761</v>
      </c>
      <c r="Q12" s="418"/>
      <c r="R12" s="389" t="s">
        <v>1766</v>
      </c>
      <c r="S12" s="420"/>
      <c r="T12" s="389" t="s">
        <v>1782</v>
      </c>
      <c r="U12" s="389" t="s">
        <v>1783</v>
      </c>
      <c r="V12" s="389" t="s">
        <v>1796</v>
      </c>
      <c r="W12" s="108" t="s">
        <v>1832</v>
      </c>
      <c r="X12" s="108" t="s">
        <v>1833</v>
      </c>
      <c r="Y12" s="108" t="s">
        <v>1836</v>
      </c>
      <c r="Z12" s="108" t="s">
        <v>1837</v>
      </c>
      <c r="AA12" s="108" t="s">
        <v>1844</v>
      </c>
    </row>
    <row r="13" spans="1:27" ht="18.75">
      <c r="I13" s="71"/>
      <c r="J13" s="71"/>
      <c r="K13" s="71"/>
      <c r="L13" s="71"/>
      <c r="O13" s="526">
        <v>34729226</v>
      </c>
      <c r="P13" s="526">
        <v>35834101.869999997</v>
      </c>
      <c r="Q13" s="418"/>
      <c r="R13" s="545">
        <v>35265270</v>
      </c>
      <c r="S13" s="420"/>
      <c r="T13" s="545">
        <v>34859000</v>
      </c>
      <c r="U13" s="545">
        <v>43000000</v>
      </c>
      <c r="V13" s="545">
        <v>47700000</v>
      </c>
      <c r="W13" s="545">
        <v>54029133</v>
      </c>
      <c r="X13" s="545">
        <v>51915389</v>
      </c>
      <c r="Y13" s="545">
        <v>77282929</v>
      </c>
      <c r="Z13" s="545">
        <v>82940000</v>
      </c>
      <c r="AA13" s="545">
        <v>84704670</v>
      </c>
    </row>
    <row r="14" spans="1:27" ht="17.25">
      <c r="I14" s="15"/>
      <c r="J14" s="15"/>
      <c r="K14" s="15"/>
      <c r="L14" s="15"/>
      <c r="O14" s="526">
        <v>11965023</v>
      </c>
      <c r="P14" s="265">
        <v>12237167.640000001</v>
      </c>
      <c r="Q14" s="423"/>
      <c r="R14" s="546">
        <v>13468366</v>
      </c>
      <c r="S14" s="424"/>
      <c r="T14" s="546">
        <v>13347622</v>
      </c>
      <c r="U14" s="545">
        <v>14113428</v>
      </c>
      <c r="V14" s="545">
        <v>14891315</v>
      </c>
      <c r="W14" s="545">
        <v>15895709</v>
      </c>
      <c r="X14" s="545">
        <v>15614669</v>
      </c>
      <c r="Y14" s="545">
        <v>19937821</v>
      </c>
      <c r="Z14" s="545">
        <v>21379925.665499125</v>
      </c>
      <c r="AA14" s="545">
        <v>28407188</v>
      </c>
    </row>
    <row r="15" spans="1:27" ht="18.75">
      <c r="A15" s="170" t="s">
        <v>1838</v>
      </c>
      <c r="B15" s="169"/>
      <c r="C15" s="169"/>
      <c r="D15" s="169"/>
      <c r="E15" s="169"/>
      <c r="F15" s="169"/>
      <c r="O15" s="528">
        <f>SUM(O13:O14)</f>
        <v>46694249</v>
      </c>
      <c r="P15" s="527">
        <f>SUM(P13:P14)</f>
        <v>48071269.509999998</v>
      </c>
      <c r="Q15" s="425"/>
      <c r="R15" s="547">
        <f>SUM(R13:R14)</f>
        <v>48733636</v>
      </c>
      <c r="S15" s="415"/>
      <c r="T15" s="547">
        <f t="shared" ref="T15:Y15" si="0">SUM(T13:T14)</f>
        <v>48206622</v>
      </c>
      <c r="U15" s="547">
        <f t="shared" si="0"/>
        <v>57113428</v>
      </c>
      <c r="V15" s="547">
        <f t="shared" si="0"/>
        <v>62591315</v>
      </c>
      <c r="W15" s="547">
        <f t="shared" si="0"/>
        <v>69924842</v>
      </c>
      <c r="X15" s="547">
        <f t="shared" si="0"/>
        <v>67530058</v>
      </c>
      <c r="Y15" s="547">
        <f t="shared" si="0"/>
        <v>97220750</v>
      </c>
      <c r="Z15" s="116">
        <f>SUM(Z13:Z14)</f>
        <v>104319925.66549912</v>
      </c>
      <c r="AA15" s="116">
        <f>AA13+AA14</f>
        <v>113111858</v>
      </c>
    </row>
    <row r="16" spans="1:27">
      <c r="U16" s="421"/>
    </row>
    <row r="17" spans="1:21" ht="16.899999999999999" customHeight="1">
      <c r="G17" s="169"/>
    </row>
    <row r="18" spans="1:21">
      <c r="O18" s="426"/>
      <c r="P18" s="16"/>
      <c r="Q18" s="16"/>
      <c r="R18" s="16"/>
      <c r="S18" s="16"/>
      <c r="T18" s="16"/>
      <c r="U18" s="16"/>
    </row>
    <row r="20" spans="1:21">
      <c r="R20" s="422"/>
      <c r="S20" s="422"/>
      <c r="T20" s="427"/>
    </row>
    <row r="22" spans="1:21" ht="18.75">
      <c r="A22" s="54"/>
      <c r="B22" s="54"/>
      <c r="C22" s="54"/>
      <c r="D22" s="54"/>
      <c r="E22" s="54"/>
      <c r="F22" s="73"/>
      <c r="R22" s="422"/>
      <c r="S22" s="422"/>
      <c r="T22" s="428"/>
    </row>
    <row r="23" spans="1:21" ht="18.75">
      <c r="A23" s="54"/>
      <c r="B23" s="54"/>
      <c r="C23" s="54"/>
      <c r="D23" s="54"/>
      <c r="E23" s="54"/>
      <c r="F23" s="73"/>
    </row>
    <row r="24" spans="1:21" ht="18.75">
      <c r="A24" s="54"/>
      <c r="B24" s="54"/>
      <c r="C24" s="54"/>
      <c r="D24" s="54"/>
      <c r="E24" s="54"/>
      <c r="F24" s="73"/>
      <c r="G24" s="54"/>
      <c r="R24" s="422"/>
      <c r="S24" s="422"/>
      <c r="T24" s="429"/>
      <c r="U24" s="421"/>
    </row>
    <row r="25" spans="1:21" ht="18.75">
      <c r="A25" s="54"/>
      <c r="B25" s="54"/>
      <c r="C25" s="54"/>
      <c r="D25" s="54"/>
      <c r="E25" s="54"/>
      <c r="F25" s="73"/>
      <c r="G25" s="54"/>
    </row>
    <row r="26" spans="1:21" ht="18.75">
      <c r="A26" s="54"/>
      <c r="B26" s="54"/>
      <c r="C26" s="54"/>
      <c r="D26" s="54"/>
      <c r="E26" s="54"/>
      <c r="F26" s="73"/>
      <c r="G26" s="54"/>
      <c r="P26" s="3"/>
      <c r="Q26" s="3"/>
      <c r="R26" s="3"/>
      <c r="S26" s="3"/>
      <c r="T26" s="434"/>
    </row>
    <row r="27" spans="1:21" ht="18.75">
      <c r="A27" s="54"/>
      <c r="B27" s="54"/>
      <c r="C27" s="54"/>
      <c r="D27" s="54"/>
      <c r="E27" s="54"/>
      <c r="F27" s="73"/>
      <c r="G27" s="54"/>
    </row>
    <row r="28" spans="1:21" ht="18.75">
      <c r="A28" s="54"/>
      <c r="B28" s="54"/>
      <c r="C28" s="54"/>
      <c r="D28" s="54"/>
      <c r="E28" s="54"/>
      <c r="F28" s="73"/>
      <c r="G28" s="54"/>
    </row>
    <row r="29" spans="1:21" ht="18.75">
      <c r="A29" s="54"/>
      <c r="B29" s="54"/>
      <c r="C29" s="54"/>
      <c r="D29" s="54"/>
      <c r="E29" s="54"/>
      <c r="F29" s="73"/>
      <c r="G29" s="54"/>
    </row>
    <row r="30" spans="1:21" ht="18.75">
      <c r="A30" s="54"/>
      <c r="B30" s="54"/>
      <c r="C30" s="54"/>
      <c r="D30" s="54"/>
      <c r="E30" s="54"/>
      <c r="F30" s="73"/>
      <c r="G30" s="54"/>
    </row>
    <row r="31" spans="1:21" ht="18.75">
      <c r="A31" s="54"/>
      <c r="B31" s="54"/>
      <c r="C31" s="54"/>
      <c r="D31" s="54"/>
      <c r="E31" s="54"/>
      <c r="F31" s="73"/>
      <c r="G31" s="54"/>
    </row>
    <row r="32" spans="1:21" ht="18.75">
      <c r="A32" s="54"/>
      <c r="B32" s="54"/>
      <c r="C32" s="54"/>
      <c r="D32" s="54"/>
      <c r="E32" s="54"/>
      <c r="F32" s="73"/>
      <c r="G32" s="54"/>
    </row>
    <row r="33" spans="1:7" ht="18.75">
      <c r="A33" s="54"/>
      <c r="B33" s="54"/>
      <c r="C33" s="54"/>
      <c r="D33" s="54"/>
      <c r="E33" s="54"/>
      <c r="F33" s="73"/>
      <c r="G33" s="54"/>
    </row>
    <row r="34" spans="1:7" ht="18.75">
      <c r="A34" s="54"/>
      <c r="B34" s="54"/>
      <c r="C34" s="54"/>
      <c r="D34" s="71" t="s">
        <v>1872</v>
      </c>
      <c r="E34" s="71"/>
      <c r="F34" s="395">
        <f>G12</f>
        <v>107000000</v>
      </c>
      <c r="G34" s="54"/>
    </row>
    <row r="35" spans="1:7" ht="18.75">
      <c r="A35" s="54"/>
      <c r="B35" s="54"/>
      <c r="C35" s="54"/>
      <c r="D35" s="54"/>
      <c r="E35" s="54"/>
      <c r="F35" s="54"/>
      <c r="G35" s="54"/>
    </row>
    <row r="36" spans="1:7" ht="18.75">
      <c r="A36" s="54"/>
      <c r="B36" s="54"/>
      <c r="C36" s="54"/>
      <c r="D36" s="71" t="s">
        <v>21</v>
      </c>
      <c r="E36" s="71"/>
      <c r="F36" s="538">
        <f>CapRate!F12</f>
        <v>8.3076311728883773E-2</v>
      </c>
      <c r="G36" s="54"/>
    </row>
    <row r="37" spans="1:7" ht="18.75">
      <c r="A37" s="54"/>
      <c r="B37" s="54"/>
      <c r="C37" s="54"/>
      <c r="D37" s="54"/>
      <c r="E37" s="54"/>
      <c r="F37" s="54"/>
      <c r="G37" s="54"/>
    </row>
    <row r="38" spans="1:7" ht="18.75">
      <c r="A38" s="54"/>
      <c r="B38" s="54"/>
      <c r="C38" s="54"/>
      <c r="D38" s="71" t="s">
        <v>70</v>
      </c>
      <c r="E38" s="71"/>
      <c r="F38" s="394">
        <f>F34/F36</f>
        <v>1287972440.9190218</v>
      </c>
      <c r="G38" s="54"/>
    </row>
    <row r="39" spans="1:7" ht="18.75">
      <c r="A39" s="54"/>
      <c r="B39" s="54"/>
      <c r="C39" s="54"/>
      <c r="D39" s="54"/>
      <c r="E39" s="54"/>
      <c r="F39" s="54"/>
      <c r="G39" s="54"/>
    </row>
    <row r="40" spans="1:7" ht="18.75">
      <c r="A40" s="54"/>
      <c r="B40" s="54"/>
      <c r="C40" s="54"/>
      <c r="D40" s="54"/>
      <c r="E40" s="54"/>
      <c r="F40" s="54"/>
    </row>
    <row r="41" spans="1:7" ht="18.75">
      <c r="G41" s="54"/>
    </row>
    <row r="42" spans="1:7" ht="18.75">
      <c r="A42" s="1">
        <v>2021</v>
      </c>
      <c r="B42" s="73">
        <f>B8</f>
        <v>97220750</v>
      </c>
      <c r="G42" s="54"/>
    </row>
    <row r="43" spans="1:7" ht="18.75">
      <c r="A43" s="1">
        <v>2022</v>
      </c>
      <c r="B43" s="73">
        <f>B9</f>
        <v>104319925.66549912</v>
      </c>
      <c r="G43" s="54"/>
    </row>
    <row r="44" spans="1:7" ht="18.75">
      <c r="A44" s="1">
        <v>2023</v>
      </c>
      <c r="B44" s="73">
        <f>B10</f>
        <v>113111858</v>
      </c>
    </row>
    <row r="45" spans="1:7" ht="18.75">
      <c r="A45" s="193" t="s">
        <v>1875</v>
      </c>
      <c r="B45" s="149">
        <f>G12</f>
        <v>107000000</v>
      </c>
    </row>
    <row r="48" spans="1:7" ht="15.75">
      <c r="B48" s="138"/>
      <c r="C48" s="3"/>
      <c r="D48" s="3"/>
      <c r="E48" s="3"/>
      <c r="F48" s="3"/>
    </row>
    <row r="49" spans="2:7" ht="16.899999999999999" customHeight="1">
      <c r="C49" s="3"/>
      <c r="D49" s="3"/>
      <c r="E49" s="3"/>
      <c r="F49" s="3"/>
    </row>
    <row r="50" spans="2:7" ht="16.899999999999999" customHeight="1">
      <c r="C50" s="140"/>
      <c r="D50" s="3"/>
      <c r="E50" s="3"/>
      <c r="F50" s="3"/>
      <c r="G50" s="3"/>
    </row>
    <row r="51" spans="2:7" ht="16.899999999999999" customHeight="1">
      <c r="C51" s="140"/>
      <c r="D51" s="3"/>
      <c r="E51" s="3"/>
      <c r="F51" s="3"/>
      <c r="G51" s="3"/>
    </row>
    <row r="52" spans="2:7" ht="15.75">
      <c r="C52" s="140"/>
      <c r="D52" s="3"/>
      <c r="E52" s="3"/>
      <c r="F52" s="3"/>
      <c r="G52" s="3"/>
    </row>
    <row r="53" spans="2:7" ht="15.75">
      <c r="B53" s="139"/>
      <c r="C53" s="138"/>
      <c r="G53" s="3"/>
    </row>
    <row r="54" spans="2:7" ht="15.75">
      <c r="C54" s="139"/>
      <c r="G54" s="3"/>
    </row>
    <row r="59" spans="2:7" ht="24" customHeight="1"/>
  </sheetData>
  <phoneticPr fontId="2" type="noConversion"/>
  <printOptions horizontalCentered="1"/>
  <pageMargins left="0.75" right="0.75" top="1" bottom="1" header="0.5" footer="0.5"/>
  <pageSetup scale="87" orientation="portrait" r:id="rId1"/>
  <headerFooter alignWithMargins="0">
    <oddFooter>&amp;CSchedule 5</oddFooter>
  </headerFooter>
  <customProperties>
    <customPr name="_pios_id" r:id="rId2"/>
    <customPr name="EpmWorksheetKeyString_GUID" r:id="rId3"/>
  </customProperties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U73"/>
  <sheetViews>
    <sheetView showGridLines="0" topLeftCell="A6" workbookViewId="0">
      <selection activeCell="Q42" sqref="Q42:U42"/>
    </sheetView>
  </sheetViews>
  <sheetFormatPr defaultColWidth="9.140625" defaultRowHeight="15.75"/>
  <cols>
    <col min="1" max="1" width="4.5703125" style="1" customWidth="1"/>
    <col min="2" max="2" width="28.7109375" style="3" customWidth="1"/>
    <col min="3" max="3" width="10.42578125" style="3" customWidth="1"/>
    <col min="4" max="4" width="1.7109375" style="28" customWidth="1"/>
    <col min="5" max="5" width="14.140625" style="3" customWidth="1"/>
    <col min="6" max="6" width="1.7109375" style="3" customWidth="1"/>
    <col min="7" max="7" width="17.7109375" style="3" customWidth="1"/>
    <col min="8" max="8" width="13.7109375" style="3" customWidth="1"/>
    <col min="9" max="9" width="1.85546875" style="28" customWidth="1"/>
    <col min="10" max="10" width="17.42578125" style="3" customWidth="1"/>
    <col min="11" max="11" width="14" style="1" customWidth="1"/>
    <col min="12" max="12" width="10.85546875" style="1" customWidth="1"/>
    <col min="13" max="13" width="14.5703125" style="1" bestFit="1" customWidth="1"/>
    <col min="14" max="14" width="10.7109375" style="1" customWidth="1"/>
    <col min="15" max="15" width="9.140625" style="21"/>
    <col min="16" max="16" width="9.140625" style="1"/>
    <col min="17" max="17" width="10.7109375" style="1" bestFit="1" customWidth="1"/>
    <col min="18" max="16384" width="9.140625" style="1"/>
  </cols>
  <sheetData>
    <row r="1" spans="1:15" ht="18.75">
      <c r="A1" s="17"/>
      <c r="B1" s="53" t="str">
        <f>'Inc Approach'!A1</f>
        <v xml:space="preserve">Peoples Gas System 2024 BUDGET Property Tax Appraisal </v>
      </c>
      <c r="C1" s="17"/>
      <c r="D1" s="17"/>
      <c r="E1" s="17"/>
      <c r="F1" s="17"/>
      <c r="G1" s="17"/>
      <c r="H1" s="17"/>
      <c r="I1" s="17"/>
      <c r="J1" s="17"/>
      <c r="K1" s="18"/>
      <c r="L1" s="19"/>
      <c r="M1" s="20"/>
    </row>
    <row r="2" spans="1:15" ht="16.5" customHeight="1">
      <c r="A2" s="191" t="str">
        <f>'Cost Approach'!B3</f>
        <v>January 1, 2024</v>
      </c>
      <c r="B2" s="53"/>
      <c r="C2" s="17"/>
      <c r="D2" s="17"/>
      <c r="E2" s="17"/>
      <c r="F2" s="17"/>
      <c r="G2" s="17"/>
      <c r="H2" s="17"/>
      <c r="I2" s="17"/>
      <c r="J2" s="17"/>
      <c r="K2" s="19"/>
      <c r="L2" s="19"/>
      <c r="M2" s="20"/>
      <c r="N2" s="20"/>
      <c r="O2" s="22"/>
    </row>
    <row r="3" spans="1:15" ht="15" customHeight="1">
      <c r="A3" s="38" t="s">
        <v>73</v>
      </c>
      <c r="B3" s="11"/>
      <c r="C3" s="39"/>
      <c r="D3" s="23"/>
      <c r="E3" s="39"/>
      <c r="F3" s="39"/>
      <c r="G3" s="39"/>
      <c r="H3" s="39"/>
      <c r="I3" s="23"/>
      <c r="J3" s="39"/>
      <c r="K3" s="24"/>
      <c r="L3" s="25"/>
      <c r="M3" s="26"/>
      <c r="N3" s="26"/>
      <c r="O3" s="22"/>
    </row>
    <row r="4" spans="1:15">
      <c r="A4" s="2" t="s">
        <v>78</v>
      </c>
      <c r="C4" s="51"/>
      <c r="D4" s="29"/>
      <c r="E4" s="47"/>
      <c r="F4" s="47"/>
      <c r="G4" s="38"/>
      <c r="H4" s="47"/>
      <c r="I4" s="30"/>
      <c r="J4" s="38"/>
      <c r="L4" s="438"/>
    </row>
    <row r="5" spans="1:15">
      <c r="A5" s="32" t="s">
        <v>79</v>
      </c>
      <c r="B5" s="65" t="s">
        <v>61</v>
      </c>
      <c r="C5" s="11"/>
      <c r="D5" s="16"/>
      <c r="E5" s="38"/>
      <c r="F5" s="38"/>
      <c r="G5" s="38"/>
      <c r="H5" s="38"/>
      <c r="I5" s="27"/>
      <c r="J5" s="38"/>
      <c r="L5" s="31"/>
    </row>
    <row r="6" spans="1:15">
      <c r="A6" s="190" t="s">
        <v>103</v>
      </c>
      <c r="B6" s="5" t="s">
        <v>76</v>
      </c>
      <c r="E6" s="31"/>
      <c r="F6" s="31"/>
      <c r="G6" s="31"/>
      <c r="H6" s="31"/>
      <c r="I6" s="33"/>
      <c r="J6" s="68">
        <f>'BalSht-NBV'!C20/1000</f>
        <v>3198534.8835719256</v>
      </c>
      <c r="L6" s="31"/>
    </row>
    <row r="7" spans="1:15">
      <c r="A7" s="190" t="s">
        <v>104</v>
      </c>
      <c r="B7" s="5" t="s">
        <v>72</v>
      </c>
      <c r="E7" s="31"/>
      <c r="F7" s="31"/>
      <c r="G7" s="31"/>
      <c r="H7" s="31"/>
      <c r="I7" s="33"/>
      <c r="J7" s="40">
        <f>'BalSht-NBV'!C27/1000</f>
        <v>35607.097999999998</v>
      </c>
      <c r="L7" s="31"/>
    </row>
    <row r="8" spans="1:15">
      <c r="A8" s="190" t="s">
        <v>105</v>
      </c>
      <c r="B8" s="5" t="s">
        <v>32</v>
      </c>
      <c r="E8" s="31"/>
      <c r="F8" s="31"/>
      <c r="G8" s="31"/>
      <c r="H8" s="31"/>
      <c r="I8" s="33"/>
      <c r="J8" s="68">
        <f>+J6+J7</f>
        <v>3234141.9815719258</v>
      </c>
      <c r="L8" s="31"/>
    </row>
    <row r="9" spans="1:15">
      <c r="A9" s="190" t="s">
        <v>106</v>
      </c>
      <c r="B9" s="5" t="s">
        <v>74</v>
      </c>
      <c r="E9" s="31"/>
      <c r="F9" s="31"/>
      <c r="G9" s="31"/>
      <c r="H9" s="31"/>
      <c r="I9" s="33"/>
      <c r="J9" s="82">
        <f>'BalSht-NBV'!D20/1000</f>
        <v>-909534.6135599144</v>
      </c>
      <c r="L9" s="31"/>
    </row>
    <row r="10" spans="1:15">
      <c r="A10" s="190" t="s">
        <v>107</v>
      </c>
      <c r="B10" s="5" t="s">
        <v>33</v>
      </c>
      <c r="E10" s="31"/>
      <c r="F10" s="31"/>
      <c r="G10" s="31"/>
      <c r="H10" s="31"/>
      <c r="I10" s="33"/>
      <c r="J10" s="68">
        <f>+J8+J9</f>
        <v>2324607.3680120115</v>
      </c>
      <c r="L10" s="31"/>
    </row>
    <row r="11" spans="1:15">
      <c r="A11" s="190" t="s">
        <v>108</v>
      </c>
      <c r="B11" s="5" t="s">
        <v>85</v>
      </c>
      <c r="E11" s="31"/>
      <c r="F11" s="31"/>
      <c r="G11" s="31"/>
      <c r="H11" s="31"/>
      <c r="I11" s="33"/>
      <c r="J11" s="83">
        <f>'BalSht-NBV'!C28/1000</f>
        <v>4100</v>
      </c>
      <c r="L11" s="31"/>
    </row>
    <row r="12" spans="1:15">
      <c r="A12" s="190" t="s">
        <v>109</v>
      </c>
      <c r="B12" s="5" t="s">
        <v>66</v>
      </c>
      <c r="E12" s="31"/>
      <c r="F12" s="31"/>
      <c r="G12" s="31"/>
      <c r="H12" s="31"/>
      <c r="I12" s="33"/>
      <c r="J12" s="83">
        <f>'BalSht-NBV'!C23/1000</f>
        <v>1939.5515500000001</v>
      </c>
      <c r="L12" s="31"/>
    </row>
    <row r="13" spans="1:15">
      <c r="A13" s="190" t="s">
        <v>110</v>
      </c>
      <c r="B13" s="5" t="s">
        <v>77</v>
      </c>
      <c r="E13" s="31"/>
      <c r="F13" s="31"/>
      <c r="G13" s="31"/>
      <c r="H13" s="31"/>
      <c r="I13" s="33"/>
      <c r="J13" s="84">
        <f>'Sum. of Prop.'!F17/1000</f>
        <v>3.7442599999858066</v>
      </c>
      <c r="L13" s="31"/>
    </row>
    <row r="14" spans="1:15">
      <c r="A14" s="190" t="s">
        <v>111</v>
      </c>
      <c r="B14" s="5" t="s">
        <v>75</v>
      </c>
      <c r="E14" s="31"/>
      <c r="F14" s="31"/>
      <c r="G14" s="31"/>
      <c r="I14" s="33"/>
      <c r="J14" s="68">
        <f>SUM(J10:J13)</f>
        <v>2330650.6638220116</v>
      </c>
      <c r="L14" s="31"/>
    </row>
    <row r="15" spans="1:15">
      <c r="A15" s="190" t="s">
        <v>112</v>
      </c>
      <c r="B15" s="5" t="s">
        <v>1137</v>
      </c>
      <c r="E15" s="31"/>
      <c r="F15" s="31"/>
      <c r="G15" s="31"/>
      <c r="H15" s="48"/>
      <c r="I15" s="33"/>
      <c r="J15" s="41">
        <f>'Cost Approach'!D46</f>
        <v>0</v>
      </c>
      <c r="L15" s="31"/>
    </row>
    <row r="16" spans="1:15">
      <c r="A16" s="190" t="s">
        <v>113</v>
      </c>
      <c r="B16" s="5" t="s">
        <v>1138</v>
      </c>
      <c r="E16" s="31"/>
      <c r="F16" s="31"/>
      <c r="G16" s="31"/>
      <c r="H16" s="48"/>
      <c r="I16" s="33"/>
      <c r="J16" s="85">
        <f>J14*J15</f>
        <v>0</v>
      </c>
      <c r="L16" s="31"/>
    </row>
    <row r="17" spans="1:14" ht="18.75">
      <c r="A17" s="190" t="s">
        <v>114</v>
      </c>
      <c r="B17" s="157" t="s">
        <v>67</v>
      </c>
      <c r="C17" s="93"/>
      <c r="D17" s="108"/>
      <c r="E17" s="158"/>
      <c r="F17" s="158"/>
      <c r="G17" s="158"/>
      <c r="H17" s="158"/>
      <c r="I17" s="159"/>
      <c r="J17" s="390">
        <f>J14-J16</f>
        <v>2330650.6638220116</v>
      </c>
      <c r="L17" s="31"/>
    </row>
    <row r="18" spans="1:14">
      <c r="A18" s="190" t="s">
        <v>115</v>
      </c>
      <c r="B18" s="5"/>
      <c r="E18" s="31"/>
      <c r="F18" s="31"/>
      <c r="G18" s="31"/>
      <c r="H18" s="31"/>
      <c r="I18" s="33"/>
      <c r="J18" s="42"/>
      <c r="L18" s="31"/>
    </row>
    <row r="19" spans="1:14">
      <c r="A19" s="190" t="s">
        <v>116</v>
      </c>
      <c r="B19" s="65" t="s">
        <v>62</v>
      </c>
      <c r="E19" s="31"/>
      <c r="F19" s="31"/>
      <c r="G19" s="38"/>
      <c r="H19" s="38"/>
      <c r="I19" s="27"/>
      <c r="J19" s="43"/>
      <c r="L19" s="31"/>
      <c r="M19" s="28"/>
      <c r="N19" s="28"/>
    </row>
    <row r="20" spans="1:14" ht="14.25" customHeight="1">
      <c r="A20" s="190" t="s">
        <v>117</v>
      </c>
      <c r="B20" s="5" t="s">
        <v>1800</v>
      </c>
      <c r="C20" s="5"/>
      <c r="D20" s="6"/>
      <c r="E20" s="31"/>
      <c r="F20" s="31"/>
      <c r="G20" s="31"/>
      <c r="H20" s="31"/>
      <c r="I20" s="33"/>
      <c r="J20" s="69">
        <f>'Inc Approach'!F34/1000</f>
        <v>107000</v>
      </c>
      <c r="L20" s="31"/>
      <c r="M20" s="28"/>
      <c r="N20" s="28"/>
    </row>
    <row r="21" spans="1:14">
      <c r="A21" s="190" t="s">
        <v>118</v>
      </c>
      <c r="B21" s="5" t="s">
        <v>21</v>
      </c>
      <c r="C21" s="5"/>
      <c r="D21" s="6"/>
      <c r="E21" s="31"/>
      <c r="F21" s="31"/>
      <c r="G21" s="31"/>
      <c r="H21" s="31"/>
      <c r="I21" s="33"/>
      <c r="J21" s="44">
        <f>'Inc Approach'!F36</f>
        <v>8.3076311728883773E-2</v>
      </c>
      <c r="L21" s="31"/>
      <c r="M21" s="28"/>
      <c r="N21" s="28"/>
    </row>
    <row r="22" spans="1:14" ht="18.75">
      <c r="A22" s="190" t="s">
        <v>119</v>
      </c>
      <c r="B22" s="157" t="s">
        <v>244</v>
      </c>
      <c r="C22" s="157"/>
      <c r="D22" s="389"/>
      <c r="E22" s="158"/>
      <c r="F22" s="158"/>
      <c r="G22" s="158"/>
      <c r="H22" s="158"/>
      <c r="I22" s="159"/>
      <c r="J22" s="390">
        <f>J20/J21</f>
        <v>1287972.4409190218</v>
      </c>
      <c r="L22" s="31"/>
      <c r="N22" s="34"/>
    </row>
    <row r="23" spans="1:14">
      <c r="A23" s="190" t="s">
        <v>120</v>
      </c>
      <c r="B23" s="5"/>
      <c r="C23" s="5"/>
      <c r="D23" s="6"/>
      <c r="E23" s="31"/>
      <c r="F23" s="31"/>
      <c r="G23" s="31"/>
      <c r="H23" s="31"/>
      <c r="I23" s="33"/>
      <c r="J23" s="86"/>
      <c r="L23" s="33"/>
      <c r="N23" s="34"/>
    </row>
    <row r="24" spans="1:14" ht="14.25" customHeight="1">
      <c r="A24" s="190" t="s">
        <v>121</v>
      </c>
      <c r="B24" s="65" t="s">
        <v>80</v>
      </c>
      <c r="J24" s="7"/>
      <c r="K24" s="8"/>
      <c r="L24" s="33"/>
      <c r="M24" s="28"/>
      <c r="N24" s="28"/>
    </row>
    <row r="25" spans="1:14">
      <c r="A25" s="190" t="s">
        <v>122</v>
      </c>
      <c r="B25" s="5" t="s">
        <v>81</v>
      </c>
      <c r="E25" s="31"/>
      <c r="F25" s="31"/>
      <c r="G25" s="31"/>
      <c r="H25" s="31"/>
      <c r="I25" s="33"/>
      <c r="J25" s="69">
        <f>J17</f>
        <v>2330650.6638220116</v>
      </c>
      <c r="L25" s="33"/>
      <c r="M25" s="28"/>
      <c r="N25" s="28"/>
    </row>
    <row r="26" spans="1:14">
      <c r="A26" s="190" t="s">
        <v>123</v>
      </c>
      <c r="B26" s="5" t="s">
        <v>136</v>
      </c>
      <c r="E26" s="31"/>
      <c r="F26" s="31"/>
      <c r="G26" s="31"/>
      <c r="H26" s="31"/>
      <c r="I26" s="33"/>
      <c r="J26" s="69">
        <f>'Sum. of Prop.'!F27/1000*(1-'Cost Approach'!D46)</f>
        <v>2142220.0747229904</v>
      </c>
      <c r="L26" s="33"/>
      <c r="M26" s="28"/>
      <c r="N26" s="28"/>
    </row>
    <row r="27" spans="1:14">
      <c r="A27" s="190" t="s">
        <v>124</v>
      </c>
      <c r="B27" s="5" t="s">
        <v>245</v>
      </c>
      <c r="D27" s="1"/>
      <c r="E27" s="31"/>
      <c r="F27" s="31"/>
      <c r="G27" s="31"/>
      <c r="H27" s="31"/>
      <c r="I27" s="31"/>
      <c r="J27" s="69">
        <f>J22</f>
        <v>1287972.4409190218</v>
      </c>
      <c r="L27" s="33"/>
      <c r="M27" s="28"/>
    </row>
    <row r="28" spans="1:14">
      <c r="A28" s="190" t="s">
        <v>125</v>
      </c>
      <c r="B28" s="5" t="s">
        <v>246</v>
      </c>
      <c r="E28" s="31"/>
      <c r="F28" s="31"/>
      <c r="G28" s="31"/>
      <c r="H28" s="31"/>
      <c r="I28" s="33"/>
      <c r="J28" s="196">
        <f>'Sum. of Prop.'!H27</f>
        <v>0.91915107998638657</v>
      </c>
      <c r="K28" s="8"/>
      <c r="L28" s="33"/>
    </row>
    <row r="29" spans="1:14">
      <c r="A29" s="190" t="s">
        <v>126</v>
      </c>
      <c r="B29" s="5" t="s">
        <v>247</v>
      </c>
      <c r="E29" s="31"/>
      <c r="F29" s="31"/>
      <c r="G29" s="31"/>
      <c r="H29" s="31"/>
      <c r="I29" s="33"/>
      <c r="J29" s="69">
        <f>J27*J28</f>
        <v>1183841.2600634214</v>
      </c>
      <c r="K29" s="35"/>
      <c r="L29" s="31"/>
    </row>
    <row r="30" spans="1:14">
      <c r="A30" s="190" t="s">
        <v>127</v>
      </c>
      <c r="B30" s="5"/>
      <c r="E30" s="31"/>
      <c r="F30" s="31"/>
      <c r="G30" s="31"/>
      <c r="H30" s="31"/>
      <c r="I30" s="33"/>
      <c r="J30" s="45"/>
      <c r="K30" s="35"/>
      <c r="L30" s="31"/>
    </row>
    <row r="31" spans="1:14">
      <c r="A31" s="190" t="s">
        <v>128</v>
      </c>
      <c r="B31" s="5"/>
      <c r="E31" s="31"/>
      <c r="F31" s="31"/>
      <c r="G31" s="31"/>
      <c r="H31" s="49" t="s">
        <v>83</v>
      </c>
      <c r="I31" s="36"/>
      <c r="J31" s="189"/>
      <c r="K31" s="35"/>
      <c r="L31" s="31"/>
    </row>
    <row r="32" spans="1:14">
      <c r="A32" s="190" t="s">
        <v>129</v>
      </c>
      <c r="B32" s="5"/>
      <c r="E32" s="31"/>
      <c r="F32" s="31"/>
      <c r="G32" s="31"/>
      <c r="H32" s="31" t="s">
        <v>82</v>
      </c>
      <c r="I32" s="37"/>
      <c r="J32" s="46">
        <f>1-J33</f>
        <v>0.8</v>
      </c>
      <c r="K32" s="35"/>
      <c r="L32" s="31"/>
    </row>
    <row r="33" spans="1:21">
      <c r="A33" s="190" t="s">
        <v>130</v>
      </c>
      <c r="B33" s="5"/>
      <c r="E33" s="31"/>
      <c r="F33" s="31"/>
      <c r="G33" s="31"/>
      <c r="H33" s="31" t="s">
        <v>25</v>
      </c>
      <c r="I33" s="37"/>
      <c r="J33" s="46">
        <f>Reconciliation!D10</f>
        <v>0.2</v>
      </c>
      <c r="K33" s="35"/>
      <c r="L33" s="31"/>
    </row>
    <row r="34" spans="1:21">
      <c r="A34" s="190" t="s">
        <v>131</v>
      </c>
      <c r="B34" s="5"/>
      <c r="E34" s="31"/>
      <c r="F34" s="31"/>
      <c r="G34" s="31"/>
      <c r="K34" s="35"/>
      <c r="L34" s="31"/>
    </row>
    <row r="35" spans="1:21">
      <c r="A35" s="190" t="s">
        <v>132</v>
      </c>
      <c r="B35" s="5" t="s">
        <v>1139</v>
      </c>
      <c r="E35" s="31"/>
      <c r="F35" s="31"/>
      <c r="G35" s="31"/>
      <c r="H35" s="31"/>
      <c r="I35" s="33"/>
      <c r="J35" s="69">
        <f>(J29*J32)+(J33*J26)</f>
        <v>1375517.0229953353</v>
      </c>
      <c r="K35" s="35"/>
      <c r="L35" s="31"/>
    </row>
    <row r="36" spans="1:21">
      <c r="A36" s="190" t="s">
        <v>133</v>
      </c>
      <c r="B36" s="5" t="s">
        <v>84</v>
      </c>
      <c r="E36" s="31"/>
      <c r="F36" s="31"/>
      <c r="G36" s="31"/>
      <c r="H36" s="31"/>
      <c r="I36" s="33"/>
      <c r="J36" s="130">
        <f>J11</f>
        <v>4100</v>
      </c>
      <c r="K36" s="35"/>
      <c r="L36" s="31"/>
    </row>
    <row r="37" spans="1:21">
      <c r="A37" s="190" t="s">
        <v>134</v>
      </c>
      <c r="B37" s="157" t="s">
        <v>86</v>
      </c>
      <c r="C37" s="93"/>
      <c r="D37" s="108"/>
      <c r="E37" s="158"/>
      <c r="F37" s="158"/>
      <c r="G37" s="158"/>
      <c r="H37" s="158"/>
      <c r="I37" s="159"/>
      <c r="J37" s="391">
        <f>+J35+J36</f>
        <v>1379617.0229953353</v>
      </c>
      <c r="K37" s="35"/>
      <c r="L37" s="31"/>
    </row>
    <row r="38" spans="1:21">
      <c r="A38" s="2"/>
      <c r="B38" s="5"/>
      <c r="E38" s="31"/>
      <c r="F38" s="31"/>
      <c r="G38" s="31"/>
      <c r="H38" s="31"/>
      <c r="I38" s="31"/>
      <c r="J38" s="66"/>
      <c r="K38" s="35"/>
      <c r="L38" s="31"/>
    </row>
    <row r="39" spans="1:21" ht="18.75">
      <c r="B39" s="5"/>
      <c r="E39" s="19" t="s">
        <v>73</v>
      </c>
      <c r="F39" s="17"/>
      <c r="G39" s="17"/>
      <c r="H39" s="17"/>
      <c r="I39" s="38"/>
      <c r="J39" s="150"/>
      <c r="K39" s="35"/>
    </row>
    <row r="40" spans="1:21" ht="18.75">
      <c r="B40" s="5"/>
      <c r="E40" s="31"/>
      <c r="F40" s="31"/>
      <c r="G40" s="17" t="s">
        <v>237</v>
      </c>
      <c r="H40" s="38"/>
      <c r="I40" s="27"/>
      <c r="J40" s="150"/>
      <c r="K40" s="35"/>
    </row>
    <row r="41" spans="1:21">
      <c r="C41" s="9" t="s">
        <v>14</v>
      </c>
      <c r="E41" s="9" t="s">
        <v>42</v>
      </c>
      <c r="F41" s="50"/>
      <c r="G41" s="50" t="s">
        <v>238</v>
      </c>
      <c r="H41" s="50" t="s">
        <v>238</v>
      </c>
      <c r="I41" s="1"/>
      <c r="J41" s="151" t="s">
        <v>239</v>
      </c>
      <c r="K41" s="152"/>
    </row>
    <row r="42" spans="1:21">
      <c r="C42" s="4" t="s">
        <v>63</v>
      </c>
      <c r="E42" s="4" t="s">
        <v>25</v>
      </c>
      <c r="F42" s="4"/>
      <c r="G42" s="4" t="s">
        <v>25</v>
      </c>
      <c r="H42" s="4" t="s">
        <v>82</v>
      </c>
      <c r="I42" s="1"/>
      <c r="J42" s="43" t="s">
        <v>39</v>
      </c>
      <c r="K42" s="152"/>
      <c r="Q42" s="629" t="s">
        <v>1173</v>
      </c>
      <c r="R42" s="629"/>
      <c r="S42" s="629"/>
      <c r="T42" s="629"/>
      <c r="U42" s="629"/>
    </row>
    <row r="43" spans="1:21" s="696" customFormat="1">
      <c r="B43" s="697" t="s">
        <v>141</v>
      </c>
      <c r="C43" s="698"/>
      <c r="D43" s="698"/>
      <c r="E43" s="698"/>
      <c r="F43" s="698"/>
      <c r="G43" s="698"/>
      <c r="H43" s="698"/>
      <c r="I43" s="699"/>
      <c r="J43" s="700"/>
      <c r="O43" s="701"/>
    </row>
    <row r="44" spans="1:21" s="696" customFormat="1">
      <c r="B44" s="702" t="s">
        <v>258</v>
      </c>
      <c r="C44" s="703">
        <f>E44/E52</f>
        <v>3.7651989759610351E-2</v>
      </c>
      <c r="D44" s="704"/>
      <c r="E44" s="705">
        <v>88396</v>
      </c>
      <c r="F44" s="705"/>
      <c r="G44" s="705">
        <f>$J$26*C44</f>
        <v>80658.848316301752</v>
      </c>
      <c r="H44" s="705">
        <f>C44*$J$29</f>
        <v>44573.979000912157</v>
      </c>
      <c r="I44" s="706"/>
      <c r="J44" s="707">
        <f>C44*J35</f>
        <v>51790.952863990082</v>
      </c>
      <c r="O44" s="701"/>
      <c r="Q44" s="708">
        <f>J44*1000</f>
        <v>51790952.863990083</v>
      </c>
    </row>
    <row r="45" spans="1:21" s="696" customFormat="1">
      <c r="B45" s="698" t="s">
        <v>241</v>
      </c>
      <c r="C45" s="709" t="s">
        <v>242</v>
      </c>
      <c r="D45" s="710"/>
      <c r="E45" s="711">
        <v>210</v>
      </c>
      <c r="F45" s="712"/>
      <c r="G45" s="711">
        <f>E45</f>
        <v>210</v>
      </c>
      <c r="H45" s="711">
        <f>G45</f>
        <v>210</v>
      </c>
      <c r="I45" s="713"/>
      <c r="J45" s="714">
        <f>H45</f>
        <v>210</v>
      </c>
      <c r="O45" s="701"/>
    </row>
    <row r="46" spans="1:21" s="696" customFormat="1">
      <c r="B46" s="715" t="str">
        <f>B43</f>
        <v>Bay</v>
      </c>
      <c r="C46" s="716" t="s">
        <v>15</v>
      </c>
      <c r="D46" s="717"/>
      <c r="E46" s="705">
        <f>SUM(E44:E45)</f>
        <v>88606</v>
      </c>
      <c r="F46" s="705"/>
      <c r="G46" s="705">
        <f>SUM(G44:G45)</f>
        <v>80868.848316301752</v>
      </c>
      <c r="H46" s="705">
        <f>SUM(H44:H45)</f>
        <v>44783.979000912157</v>
      </c>
      <c r="I46" s="706"/>
      <c r="J46" s="718">
        <f>SUM(J44:J45)</f>
        <v>52000.952863990082</v>
      </c>
      <c r="O46" s="701"/>
    </row>
    <row r="47" spans="1:21" s="696" customFormat="1">
      <c r="B47" s="719"/>
      <c r="C47" s="719"/>
      <c r="D47" s="720"/>
      <c r="E47" s="719"/>
      <c r="F47" s="719"/>
      <c r="G47" s="719"/>
      <c r="H47" s="719"/>
      <c r="I47" s="720"/>
      <c r="J47" s="719"/>
      <c r="O47" s="701"/>
    </row>
    <row r="48" spans="1:21" s="696" customFormat="1">
      <c r="B48" s="719" t="s">
        <v>240</v>
      </c>
      <c r="C48" s="721">
        <f>E48/E52</f>
        <v>0.96234801024038963</v>
      </c>
      <c r="D48" s="720"/>
      <c r="E48" s="722">
        <f>('Alloc. Factors'!E50/1000)-E44</f>
        <v>2259315.2514999998</v>
      </c>
      <c r="F48" s="719"/>
      <c r="G48" s="722">
        <f>J26-G44</f>
        <v>2061561.2264066886</v>
      </c>
      <c r="H48" s="722">
        <f>J29-H44</f>
        <v>1139267.2810625094</v>
      </c>
      <c r="I48" s="723"/>
      <c r="J48" s="724">
        <f>C48*J35</f>
        <v>1323726.0701313452</v>
      </c>
      <c r="O48" s="701"/>
    </row>
    <row r="49" spans="2:15" s="696" customFormat="1">
      <c r="B49" s="719" t="s">
        <v>241</v>
      </c>
      <c r="C49" s="719"/>
      <c r="D49" s="720"/>
      <c r="E49" s="725">
        <f>('Alloc. Factors'!F50/1000)-E45</f>
        <v>2425.0120000000002</v>
      </c>
      <c r="F49" s="719"/>
      <c r="G49" s="725">
        <f>E49</f>
        <v>2425.0120000000002</v>
      </c>
      <c r="H49" s="725">
        <f>G49</f>
        <v>2425.0120000000002</v>
      </c>
      <c r="I49" s="726"/>
      <c r="J49" s="727">
        <f>H49</f>
        <v>2425.0120000000002</v>
      </c>
      <c r="O49" s="701"/>
    </row>
    <row r="50" spans="2:15" s="696" customFormat="1">
      <c r="B50" s="719"/>
      <c r="C50" s="728" t="s">
        <v>250</v>
      </c>
      <c r="D50" s="720"/>
      <c r="E50" s="722">
        <f>SUM(E48:E49)</f>
        <v>2261740.2634999999</v>
      </c>
      <c r="F50" s="719"/>
      <c r="G50" s="722">
        <f>SUM(G48:G49)</f>
        <v>2063986.2384066887</v>
      </c>
      <c r="H50" s="722">
        <f>SUM(H48:H49)</f>
        <v>1141692.2930625095</v>
      </c>
      <c r="I50" s="723"/>
      <c r="J50" s="729">
        <f>SUM(J48:J49)</f>
        <v>1326151.0821313453</v>
      </c>
      <c r="O50" s="701"/>
    </row>
    <row r="51" spans="2:15" s="696" customFormat="1">
      <c r="B51" s="719"/>
      <c r="C51" s="719"/>
      <c r="D51" s="720"/>
      <c r="E51" s="719"/>
      <c r="F51" s="719"/>
      <c r="G51" s="719"/>
      <c r="H51" s="719"/>
      <c r="I51" s="720"/>
      <c r="J51" s="719"/>
      <c r="O51" s="701"/>
    </row>
    <row r="52" spans="2:15" s="696" customFormat="1">
      <c r="B52" s="730" t="s">
        <v>258</v>
      </c>
      <c r="C52" s="721">
        <f>C48+C44</f>
        <v>1</v>
      </c>
      <c r="D52" s="720"/>
      <c r="E52" s="722">
        <f>E48+E44</f>
        <v>2347711.2514999998</v>
      </c>
      <c r="F52" s="719"/>
      <c r="G52" s="722">
        <f>G48+G44</f>
        <v>2142220.0747229904</v>
      </c>
      <c r="H52" s="722">
        <f>H48+H44</f>
        <v>1183841.2600634214</v>
      </c>
      <c r="I52" s="723"/>
      <c r="J52" s="722">
        <f>J48+J44</f>
        <v>1375517.0229953353</v>
      </c>
      <c r="O52" s="701"/>
    </row>
    <row r="53" spans="2:15" s="696" customFormat="1">
      <c r="B53" s="719" t="s">
        <v>241</v>
      </c>
      <c r="C53" s="719"/>
      <c r="D53" s="720"/>
      <c r="E53" s="725">
        <f>E49+E45</f>
        <v>2635.0120000000002</v>
      </c>
      <c r="F53" s="719"/>
      <c r="G53" s="725">
        <f>E53</f>
        <v>2635.0120000000002</v>
      </c>
      <c r="H53" s="725">
        <f>G53</f>
        <v>2635.0120000000002</v>
      </c>
      <c r="I53" s="726"/>
      <c r="J53" s="727">
        <f>H53</f>
        <v>2635.0120000000002</v>
      </c>
      <c r="O53" s="701"/>
    </row>
    <row r="54" spans="2:15" s="696" customFormat="1" ht="16.5" thickBot="1">
      <c r="B54" s="719"/>
      <c r="C54" s="728" t="s">
        <v>251</v>
      </c>
      <c r="D54" s="720"/>
      <c r="E54" s="731">
        <f>SUM(E52:E53)</f>
        <v>2350346.2634999999</v>
      </c>
      <c r="F54" s="719"/>
      <c r="G54" s="731">
        <f>SUM(G52:G53)</f>
        <v>2144855.0867229905</v>
      </c>
      <c r="H54" s="731">
        <f>SUM(H52:H53)</f>
        <v>1186476.2720634216</v>
      </c>
      <c r="I54" s="723"/>
      <c r="J54" s="731">
        <f>SUM(J52:J53)</f>
        <v>1378152.0349953354</v>
      </c>
      <c r="O54" s="701"/>
    </row>
    <row r="56" spans="2:15">
      <c r="B56" s="442"/>
      <c r="E56" s="7"/>
    </row>
    <row r="57" spans="2:15" ht="18.75">
      <c r="B57" s="5"/>
      <c r="E57" s="19"/>
      <c r="F57" s="17"/>
      <c r="G57" s="17"/>
      <c r="H57" s="17"/>
      <c r="I57" s="38"/>
      <c r="J57" s="150"/>
    </row>
    <row r="58" spans="2:15" ht="18.75">
      <c r="B58" s="5"/>
      <c r="E58" s="19"/>
      <c r="F58" s="17"/>
      <c r="G58" s="17"/>
      <c r="H58" s="17"/>
      <c r="I58" s="38"/>
      <c r="J58" s="150"/>
    </row>
    <row r="59" spans="2:15" ht="18.75">
      <c r="B59" s="5"/>
      <c r="E59" s="31"/>
      <c r="F59" s="31"/>
      <c r="G59" s="17"/>
      <c r="H59" s="38"/>
      <c r="I59" s="27"/>
      <c r="J59" s="150"/>
    </row>
    <row r="60" spans="2:15">
      <c r="C60" s="9"/>
      <c r="E60" s="9"/>
      <c r="F60" s="50"/>
      <c r="G60" s="50"/>
      <c r="H60" s="50"/>
      <c r="I60" s="1"/>
      <c r="J60" s="151"/>
    </row>
    <row r="61" spans="2:15">
      <c r="C61" s="4"/>
      <c r="E61" s="4"/>
      <c r="F61" s="4"/>
      <c r="G61" s="4"/>
      <c r="H61" s="4"/>
      <c r="I61" s="1"/>
      <c r="J61" s="43"/>
    </row>
    <row r="62" spans="2:15">
      <c r="B62" s="175"/>
      <c r="C62" s="93"/>
      <c r="D62" s="93"/>
      <c r="E62" s="93"/>
      <c r="F62" s="93"/>
      <c r="G62" s="93"/>
      <c r="H62" s="93"/>
      <c r="I62" s="176"/>
      <c r="J62" s="158"/>
    </row>
    <row r="63" spans="2:15">
      <c r="B63" s="194"/>
      <c r="C63" s="177"/>
      <c r="D63" s="178"/>
      <c r="E63" s="94"/>
      <c r="F63" s="94"/>
      <c r="G63" s="94"/>
      <c r="H63" s="94"/>
      <c r="I63" s="179"/>
      <c r="J63" s="160"/>
    </row>
    <row r="64" spans="2:15">
      <c r="B64" s="93"/>
      <c r="C64" s="106"/>
      <c r="D64" s="180"/>
      <c r="E64" s="181"/>
      <c r="F64" s="182"/>
      <c r="G64" s="181"/>
      <c r="H64" s="181"/>
      <c r="I64" s="183"/>
      <c r="J64" s="184"/>
    </row>
    <row r="65" spans="2:10">
      <c r="B65" s="93"/>
      <c r="C65" s="185"/>
      <c r="D65" s="186"/>
      <c r="E65" s="94"/>
      <c r="F65" s="94"/>
      <c r="G65" s="94"/>
      <c r="H65" s="94"/>
      <c r="I65" s="179"/>
      <c r="J65" s="187"/>
    </row>
    <row r="67" spans="2:10">
      <c r="C67" s="156"/>
      <c r="E67" s="7"/>
      <c r="G67" s="7"/>
      <c r="H67" s="7"/>
      <c r="I67" s="10"/>
      <c r="J67" s="69"/>
    </row>
    <row r="68" spans="2:10">
      <c r="E68" s="153"/>
      <c r="G68" s="153"/>
      <c r="H68" s="153"/>
      <c r="I68" s="133"/>
      <c r="J68" s="154"/>
    </row>
    <row r="69" spans="2:10">
      <c r="C69" s="48"/>
      <c r="E69" s="7"/>
      <c r="G69" s="7"/>
      <c r="H69" s="7"/>
      <c r="I69" s="10"/>
      <c r="J69" s="155"/>
    </row>
    <row r="71" spans="2:10">
      <c r="B71" s="193"/>
      <c r="C71" s="156"/>
      <c r="E71" s="7"/>
      <c r="G71" s="7"/>
      <c r="H71" s="7"/>
      <c r="I71" s="10"/>
      <c r="J71" s="7"/>
    </row>
    <row r="72" spans="2:10">
      <c r="E72" s="153"/>
      <c r="G72" s="153"/>
      <c r="H72" s="153"/>
      <c r="I72" s="133"/>
      <c r="J72" s="154"/>
    </row>
    <row r="73" spans="2:10" ht="16.5" thickBot="1">
      <c r="C73" s="48"/>
      <c r="E73" s="174"/>
      <c r="G73" s="174"/>
      <c r="H73" s="174"/>
      <c r="I73" s="10"/>
      <c r="J73" s="174"/>
    </row>
  </sheetData>
  <phoneticPr fontId="2" type="noConversion"/>
  <printOptions horizontalCentered="1"/>
  <pageMargins left="0.5" right="0.5" top="1.25" bottom="0.75" header="0.5" footer="0.5"/>
  <pageSetup scale="75" orientation="portrait" r:id="rId1"/>
  <headerFooter alignWithMargins="0">
    <oddFooter>&amp;CSchedule 6</oddFooter>
  </headerFooter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N211"/>
  <sheetViews>
    <sheetView showGridLines="0" workbookViewId="0">
      <selection activeCell="E25" sqref="E25"/>
    </sheetView>
  </sheetViews>
  <sheetFormatPr defaultColWidth="9.140625" defaultRowHeight="12.75"/>
  <cols>
    <col min="1" max="1" width="16.5703125" style="1" customWidth="1"/>
    <col min="2" max="2" width="20.28515625" style="1" customWidth="1"/>
    <col min="3" max="3" width="19.85546875" style="1" customWidth="1"/>
    <col min="4" max="4" width="10.140625" style="1" customWidth="1"/>
    <col min="5" max="5" width="21.42578125" style="1" customWidth="1"/>
    <col min="6" max="6" width="9.7109375" style="1" customWidth="1"/>
    <col min="7" max="7" width="24" style="1" customWidth="1"/>
    <col min="8" max="8" width="16" style="1" customWidth="1"/>
    <col min="9" max="9" width="21.42578125" style="1" customWidth="1"/>
    <col min="10" max="11" width="9.140625" style="1"/>
    <col min="12" max="12" width="12.85546875" style="1" bestFit="1" customWidth="1"/>
    <col min="13" max="16384" width="9.140625" style="1"/>
  </cols>
  <sheetData>
    <row r="1" spans="1:10" ht="18.75">
      <c r="A1" s="53" t="s">
        <v>1870</v>
      </c>
      <c r="B1" s="53"/>
      <c r="C1" s="53"/>
      <c r="D1" s="53"/>
      <c r="E1" s="169"/>
      <c r="F1" s="53"/>
      <c r="G1" s="169"/>
    </row>
    <row r="2" spans="1:10" ht="18.75">
      <c r="A2" s="53" t="s">
        <v>71</v>
      </c>
      <c r="B2" s="53"/>
      <c r="C2" s="53"/>
      <c r="D2" s="53"/>
      <c r="E2" s="169"/>
      <c r="F2" s="53"/>
      <c r="G2" s="169"/>
    </row>
    <row r="3" spans="1:10" ht="18.75">
      <c r="A3" s="70">
        <v>45292</v>
      </c>
      <c r="B3" s="53"/>
      <c r="C3" s="53"/>
      <c r="D3" s="53"/>
      <c r="E3" s="169"/>
      <c r="F3" s="53"/>
      <c r="G3" s="169"/>
    </row>
    <row r="4" spans="1:10" ht="18.75">
      <c r="A4" s="54"/>
      <c r="B4" s="54"/>
      <c r="C4" s="54"/>
      <c r="D4" s="54"/>
      <c r="E4" s="54"/>
      <c r="F4" s="54"/>
    </row>
    <row r="5" spans="1:10" ht="18.75">
      <c r="A5" s="54"/>
      <c r="B5" s="74"/>
      <c r="C5" s="74" t="s">
        <v>38</v>
      </c>
      <c r="D5" s="74"/>
      <c r="E5" s="74" t="s">
        <v>18</v>
      </c>
      <c r="F5" s="168" t="s">
        <v>102</v>
      </c>
    </row>
    <row r="6" spans="1:10" ht="18.75">
      <c r="A6" s="54"/>
      <c r="B6" s="75" t="s">
        <v>37</v>
      </c>
      <c r="C6" s="75" t="s">
        <v>39</v>
      </c>
      <c r="D6" s="75" t="s">
        <v>17</v>
      </c>
      <c r="E6" s="75" t="s">
        <v>39</v>
      </c>
      <c r="F6" s="75" t="s">
        <v>252</v>
      </c>
      <c r="G6" s="75" t="s">
        <v>252</v>
      </c>
    </row>
    <row r="7" spans="1:10" ht="18.75">
      <c r="A7" s="54"/>
      <c r="B7" s="54"/>
      <c r="C7" s="54"/>
      <c r="D7" s="54"/>
      <c r="E7" s="54"/>
      <c r="F7" s="54"/>
    </row>
    <row r="8" spans="1:10" ht="18.75">
      <c r="A8" s="54"/>
      <c r="B8" s="54" t="s">
        <v>40</v>
      </c>
      <c r="C8" s="73">
        <f>'Inc Approach'!F38</f>
        <v>1287972440.9190218</v>
      </c>
      <c r="D8" s="165">
        <v>0.8</v>
      </c>
      <c r="E8" s="73">
        <f>C8*D8</f>
        <v>1030377952.7352176</v>
      </c>
      <c r="F8" s="91">
        <f>'Sum. of Prop.'!H27</f>
        <v>0.91915107998638657</v>
      </c>
      <c r="G8" s="73">
        <f>E8*F8</f>
        <v>947073008.05073714</v>
      </c>
      <c r="I8" s="1">
        <f>G14/'Sum. of Prop.'!B27</f>
        <v>0.45949505224171566</v>
      </c>
      <c r="J8" s="1" t="s">
        <v>1763</v>
      </c>
    </row>
    <row r="9" spans="1:10" ht="18.75">
      <c r="A9" s="54"/>
      <c r="B9" s="54"/>
      <c r="C9" s="54"/>
      <c r="D9" s="165"/>
      <c r="E9" s="54"/>
      <c r="F9" s="54"/>
      <c r="G9" s="54"/>
    </row>
    <row r="10" spans="1:10" ht="18.75">
      <c r="A10" s="54"/>
      <c r="B10" s="54" t="s">
        <v>41</v>
      </c>
      <c r="C10" s="132">
        <f>'Cost Approach'!D22</f>
        <v>2330650663.822011</v>
      </c>
      <c r="D10" s="165">
        <v>0.2</v>
      </c>
      <c r="E10" s="132">
        <f>C10*D10</f>
        <v>466130132.76440221</v>
      </c>
      <c r="F10" s="91">
        <f>F8</f>
        <v>0.91915107998638657</v>
      </c>
      <c r="G10" s="73">
        <f>E10*F10</f>
        <v>428444014.94459802</v>
      </c>
    </row>
    <row r="11" spans="1:10" ht="18.75">
      <c r="A11" s="54"/>
      <c r="B11" s="54"/>
      <c r="C11" s="54"/>
      <c r="D11" s="165"/>
      <c r="E11" s="54"/>
      <c r="F11" s="54"/>
      <c r="G11" s="54"/>
    </row>
    <row r="12" spans="1:10" ht="18.75">
      <c r="A12" s="54"/>
      <c r="B12" s="54"/>
      <c r="C12" s="398" t="s">
        <v>259</v>
      </c>
      <c r="D12" s="439">
        <f>D10+D8</f>
        <v>1</v>
      </c>
      <c r="E12" s="397">
        <f>SUM(E8:E11)</f>
        <v>1496508085.4996197</v>
      </c>
      <c r="F12" s="54"/>
    </row>
    <row r="13" spans="1:10" ht="18.75">
      <c r="A13" s="54"/>
      <c r="B13" s="54"/>
      <c r="C13" s="54"/>
      <c r="D13" s="166"/>
      <c r="E13" s="54"/>
      <c r="F13" s="54"/>
    </row>
    <row r="14" spans="1:10" ht="18.75">
      <c r="A14" s="54"/>
      <c r="B14" s="54"/>
      <c r="C14" s="54"/>
      <c r="F14" s="71" t="s">
        <v>257</v>
      </c>
      <c r="G14" s="163">
        <f>G10+G8</f>
        <v>1375517022.9953351</v>
      </c>
    </row>
    <row r="15" spans="1:10" ht="18.75">
      <c r="A15" s="54"/>
      <c r="B15" s="54"/>
      <c r="C15" s="54"/>
      <c r="D15" s="54"/>
    </row>
    <row r="16" spans="1:10" ht="18.75">
      <c r="A16" s="54"/>
      <c r="B16" s="54"/>
      <c r="C16" s="54"/>
      <c r="D16" s="54"/>
      <c r="F16" s="71" t="s">
        <v>255</v>
      </c>
      <c r="G16" s="192">
        <f>'BalSht-NBV'!C28</f>
        <v>4100000</v>
      </c>
    </row>
    <row r="17" spans="1:14" ht="18.75">
      <c r="A17" s="54"/>
      <c r="B17" s="54"/>
      <c r="C17" s="54"/>
      <c r="D17" s="54"/>
      <c r="N17" s="542"/>
    </row>
    <row r="18" spans="1:14" ht="19.5" thickBot="1">
      <c r="A18" s="54"/>
      <c r="B18" s="54"/>
      <c r="C18" s="54"/>
      <c r="D18" s="54"/>
      <c r="F18" s="398" t="s">
        <v>256</v>
      </c>
      <c r="G18" s="396">
        <f>G14+G16</f>
        <v>1379617022.9953351</v>
      </c>
      <c r="N18" s="193"/>
    </row>
    <row r="19" spans="1:14" ht="19.5" thickTop="1">
      <c r="A19" s="54"/>
      <c r="B19" s="54"/>
      <c r="C19" s="54"/>
      <c r="D19" s="54"/>
      <c r="E19" s="54"/>
      <c r="F19" s="54"/>
    </row>
    <row r="20" spans="1:14" ht="18.75">
      <c r="A20" s="54"/>
      <c r="B20" s="54"/>
      <c r="C20" s="54"/>
      <c r="D20" s="54"/>
      <c r="E20" s="54"/>
      <c r="F20" s="54"/>
    </row>
    <row r="21" spans="1:14" ht="18.75">
      <c r="A21" s="54"/>
      <c r="B21" s="54"/>
      <c r="C21" s="54"/>
      <c r="D21" s="54"/>
      <c r="E21" s="54"/>
      <c r="F21" s="54"/>
    </row>
    <row r="22" spans="1:14" ht="16.5" customHeight="1">
      <c r="A22" s="54"/>
      <c r="B22" s="54"/>
      <c r="C22" s="54"/>
      <c r="D22" s="54"/>
      <c r="E22" s="54"/>
      <c r="F22" s="54"/>
      <c r="I22" s="67"/>
    </row>
    <row r="23" spans="1:14" ht="10.5" customHeight="1">
      <c r="A23" s="54"/>
      <c r="B23" s="54"/>
      <c r="C23" s="54"/>
      <c r="D23" s="54"/>
      <c r="E23" s="54"/>
      <c r="F23" s="54"/>
      <c r="H23" s="52"/>
      <c r="I23" s="52"/>
      <c r="J23" s="52"/>
      <c r="K23" s="52"/>
    </row>
    <row r="24" spans="1:14" ht="10.5" customHeight="1">
      <c r="B24" s="54"/>
      <c r="C24" s="54"/>
      <c r="D24" s="54"/>
      <c r="E24" s="54"/>
      <c r="H24" s="52"/>
      <c r="I24" s="52"/>
      <c r="J24" s="52"/>
      <c r="K24" s="52"/>
    </row>
    <row r="25" spans="1:14" ht="21" customHeight="1">
      <c r="C25" s="52"/>
      <c r="D25" s="52"/>
      <c r="E25" s="52"/>
      <c r="F25" s="52"/>
      <c r="G25" s="52"/>
      <c r="H25" s="52"/>
      <c r="I25" s="52"/>
      <c r="J25" s="52"/>
      <c r="K25" s="52"/>
    </row>
    <row r="26" spans="1:14" ht="10.5" customHeight="1">
      <c r="C26" s="52"/>
      <c r="D26" s="52"/>
      <c r="E26" s="52"/>
      <c r="F26" s="52"/>
      <c r="G26" s="52"/>
      <c r="H26" s="52"/>
      <c r="I26" s="52"/>
      <c r="J26" s="52"/>
      <c r="K26" s="52"/>
    </row>
    <row r="27" spans="1:14" ht="10.5" customHeight="1">
      <c r="C27" s="52"/>
      <c r="D27" s="52"/>
      <c r="E27" s="52"/>
      <c r="F27" s="52"/>
      <c r="G27" s="52"/>
      <c r="H27" s="52"/>
      <c r="I27" s="52"/>
      <c r="J27" s="52"/>
      <c r="K27" s="52"/>
    </row>
    <row r="28" spans="1:14" ht="10.5" customHeight="1">
      <c r="C28" s="52"/>
      <c r="D28" s="52"/>
      <c r="E28" s="52"/>
      <c r="F28" s="52"/>
      <c r="G28" s="52"/>
      <c r="H28" s="52"/>
      <c r="I28" s="52"/>
      <c r="J28" s="52"/>
      <c r="K28" s="52"/>
    </row>
    <row r="29" spans="1:14" ht="10.5" customHeight="1">
      <c r="C29" s="52"/>
      <c r="D29" s="52"/>
      <c r="E29" s="52"/>
      <c r="F29" s="52"/>
      <c r="G29" s="52"/>
      <c r="H29" s="52"/>
      <c r="I29" s="52"/>
      <c r="J29" s="52"/>
      <c r="K29" s="52"/>
    </row>
    <row r="30" spans="1:14" ht="10.5" customHeight="1">
      <c r="C30" s="52"/>
      <c r="D30" s="52"/>
      <c r="E30" s="52"/>
      <c r="F30" s="52"/>
      <c r="G30" s="52"/>
      <c r="H30" s="52"/>
      <c r="I30" s="52"/>
      <c r="J30" s="52"/>
      <c r="K30" s="52"/>
    </row>
    <row r="31" spans="1:14" ht="10.5" customHeight="1">
      <c r="C31" s="52"/>
      <c r="D31" s="52"/>
      <c r="E31" s="52"/>
      <c r="F31" s="52"/>
      <c r="G31" s="52"/>
      <c r="H31" s="52"/>
      <c r="I31" s="52"/>
      <c r="J31" s="52"/>
      <c r="K31" s="52"/>
    </row>
    <row r="32" spans="1:14" ht="15">
      <c r="C32" s="52"/>
      <c r="D32" s="52"/>
      <c r="E32" s="52"/>
      <c r="F32" s="52"/>
      <c r="G32" s="52"/>
      <c r="H32" s="52"/>
      <c r="I32" s="52"/>
      <c r="J32" s="52"/>
      <c r="K32" s="52"/>
    </row>
    <row r="33" spans="3:11" ht="15">
      <c r="C33" s="52"/>
      <c r="D33" s="52"/>
      <c r="E33" s="52"/>
      <c r="F33" s="52"/>
      <c r="G33" s="52"/>
      <c r="H33" s="52"/>
      <c r="I33" s="52"/>
      <c r="J33" s="52"/>
      <c r="K33" s="52"/>
    </row>
    <row r="34" spans="3:11" ht="15">
      <c r="C34" s="52"/>
      <c r="D34" s="52"/>
      <c r="E34" s="52"/>
      <c r="F34" s="52"/>
      <c r="G34" s="52"/>
      <c r="H34" s="52"/>
      <c r="I34" s="52"/>
      <c r="J34" s="52"/>
      <c r="K34" s="52"/>
    </row>
    <row r="35" spans="3:11" ht="15">
      <c r="C35" s="52"/>
      <c r="D35" s="52"/>
      <c r="E35" s="52"/>
      <c r="F35" s="52"/>
      <c r="G35" s="52"/>
      <c r="H35" s="52"/>
      <c r="I35" s="52"/>
      <c r="J35" s="52"/>
      <c r="K35" s="52"/>
    </row>
    <row r="36" spans="3:11" ht="15">
      <c r="C36" s="52"/>
      <c r="D36" s="52"/>
      <c r="E36" s="52"/>
      <c r="F36" s="52"/>
      <c r="G36" s="52"/>
      <c r="H36" s="52"/>
      <c r="I36" s="52"/>
      <c r="J36" s="52"/>
      <c r="K36" s="52"/>
    </row>
    <row r="37" spans="3:11" ht="15">
      <c r="C37" s="52"/>
      <c r="D37" s="52"/>
      <c r="E37" s="52"/>
      <c r="F37" s="52"/>
      <c r="G37" s="52"/>
      <c r="H37" s="52"/>
      <c r="I37" s="52"/>
      <c r="J37" s="52"/>
      <c r="K37" s="52"/>
    </row>
    <row r="38" spans="3:11" ht="15">
      <c r="C38" s="52"/>
      <c r="D38" s="52"/>
      <c r="E38" s="52"/>
      <c r="F38" s="52"/>
      <c r="G38" s="52"/>
      <c r="H38" s="52"/>
      <c r="I38" s="52"/>
      <c r="J38" s="52"/>
      <c r="K38" s="52"/>
    </row>
    <row r="39" spans="3:11" ht="15">
      <c r="C39" s="52"/>
      <c r="D39" s="52"/>
      <c r="E39" s="52"/>
      <c r="F39" s="52"/>
      <c r="G39" s="52"/>
      <c r="H39" s="52"/>
      <c r="I39" s="52"/>
      <c r="J39" s="52"/>
      <c r="K39" s="52"/>
    </row>
    <row r="40" spans="3:11" ht="15">
      <c r="C40" s="52"/>
      <c r="D40" s="52"/>
      <c r="E40" s="52"/>
      <c r="F40" s="52"/>
      <c r="G40" s="52"/>
      <c r="H40" s="52"/>
      <c r="I40" s="52"/>
      <c r="J40" s="52"/>
      <c r="K40" s="52"/>
    </row>
    <row r="41" spans="3:11" ht="15">
      <c r="C41" s="52"/>
      <c r="D41" s="52"/>
      <c r="E41" s="52"/>
      <c r="F41" s="52"/>
      <c r="G41" s="52"/>
      <c r="H41" s="52"/>
      <c r="I41" s="52"/>
      <c r="J41" s="52"/>
      <c r="K41" s="52"/>
    </row>
    <row r="42" spans="3:11" ht="15">
      <c r="C42" s="52"/>
      <c r="D42" s="52"/>
      <c r="E42" s="52"/>
      <c r="F42" s="52"/>
      <c r="G42" s="52"/>
      <c r="H42" s="52"/>
      <c r="I42" s="52"/>
      <c r="J42" s="52"/>
      <c r="K42" s="52"/>
    </row>
    <row r="43" spans="3:11" ht="15">
      <c r="C43" s="52"/>
      <c r="D43" s="52"/>
      <c r="E43" s="52"/>
      <c r="F43" s="52"/>
      <c r="G43" s="52"/>
      <c r="H43" s="52"/>
      <c r="I43" s="52"/>
      <c r="J43" s="52"/>
      <c r="K43" s="52"/>
    </row>
    <row r="44" spans="3:11" ht="15">
      <c r="C44" s="52"/>
      <c r="D44" s="52"/>
      <c r="E44" s="52"/>
      <c r="F44" s="52"/>
      <c r="G44" s="52"/>
      <c r="H44" s="52"/>
      <c r="I44" s="52"/>
      <c r="J44" s="52"/>
      <c r="K44" s="52"/>
    </row>
    <row r="45" spans="3:11" ht="8.25" customHeight="1">
      <c r="C45" s="52"/>
      <c r="D45" s="52"/>
      <c r="E45" s="52"/>
      <c r="F45" s="52"/>
      <c r="G45" s="52"/>
      <c r="H45" s="52"/>
      <c r="I45" s="52"/>
      <c r="J45" s="52"/>
      <c r="K45" s="52"/>
    </row>
    <row r="46" spans="3:11" ht="15">
      <c r="C46" s="52"/>
      <c r="D46" s="52"/>
      <c r="E46" s="52"/>
      <c r="F46" s="52"/>
      <c r="G46" s="52"/>
      <c r="H46" s="52"/>
      <c r="I46" s="52"/>
      <c r="J46" s="52"/>
      <c r="K46" s="52"/>
    </row>
    <row r="47" spans="3:11" ht="15">
      <c r="C47" s="52"/>
      <c r="D47" s="52"/>
      <c r="E47" s="52"/>
      <c r="F47" s="52"/>
      <c r="G47" s="52"/>
      <c r="H47" s="52"/>
      <c r="I47" s="52"/>
      <c r="J47" s="52"/>
      <c r="K47" s="52"/>
    </row>
    <row r="48" spans="3:11" ht="15">
      <c r="C48" s="52"/>
      <c r="D48" s="52"/>
      <c r="E48" s="52"/>
      <c r="F48" s="52"/>
      <c r="G48" s="52"/>
      <c r="H48" s="52"/>
      <c r="I48" s="52"/>
      <c r="J48" s="52"/>
      <c r="K48" s="52"/>
    </row>
    <row r="49" spans="3:11" ht="15">
      <c r="C49" s="52"/>
      <c r="D49" s="52"/>
      <c r="E49" s="52"/>
      <c r="F49" s="52"/>
      <c r="G49" s="52"/>
      <c r="H49" s="52"/>
      <c r="I49" s="52"/>
      <c r="J49" s="52"/>
      <c r="K49" s="52"/>
    </row>
    <row r="50" spans="3:11" ht="15">
      <c r="C50" s="52"/>
      <c r="D50" s="52"/>
      <c r="E50" s="52"/>
      <c r="F50" s="52"/>
      <c r="G50" s="52"/>
      <c r="H50" s="52"/>
      <c r="I50" s="52"/>
      <c r="J50" s="52"/>
      <c r="K50" s="52"/>
    </row>
    <row r="51" spans="3:11" ht="15">
      <c r="C51" s="52"/>
      <c r="D51" s="52"/>
      <c r="E51" s="52"/>
      <c r="F51" s="52"/>
      <c r="G51" s="52"/>
      <c r="H51" s="52"/>
      <c r="I51" s="52"/>
      <c r="J51" s="52"/>
      <c r="K51" s="52"/>
    </row>
    <row r="52" spans="3:11" ht="15">
      <c r="C52" s="52"/>
      <c r="D52" s="52"/>
      <c r="E52" s="52"/>
      <c r="F52" s="52"/>
      <c r="G52" s="52"/>
      <c r="H52" s="52"/>
      <c r="I52" s="52"/>
      <c r="J52" s="52"/>
      <c r="K52" s="52"/>
    </row>
    <row r="53" spans="3:11" ht="15">
      <c r="C53" s="52"/>
      <c r="D53" s="52"/>
      <c r="E53" s="52"/>
      <c r="F53" s="52"/>
      <c r="G53" s="52"/>
      <c r="H53" s="52"/>
      <c r="I53" s="52"/>
      <c r="J53" s="52"/>
      <c r="K53" s="52"/>
    </row>
    <row r="54" spans="3:11" ht="9" customHeight="1">
      <c r="C54" s="52"/>
      <c r="D54" s="52"/>
      <c r="E54" s="52"/>
      <c r="F54" s="52"/>
      <c r="G54" s="52"/>
      <c r="H54" s="52"/>
      <c r="I54" s="52"/>
      <c r="J54" s="52"/>
      <c r="K54" s="52"/>
    </row>
    <row r="55" spans="3:11" ht="15">
      <c r="C55" s="52"/>
      <c r="D55" s="52"/>
      <c r="E55" s="52"/>
      <c r="F55" s="52"/>
      <c r="G55" s="52"/>
      <c r="H55" s="52"/>
      <c r="I55" s="52"/>
      <c r="J55" s="52"/>
      <c r="K55" s="52"/>
    </row>
    <row r="56" spans="3:11" ht="15">
      <c r="C56" s="52"/>
      <c r="D56" s="52"/>
      <c r="E56" s="52"/>
      <c r="F56" s="52"/>
      <c r="G56" s="52"/>
      <c r="H56" s="52"/>
      <c r="I56" s="52"/>
      <c r="J56" s="52"/>
      <c r="K56" s="52"/>
    </row>
    <row r="57" spans="3:11" ht="15">
      <c r="C57" s="52"/>
      <c r="D57" s="52"/>
      <c r="E57" s="52"/>
      <c r="F57" s="52"/>
      <c r="G57" s="52"/>
      <c r="H57" s="52"/>
      <c r="I57" s="52"/>
      <c r="J57" s="52"/>
      <c r="K57" s="52"/>
    </row>
    <row r="58" spans="3:11" ht="15">
      <c r="C58" s="52"/>
      <c r="D58" s="52"/>
      <c r="E58" s="52"/>
      <c r="F58" s="52"/>
      <c r="G58" s="52"/>
      <c r="H58" s="52"/>
      <c r="I58" s="52"/>
      <c r="J58" s="52"/>
      <c r="K58" s="52"/>
    </row>
    <row r="59" spans="3:11" ht="15">
      <c r="C59" s="52"/>
      <c r="D59" s="52"/>
      <c r="E59" s="52"/>
      <c r="F59" s="52"/>
      <c r="G59" s="52"/>
      <c r="H59" s="52"/>
      <c r="I59" s="52"/>
      <c r="J59" s="52"/>
      <c r="K59" s="52"/>
    </row>
    <row r="60" spans="3:11" ht="15">
      <c r="C60" s="52"/>
      <c r="D60" s="52"/>
      <c r="E60" s="52"/>
      <c r="F60" s="52"/>
      <c r="G60" s="52"/>
      <c r="H60" s="52"/>
      <c r="I60" s="52"/>
      <c r="J60" s="52"/>
      <c r="K60" s="52"/>
    </row>
    <row r="61" spans="3:11" ht="15">
      <c r="C61" s="52"/>
      <c r="D61" s="52"/>
      <c r="E61" s="52"/>
      <c r="F61" s="52"/>
      <c r="G61" s="52"/>
      <c r="H61" s="52"/>
      <c r="I61" s="52"/>
      <c r="J61" s="52"/>
      <c r="K61" s="52"/>
    </row>
    <row r="62" spans="3:11" ht="15">
      <c r="C62" s="52"/>
      <c r="D62" s="52"/>
      <c r="E62" s="52"/>
      <c r="F62" s="52"/>
      <c r="G62" s="52"/>
      <c r="H62" s="52"/>
      <c r="I62" s="52"/>
      <c r="J62" s="52"/>
      <c r="K62" s="52"/>
    </row>
    <row r="63" spans="3:11" ht="15">
      <c r="C63" s="52"/>
      <c r="D63" s="52"/>
      <c r="E63" s="52"/>
      <c r="F63" s="52"/>
      <c r="G63" s="52"/>
      <c r="H63" s="52"/>
      <c r="I63" s="52"/>
      <c r="J63" s="52"/>
      <c r="K63" s="52"/>
    </row>
    <row r="64" spans="3:11" ht="15">
      <c r="C64" s="52"/>
      <c r="D64" s="52"/>
      <c r="E64" s="52"/>
      <c r="F64" s="52"/>
      <c r="G64" s="52"/>
      <c r="H64" s="52"/>
      <c r="I64" s="52"/>
      <c r="J64" s="52"/>
      <c r="K64" s="52"/>
    </row>
    <row r="65" spans="3:11" ht="15">
      <c r="C65" s="52"/>
      <c r="D65" s="52"/>
      <c r="E65" s="52"/>
      <c r="F65" s="52"/>
      <c r="G65" s="52"/>
      <c r="H65" s="52"/>
      <c r="I65" s="52"/>
      <c r="J65" s="52"/>
      <c r="K65" s="52"/>
    </row>
    <row r="66" spans="3:11" ht="15">
      <c r="C66" s="52"/>
      <c r="D66" s="52"/>
      <c r="E66" s="52"/>
      <c r="F66" s="52"/>
      <c r="G66" s="52"/>
      <c r="H66" s="52"/>
      <c r="I66" s="52"/>
      <c r="J66" s="52"/>
      <c r="K66" s="52"/>
    </row>
    <row r="67" spans="3:11" ht="15">
      <c r="C67" s="52"/>
      <c r="D67" s="52"/>
      <c r="E67" s="52"/>
      <c r="F67" s="52"/>
      <c r="G67" s="52"/>
      <c r="H67" s="52"/>
      <c r="I67" s="52"/>
      <c r="J67" s="52"/>
      <c r="K67" s="52"/>
    </row>
    <row r="68" spans="3:11" ht="15">
      <c r="C68" s="52"/>
      <c r="D68" s="52"/>
      <c r="E68" s="52"/>
      <c r="F68" s="52"/>
      <c r="G68" s="52"/>
      <c r="H68" s="52"/>
      <c r="I68" s="52"/>
      <c r="J68" s="52"/>
      <c r="K68" s="52"/>
    </row>
    <row r="69" spans="3:11" ht="15">
      <c r="C69" s="52"/>
      <c r="D69" s="52"/>
      <c r="E69" s="52"/>
      <c r="F69" s="52"/>
      <c r="G69" s="52"/>
      <c r="H69" s="52"/>
      <c r="I69" s="52"/>
      <c r="J69" s="52"/>
      <c r="K69" s="52"/>
    </row>
    <row r="70" spans="3:11" ht="15">
      <c r="C70" s="52"/>
      <c r="D70" s="52"/>
      <c r="E70" s="52"/>
      <c r="F70" s="52"/>
      <c r="G70" s="52"/>
      <c r="H70" s="52"/>
      <c r="I70" s="52"/>
      <c r="J70" s="52"/>
      <c r="K70" s="52"/>
    </row>
    <row r="71" spans="3:11" ht="15">
      <c r="C71" s="52"/>
      <c r="D71" s="52"/>
      <c r="E71" s="52"/>
      <c r="F71" s="52"/>
      <c r="G71" s="52"/>
      <c r="H71" s="52"/>
      <c r="I71" s="52"/>
      <c r="J71" s="52"/>
      <c r="K71" s="52"/>
    </row>
    <row r="72" spans="3:11" ht="15">
      <c r="C72" s="52"/>
      <c r="D72" s="52"/>
      <c r="E72" s="52"/>
      <c r="F72" s="52"/>
      <c r="G72" s="52"/>
      <c r="H72" s="52"/>
      <c r="I72" s="52"/>
      <c r="J72" s="52"/>
      <c r="K72" s="52"/>
    </row>
    <row r="73" spans="3:11" ht="15">
      <c r="C73" s="52"/>
      <c r="D73" s="52"/>
      <c r="E73" s="52"/>
      <c r="F73" s="52"/>
      <c r="G73" s="52"/>
      <c r="H73" s="52"/>
      <c r="I73" s="52"/>
      <c r="J73" s="52"/>
      <c r="K73" s="52"/>
    </row>
    <row r="74" spans="3:11" ht="15">
      <c r="C74" s="52"/>
      <c r="D74" s="52"/>
      <c r="E74" s="52"/>
      <c r="F74" s="52"/>
      <c r="G74" s="52"/>
      <c r="H74" s="52"/>
      <c r="I74" s="52"/>
      <c r="J74" s="52"/>
      <c r="K74" s="52"/>
    </row>
    <row r="75" spans="3:11" ht="15">
      <c r="C75" s="52"/>
      <c r="D75" s="52"/>
      <c r="E75" s="52"/>
      <c r="F75" s="52"/>
      <c r="G75" s="52"/>
      <c r="H75" s="52"/>
      <c r="I75" s="52"/>
      <c r="J75" s="52"/>
      <c r="K75" s="52"/>
    </row>
    <row r="76" spans="3:11" ht="15">
      <c r="C76" s="52"/>
      <c r="D76" s="52"/>
      <c r="E76" s="52"/>
      <c r="F76" s="52"/>
      <c r="G76" s="52"/>
      <c r="H76" s="52"/>
      <c r="I76" s="52"/>
      <c r="J76" s="52"/>
      <c r="K76" s="52"/>
    </row>
    <row r="77" spans="3:11" ht="15">
      <c r="C77" s="52"/>
      <c r="D77" s="52"/>
      <c r="E77" s="52"/>
      <c r="F77" s="52"/>
      <c r="G77" s="52"/>
      <c r="H77" s="52"/>
      <c r="I77" s="52"/>
      <c r="J77" s="52"/>
      <c r="K77" s="52"/>
    </row>
    <row r="78" spans="3:11" ht="15">
      <c r="C78" s="52"/>
      <c r="D78" s="52"/>
      <c r="E78" s="52"/>
      <c r="F78" s="52"/>
      <c r="G78" s="52"/>
      <c r="H78" s="52"/>
      <c r="I78" s="52"/>
      <c r="J78" s="52"/>
      <c r="K78" s="52"/>
    </row>
    <row r="79" spans="3:11" ht="15">
      <c r="C79" s="52"/>
      <c r="D79" s="52"/>
      <c r="E79" s="52"/>
      <c r="F79" s="52"/>
      <c r="G79" s="52"/>
      <c r="H79" s="52"/>
      <c r="I79" s="52"/>
      <c r="J79" s="52"/>
      <c r="K79" s="52"/>
    </row>
    <row r="80" spans="3:11" ht="15">
      <c r="C80" s="52"/>
      <c r="D80" s="52"/>
      <c r="E80" s="52"/>
      <c r="F80" s="52"/>
      <c r="G80" s="52"/>
      <c r="H80" s="52"/>
      <c r="I80" s="52"/>
      <c r="J80" s="52"/>
      <c r="K80" s="52"/>
    </row>
    <row r="81" spans="3:11" ht="15">
      <c r="C81" s="52"/>
      <c r="D81" s="52"/>
      <c r="E81" s="52"/>
      <c r="F81" s="52"/>
      <c r="G81" s="52"/>
      <c r="H81" s="52"/>
      <c r="I81" s="52"/>
      <c r="J81" s="52"/>
      <c r="K81" s="52"/>
    </row>
    <row r="82" spans="3:11" ht="15">
      <c r="C82" s="52"/>
      <c r="D82" s="52"/>
      <c r="E82" s="52"/>
      <c r="F82" s="52"/>
      <c r="G82" s="52"/>
      <c r="H82" s="52"/>
      <c r="I82" s="52"/>
      <c r="J82" s="52"/>
      <c r="K82" s="52"/>
    </row>
    <row r="83" spans="3:11" ht="15">
      <c r="C83" s="52"/>
      <c r="D83" s="52"/>
      <c r="E83" s="52"/>
      <c r="F83" s="52"/>
      <c r="G83" s="52"/>
      <c r="H83" s="52"/>
      <c r="I83" s="52"/>
      <c r="J83" s="52"/>
      <c r="K83" s="52"/>
    </row>
    <row r="84" spans="3:11" ht="15">
      <c r="C84" s="52"/>
      <c r="D84" s="52"/>
      <c r="E84" s="52"/>
      <c r="F84" s="52"/>
      <c r="G84" s="52"/>
      <c r="H84" s="52"/>
      <c r="I84" s="52"/>
      <c r="J84" s="52"/>
      <c r="K84" s="52"/>
    </row>
    <row r="85" spans="3:11" ht="15">
      <c r="C85" s="52"/>
      <c r="D85" s="52"/>
      <c r="E85" s="52"/>
      <c r="F85" s="52"/>
      <c r="G85" s="52"/>
      <c r="H85" s="52"/>
      <c r="I85" s="52"/>
      <c r="J85" s="52"/>
      <c r="K85" s="52"/>
    </row>
    <row r="86" spans="3:11" ht="15">
      <c r="C86" s="52"/>
      <c r="D86" s="52"/>
      <c r="E86" s="52"/>
      <c r="F86" s="52"/>
      <c r="G86" s="52"/>
      <c r="H86" s="52"/>
      <c r="I86" s="52"/>
      <c r="J86" s="52"/>
      <c r="K86" s="52"/>
    </row>
    <row r="87" spans="3:11" ht="15">
      <c r="C87" s="52"/>
      <c r="D87" s="52"/>
      <c r="E87" s="52"/>
      <c r="F87" s="52"/>
      <c r="G87" s="52"/>
      <c r="H87" s="52"/>
      <c r="I87" s="52"/>
      <c r="J87" s="52"/>
      <c r="K87" s="52"/>
    </row>
    <row r="88" spans="3:11" ht="15">
      <c r="C88" s="52"/>
      <c r="D88" s="52"/>
      <c r="E88" s="52"/>
      <c r="F88" s="52"/>
      <c r="G88" s="52"/>
      <c r="H88" s="52"/>
      <c r="I88" s="52"/>
      <c r="J88" s="52"/>
      <c r="K88" s="52"/>
    </row>
    <row r="89" spans="3:11" ht="15">
      <c r="C89" s="52"/>
      <c r="D89" s="52"/>
      <c r="E89" s="52"/>
      <c r="F89" s="52"/>
      <c r="G89" s="52"/>
      <c r="H89" s="52"/>
      <c r="I89" s="52"/>
      <c r="J89" s="52"/>
      <c r="K89" s="52"/>
    </row>
    <row r="90" spans="3:11" ht="15">
      <c r="C90" s="52"/>
      <c r="D90" s="52"/>
      <c r="E90" s="52"/>
      <c r="F90" s="52"/>
      <c r="G90" s="52"/>
      <c r="H90" s="52"/>
      <c r="I90" s="52"/>
      <c r="J90" s="52"/>
      <c r="K90" s="52"/>
    </row>
    <row r="91" spans="3:11" ht="15">
      <c r="C91" s="52"/>
      <c r="D91" s="52"/>
      <c r="E91" s="52"/>
      <c r="F91" s="52"/>
      <c r="G91" s="52"/>
      <c r="H91" s="52"/>
      <c r="I91" s="52"/>
      <c r="J91" s="52"/>
      <c r="K91" s="52"/>
    </row>
    <row r="92" spans="3:11" ht="15">
      <c r="C92" s="52"/>
      <c r="D92" s="52"/>
      <c r="E92" s="52"/>
      <c r="F92" s="52"/>
      <c r="G92" s="52"/>
      <c r="H92" s="52"/>
      <c r="I92" s="52"/>
      <c r="J92" s="52"/>
      <c r="K92" s="52"/>
    </row>
    <row r="93" spans="3:11" ht="15">
      <c r="C93" s="52"/>
      <c r="D93" s="52"/>
      <c r="E93" s="52"/>
      <c r="F93" s="52"/>
      <c r="G93" s="52"/>
      <c r="H93" s="52"/>
      <c r="I93" s="52"/>
      <c r="J93" s="52"/>
      <c r="K93" s="52"/>
    </row>
    <row r="94" spans="3:11" ht="15">
      <c r="C94" s="52"/>
      <c r="D94" s="52"/>
      <c r="E94" s="52"/>
      <c r="F94" s="52"/>
      <c r="G94" s="52"/>
      <c r="H94" s="52"/>
      <c r="I94" s="52"/>
      <c r="J94" s="52"/>
      <c r="K94" s="52"/>
    </row>
    <row r="95" spans="3:11" ht="15">
      <c r="C95" s="52"/>
      <c r="D95" s="52"/>
      <c r="E95" s="52"/>
      <c r="F95" s="52"/>
      <c r="G95" s="52"/>
      <c r="H95" s="52"/>
      <c r="I95" s="52"/>
      <c r="J95" s="52"/>
      <c r="K95" s="52"/>
    </row>
    <row r="96" spans="3:11" ht="15">
      <c r="C96" s="52"/>
      <c r="D96" s="52"/>
      <c r="E96" s="52"/>
      <c r="F96" s="52"/>
      <c r="G96" s="52"/>
      <c r="H96" s="52"/>
      <c r="I96" s="52"/>
      <c r="J96" s="52"/>
      <c r="K96" s="52"/>
    </row>
    <row r="97" spans="3:11" ht="15">
      <c r="C97" s="52"/>
      <c r="D97" s="52"/>
      <c r="E97" s="52"/>
      <c r="F97" s="52"/>
      <c r="G97" s="52"/>
      <c r="H97" s="52"/>
      <c r="I97" s="52"/>
      <c r="J97" s="52"/>
      <c r="K97" s="52"/>
    </row>
    <row r="98" spans="3:11" ht="15">
      <c r="C98" s="52"/>
      <c r="D98" s="52"/>
      <c r="E98" s="52"/>
      <c r="F98" s="52"/>
      <c r="G98" s="52"/>
      <c r="H98" s="52"/>
      <c r="I98" s="52"/>
      <c r="J98" s="52"/>
      <c r="K98" s="52"/>
    </row>
    <row r="99" spans="3:11" ht="15">
      <c r="C99" s="52"/>
      <c r="D99" s="52"/>
      <c r="E99" s="52"/>
      <c r="F99" s="52"/>
      <c r="G99" s="52"/>
      <c r="H99" s="52"/>
      <c r="I99" s="52"/>
      <c r="J99" s="52"/>
      <c r="K99" s="52"/>
    </row>
    <row r="100" spans="3:11" ht="15"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3:11" ht="15"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3:11" ht="15"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3:11" ht="15"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3:11" ht="15"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3:11" ht="15"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3:11" ht="15"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3:11" ht="15"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3:11" ht="15"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3:11" ht="15">
      <c r="C109" s="52"/>
      <c r="D109" s="52"/>
      <c r="E109" s="52"/>
      <c r="F109" s="52"/>
      <c r="G109" s="52"/>
      <c r="H109" s="52"/>
      <c r="I109" s="52"/>
      <c r="J109" s="52"/>
      <c r="K109" s="52"/>
    </row>
    <row r="110" spans="3:11" ht="15">
      <c r="C110" s="52"/>
      <c r="D110" s="52"/>
      <c r="E110" s="52"/>
      <c r="F110" s="52"/>
      <c r="G110" s="52"/>
      <c r="H110" s="52"/>
      <c r="I110" s="52"/>
      <c r="J110" s="52"/>
      <c r="K110" s="52"/>
    </row>
    <row r="111" spans="3:11" ht="15">
      <c r="C111" s="52"/>
      <c r="D111" s="52"/>
      <c r="E111" s="52"/>
      <c r="F111" s="52"/>
      <c r="G111" s="52"/>
      <c r="H111" s="52"/>
      <c r="I111" s="52"/>
      <c r="J111" s="52"/>
      <c r="K111" s="52"/>
    </row>
    <row r="112" spans="3:11" ht="15">
      <c r="C112" s="52"/>
      <c r="D112" s="52"/>
      <c r="E112" s="52"/>
      <c r="F112" s="52"/>
      <c r="G112" s="52"/>
      <c r="H112" s="52"/>
      <c r="I112" s="52"/>
      <c r="J112" s="52"/>
      <c r="K112" s="52"/>
    </row>
    <row r="113" spans="3:11" ht="15">
      <c r="C113" s="52"/>
      <c r="D113" s="52"/>
      <c r="E113" s="52"/>
      <c r="F113" s="52"/>
      <c r="G113" s="52"/>
      <c r="H113" s="52"/>
      <c r="I113" s="52"/>
      <c r="J113" s="52"/>
      <c r="K113" s="52"/>
    </row>
    <row r="114" spans="3:11" ht="15">
      <c r="C114" s="52"/>
      <c r="D114" s="52"/>
      <c r="E114" s="52"/>
      <c r="F114" s="52"/>
      <c r="G114" s="52"/>
      <c r="H114" s="52"/>
      <c r="I114" s="52"/>
      <c r="J114" s="52"/>
      <c r="K114" s="52"/>
    </row>
    <row r="115" spans="3:11" ht="15">
      <c r="C115" s="52"/>
      <c r="D115" s="52"/>
      <c r="E115" s="52"/>
      <c r="F115" s="52"/>
      <c r="G115" s="52"/>
      <c r="H115" s="52"/>
      <c r="I115" s="52"/>
      <c r="J115" s="52"/>
      <c r="K115" s="52"/>
    </row>
    <row r="116" spans="3:11" ht="15">
      <c r="C116" s="52"/>
      <c r="D116" s="52"/>
      <c r="E116" s="52"/>
      <c r="F116" s="52"/>
      <c r="G116" s="52"/>
      <c r="H116" s="52"/>
      <c r="I116" s="52"/>
      <c r="J116" s="52"/>
      <c r="K116" s="52"/>
    </row>
    <row r="117" spans="3:11" ht="15">
      <c r="C117" s="52"/>
      <c r="D117" s="52"/>
      <c r="E117" s="52"/>
      <c r="F117" s="52"/>
      <c r="G117" s="52"/>
      <c r="H117" s="52"/>
      <c r="I117" s="52"/>
      <c r="J117" s="52"/>
      <c r="K117" s="52"/>
    </row>
    <row r="118" spans="3:11" ht="15">
      <c r="C118" s="52"/>
      <c r="D118" s="52"/>
      <c r="E118" s="52"/>
      <c r="F118" s="52"/>
      <c r="G118" s="52"/>
      <c r="H118" s="52"/>
      <c r="I118" s="52"/>
      <c r="J118" s="52"/>
      <c r="K118" s="52"/>
    </row>
    <row r="119" spans="3:11" ht="15">
      <c r="C119" s="52"/>
      <c r="D119" s="52"/>
      <c r="E119" s="52"/>
      <c r="F119" s="52"/>
      <c r="G119" s="52"/>
      <c r="H119" s="52"/>
      <c r="I119" s="52"/>
      <c r="J119" s="52"/>
      <c r="K119" s="52"/>
    </row>
    <row r="120" spans="3:11" ht="15">
      <c r="C120" s="52"/>
      <c r="D120" s="52"/>
      <c r="E120" s="52"/>
      <c r="F120" s="52"/>
      <c r="G120" s="52"/>
      <c r="H120" s="52"/>
      <c r="I120" s="52"/>
      <c r="J120" s="52"/>
      <c r="K120" s="52"/>
    </row>
    <row r="121" spans="3:11" ht="15">
      <c r="C121" s="52"/>
      <c r="D121" s="52"/>
      <c r="E121" s="52"/>
      <c r="F121" s="52"/>
      <c r="G121" s="52"/>
      <c r="H121" s="52"/>
      <c r="I121" s="52"/>
      <c r="J121" s="52"/>
      <c r="K121" s="52"/>
    </row>
    <row r="122" spans="3:11" ht="15">
      <c r="C122" s="52"/>
      <c r="D122" s="52"/>
      <c r="E122" s="52"/>
      <c r="F122" s="52"/>
      <c r="G122" s="52"/>
      <c r="H122" s="52"/>
      <c r="I122" s="52"/>
      <c r="J122" s="52"/>
      <c r="K122" s="52"/>
    </row>
    <row r="123" spans="3:11" ht="15">
      <c r="C123" s="52"/>
      <c r="D123" s="52"/>
      <c r="E123" s="52"/>
      <c r="F123" s="52"/>
      <c r="G123" s="52"/>
      <c r="H123" s="52"/>
      <c r="I123" s="52"/>
      <c r="J123" s="52"/>
      <c r="K123" s="52"/>
    </row>
    <row r="124" spans="3:11" ht="15">
      <c r="C124" s="52"/>
      <c r="D124" s="52"/>
      <c r="E124" s="52"/>
      <c r="F124" s="52"/>
      <c r="G124" s="52"/>
      <c r="H124" s="52"/>
      <c r="I124" s="52"/>
      <c r="J124" s="52"/>
      <c r="K124" s="52"/>
    </row>
    <row r="125" spans="3:11" ht="15">
      <c r="C125" s="52"/>
      <c r="D125" s="52"/>
      <c r="E125" s="52"/>
      <c r="F125" s="52"/>
      <c r="G125" s="52"/>
      <c r="H125" s="52"/>
      <c r="I125" s="52"/>
      <c r="J125" s="52"/>
      <c r="K125" s="52"/>
    </row>
    <row r="126" spans="3:11" ht="15">
      <c r="C126" s="52"/>
      <c r="D126" s="52"/>
      <c r="E126" s="52"/>
      <c r="F126" s="52"/>
      <c r="G126" s="52"/>
      <c r="H126" s="52"/>
      <c r="I126" s="52"/>
      <c r="J126" s="52"/>
      <c r="K126" s="52"/>
    </row>
    <row r="127" spans="3:11" ht="15">
      <c r="C127" s="52"/>
      <c r="D127" s="52"/>
      <c r="E127" s="52"/>
      <c r="F127" s="52"/>
      <c r="G127" s="52"/>
      <c r="H127" s="52"/>
      <c r="I127" s="52"/>
      <c r="J127" s="52"/>
      <c r="K127" s="52"/>
    </row>
    <row r="128" spans="3:11" ht="15">
      <c r="C128" s="52"/>
      <c r="D128" s="52"/>
      <c r="E128" s="52"/>
      <c r="F128" s="52"/>
      <c r="G128" s="52"/>
      <c r="H128" s="52"/>
      <c r="I128" s="52"/>
      <c r="J128" s="52"/>
      <c r="K128" s="52"/>
    </row>
    <row r="129" spans="3:11" ht="15">
      <c r="C129" s="52"/>
      <c r="D129" s="52"/>
      <c r="E129" s="52"/>
      <c r="F129" s="52"/>
      <c r="G129" s="52"/>
      <c r="H129" s="52"/>
      <c r="I129" s="52"/>
      <c r="J129" s="52"/>
      <c r="K129" s="52"/>
    </row>
    <row r="130" spans="3:11" ht="15">
      <c r="C130" s="52"/>
      <c r="D130" s="52"/>
      <c r="E130" s="52"/>
      <c r="F130" s="52"/>
      <c r="G130" s="52"/>
      <c r="H130" s="52"/>
      <c r="I130" s="52"/>
      <c r="J130" s="52"/>
      <c r="K130" s="52"/>
    </row>
    <row r="131" spans="3:11" ht="15">
      <c r="C131" s="52"/>
      <c r="D131" s="52"/>
      <c r="E131" s="52"/>
      <c r="F131" s="52"/>
      <c r="G131" s="52"/>
      <c r="H131" s="52"/>
      <c r="I131" s="52"/>
      <c r="J131" s="52"/>
      <c r="K131" s="52"/>
    </row>
    <row r="132" spans="3:11" ht="15">
      <c r="C132" s="52"/>
      <c r="D132" s="52"/>
      <c r="E132" s="52"/>
      <c r="F132" s="52"/>
      <c r="G132" s="52"/>
      <c r="H132" s="52"/>
      <c r="I132" s="52"/>
      <c r="J132" s="52"/>
      <c r="K132" s="52"/>
    </row>
    <row r="133" spans="3:11" ht="15">
      <c r="C133" s="52"/>
      <c r="D133" s="52"/>
      <c r="E133" s="52"/>
      <c r="F133" s="52"/>
      <c r="G133" s="52"/>
      <c r="H133" s="52"/>
      <c r="I133" s="52"/>
      <c r="J133" s="52"/>
      <c r="K133" s="52"/>
    </row>
    <row r="134" spans="3:11" ht="15">
      <c r="C134" s="52"/>
      <c r="D134" s="52"/>
      <c r="E134" s="52"/>
      <c r="F134" s="52"/>
      <c r="G134" s="52"/>
      <c r="H134" s="52"/>
      <c r="I134" s="52"/>
      <c r="J134" s="52"/>
      <c r="K134" s="52"/>
    </row>
    <row r="135" spans="3:11" ht="15">
      <c r="C135" s="52"/>
      <c r="D135" s="52"/>
      <c r="E135" s="52"/>
      <c r="F135" s="52"/>
      <c r="G135" s="52"/>
      <c r="H135" s="52"/>
      <c r="I135" s="52"/>
      <c r="J135" s="52"/>
      <c r="K135" s="52"/>
    </row>
    <row r="136" spans="3:11" ht="15">
      <c r="C136" s="52"/>
      <c r="D136" s="52"/>
      <c r="E136" s="52"/>
      <c r="F136" s="52"/>
      <c r="G136" s="52"/>
      <c r="H136" s="52"/>
      <c r="I136" s="52"/>
      <c r="J136" s="52"/>
      <c r="K136" s="52"/>
    </row>
    <row r="137" spans="3:11" ht="15">
      <c r="C137" s="52"/>
      <c r="D137" s="52"/>
      <c r="E137" s="52"/>
      <c r="F137" s="52"/>
      <c r="G137" s="52"/>
      <c r="H137" s="52"/>
      <c r="I137" s="52"/>
      <c r="J137" s="52"/>
      <c r="K137" s="52"/>
    </row>
    <row r="138" spans="3:11" ht="15">
      <c r="C138" s="52"/>
      <c r="D138" s="52"/>
      <c r="E138" s="52"/>
      <c r="F138" s="52"/>
      <c r="G138" s="52"/>
      <c r="H138" s="52"/>
      <c r="I138" s="52"/>
      <c r="J138" s="52"/>
      <c r="K138" s="52"/>
    </row>
    <row r="139" spans="3:11" ht="15">
      <c r="C139" s="52"/>
      <c r="D139" s="52"/>
      <c r="E139" s="52"/>
      <c r="F139" s="52"/>
      <c r="G139" s="52"/>
      <c r="H139" s="52"/>
      <c r="I139" s="52"/>
      <c r="J139" s="52"/>
      <c r="K139" s="52"/>
    </row>
    <row r="140" spans="3:11" ht="15">
      <c r="C140" s="52"/>
      <c r="D140" s="52"/>
      <c r="E140" s="52"/>
      <c r="F140" s="52"/>
      <c r="G140" s="52"/>
      <c r="H140" s="52"/>
      <c r="I140" s="52"/>
      <c r="J140" s="52"/>
      <c r="K140" s="52"/>
    </row>
    <row r="141" spans="3:11" ht="15">
      <c r="C141" s="52"/>
      <c r="D141" s="52"/>
      <c r="E141" s="52"/>
      <c r="F141" s="52"/>
      <c r="G141" s="52"/>
      <c r="H141" s="52"/>
      <c r="I141" s="52"/>
      <c r="J141" s="52"/>
      <c r="K141" s="52"/>
    </row>
    <row r="142" spans="3:11" ht="15">
      <c r="C142" s="52"/>
      <c r="D142" s="52"/>
      <c r="E142" s="52"/>
      <c r="F142" s="52"/>
      <c r="G142" s="52"/>
      <c r="H142" s="52"/>
      <c r="I142" s="52"/>
      <c r="J142" s="52"/>
      <c r="K142" s="52"/>
    </row>
    <row r="143" spans="3:11" ht="15">
      <c r="C143" s="52"/>
      <c r="D143" s="52"/>
      <c r="E143" s="52"/>
      <c r="F143" s="52"/>
      <c r="G143" s="52"/>
      <c r="H143" s="52"/>
      <c r="I143" s="52"/>
      <c r="J143" s="52"/>
      <c r="K143" s="52"/>
    </row>
    <row r="144" spans="3:11" ht="15">
      <c r="C144" s="52"/>
      <c r="D144" s="52"/>
      <c r="E144" s="52"/>
      <c r="F144" s="52"/>
      <c r="G144" s="52"/>
      <c r="H144" s="52"/>
      <c r="I144" s="52"/>
      <c r="J144" s="52"/>
      <c r="K144" s="52"/>
    </row>
    <row r="145" spans="3:11" ht="15">
      <c r="C145" s="52"/>
      <c r="D145" s="52"/>
      <c r="E145" s="52"/>
      <c r="F145" s="52"/>
      <c r="G145" s="52"/>
      <c r="H145" s="52"/>
      <c r="I145" s="52"/>
      <c r="J145" s="52"/>
      <c r="K145" s="52"/>
    </row>
    <row r="146" spans="3:11" ht="15">
      <c r="C146" s="52"/>
      <c r="D146" s="52"/>
      <c r="E146" s="52"/>
      <c r="F146" s="52"/>
      <c r="G146" s="52"/>
      <c r="H146" s="52"/>
      <c r="I146" s="52"/>
      <c r="J146" s="52"/>
      <c r="K146" s="52"/>
    </row>
    <row r="147" spans="3:11" ht="15">
      <c r="C147" s="52"/>
      <c r="D147" s="52"/>
      <c r="E147" s="52"/>
      <c r="F147" s="52"/>
      <c r="G147" s="52"/>
      <c r="H147" s="52"/>
      <c r="I147" s="52"/>
      <c r="J147" s="52"/>
      <c r="K147" s="52"/>
    </row>
    <row r="148" spans="3:11" ht="15">
      <c r="C148" s="52"/>
      <c r="D148" s="52"/>
      <c r="E148" s="52"/>
      <c r="F148" s="52"/>
      <c r="G148" s="52"/>
      <c r="H148" s="52"/>
      <c r="I148" s="52"/>
      <c r="J148" s="52"/>
      <c r="K148" s="52"/>
    </row>
    <row r="149" spans="3:11" ht="15">
      <c r="C149" s="52"/>
      <c r="D149" s="52"/>
      <c r="E149" s="52"/>
      <c r="F149" s="52"/>
      <c r="G149" s="52"/>
      <c r="H149" s="52"/>
      <c r="I149" s="52"/>
      <c r="J149" s="52"/>
      <c r="K149" s="52"/>
    </row>
    <row r="150" spans="3:11" ht="15">
      <c r="C150" s="52"/>
      <c r="D150" s="52"/>
      <c r="E150" s="52"/>
      <c r="F150" s="52"/>
      <c r="G150" s="52"/>
      <c r="H150" s="52"/>
      <c r="I150" s="52"/>
      <c r="J150" s="52"/>
      <c r="K150" s="52"/>
    </row>
    <row r="151" spans="3:11" ht="15">
      <c r="C151" s="52"/>
      <c r="D151" s="52"/>
      <c r="E151" s="52"/>
      <c r="F151" s="52"/>
      <c r="G151" s="52"/>
      <c r="H151" s="52"/>
      <c r="I151" s="52"/>
      <c r="J151" s="52"/>
      <c r="K151" s="52"/>
    </row>
    <row r="152" spans="3:11" ht="15">
      <c r="C152" s="52"/>
      <c r="D152" s="52"/>
      <c r="E152" s="52"/>
      <c r="F152" s="52"/>
      <c r="G152" s="52"/>
      <c r="H152" s="52"/>
      <c r="I152" s="52"/>
      <c r="J152" s="52"/>
      <c r="K152" s="52"/>
    </row>
    <row r="153" spans="3:11" ht="15">
      <c r="C153" s="52"/>
      <c r="D153" s="52"/>
      <c r="E153" s="52"/>
      <c r="F153" s="52"/>
      <c r="G153" s="52"/>
      <c r="H153" s="52"/>
      <c r="I153" s="52"/>
      <c r="J153" s="52"/>
      <c r="K153" s="52"/>
    </row>
    <row r="154" spans="3:11" ht="15">
      <c r="C154" s="52"/>
      <c r="D154" s="52"/>
      <c r="E154" s="52"/>
      <c r="F154" s="52"/>
      <c r="G154" s="52"/>
      <c r="H154" s="52"/>
      <c r="I154" s="52"/>
      <c r="J154" s="52"/>
      <c r="K154" s="52"/>
    </row>
    <row r="155" spans="3:11" ht="15">
      <c r="C155" s="52"/>
      <c r="D155" s="52"/>
      <c r="E155" s="52"/>
      <c r="F155" s="52"/>
      <c r="G155" s="52"/>
      <c r="H155" s="52"/>
      <c r="I155" s="52"/>
      <c r="J155" s="52"/>
      <c r="K155" s="52"/>
    </row>
    <row r="156" spans="3:11" ht="15">
      <c r="C156" s="52"/>
      <c r="D156" s="52"/>
      <c r="E156" s="52"/>
      <c r="F156" s="52"/>
      <c r="G156" s="52"/>
      <c r="H156" s="52"/>
      <c r="I156" s="52"/>
      <c r="J156" s="52"/>
      <c r="K156" s="52"/>
    </row>
    <row r="157" spans="3:11" ht="15">
      <c r="C157" s="52"/>
      <c r="D157" s="52"/>
      <c r="E157" s="52"/>
      <c r="F157" s="52"/>
      <c r="G157" s="52"/>
      <c r="H157" s="52"/>
      <c r="I157" s="52"/>
      <c r="J157" s="52"/>
      <c r="K157" s="52"/>
    </row>
    <row r="158" spans="3:11" ht="15">
      <c r="C158" s="52"/>
      <c r="D158" s="52"/>
      <c r="E158" s="52"/>
      <c r="F158" s="52"/>
      <c r="G158" s="52"/>
      <c r="H158" s="52"/>
      <c r="I158" s="52"/>
      <c r="J158" s="52"/>
      <c r="K158" s="52"/>
    </row>
    <row r="159" spans="3:11" ht="15">
      <c r="C159" s="52"/>
      <c r="D159" s="52"/>
      <c r="E159" s="52"/>
      <c r="F159" s="52"/>
      <c r="G159" s="52"/>
      <c r="H159" s="52"/>
      <c r="I159" s="52"/>
      <c r="J159" s="52"/>
      <c r="K159" s="52"/>
    </row>
    <row r="160" spans="3:11" ht="15">
      <c r="C160" s="52"/>
      <c r="D160" s="52"/>
      <c r="E160" s="52"/>
      <c r="F160" s="52"/>
      <c r="G160" s="52"/>
      <c r="H160" s="52"/>
      <c r="I160" s="52"/>
      <c r="J160" s="52"/>
      <c r="K160" s="52"/>
    </row>
    <row r="161" spans="3:11" ht="15">
      <c r="C161" s="52"/>
      <c r="D161" s="52"/>
      <c r="E161" s="52"/>
      <c r="F161" s="52"/>
      <c r="G161" s="52"/>
      <c r="H161" s="52"/>
      <c r="I161" s="52"/>
      <c r="J161" s="52"/>
      <c r="K161" s="52"/>
    </row>
    <row r="162" spans="3:11" ht="15">
      <c r="C162" s="52"/>
      <c r="D162" s="52"/>
      <c r="E162" s="52"/>
      <c r="F162" s="52"/>
      <c r="G162" s="52"/>
      <c r="H162" s="52"/>
      <c r="I162" s="52"/>
      <c r="J162" s="52"/>
      <c r="K162" s="52"/>
    </row>
    <row r="163" spans="3:11" ht="15">
      <c r="C163" s="52"/>
      <c r="D163" s="52"/>
      <c r="E163" s="52"/>
      <c r="F163" s="52"/>
      <c r="G163" s="52"/>
      <c r="H163" s="52"/>
      <c r="I163" s="52"/>
      <c r="J163" s="52"/>
      <c r="K163" s="52"/>
    </row>
    <row r="164" spans="3:11" ht="15">
      <c r="C164" s="52"/>
      <c r="D164" s="52"/>
      <c r="E164" s="52"/>
      <c r="F164" s="52"/>
      <c r="G164" s="52"/>
      <c r="H164" s="52"/>
      <c r="I164" s="52"/>
      <c r="J164" s="52"/>
      <c r="K164" s="52"/>
    </row>
    <row r="165" spans="3:11" ht="15">
      <c r="C165" s="52"/>
      <c r="D165" s="52"/>
      <c r="E165" s="52"/>
      <c r="F165" s="52"/>
      <c r="G165" s="52"/>
      <c r="H165" s="52"/>
      <c r="I165" s="52"/>
      <c r="J165" s="52"/>
      <c r="K165" s="52"/>
    </row>
    <row r="166" spans="3:11" ht="15">
      <c r="C166" s="52"/>
      <c r="D166" s="52"/>
      <c r="E166" s="52"/>
      <c r="F166" s="52"/>
      <c r="G166" s="52"/>
      <c r="H166" s="52"/>
      <c r="I166" s="52"/>
      <c r="J166" s="52"/>
      <c r="K166" s="52"/>
    </row>
    <row r="167" spans="3:11" ht="15">
      <c r="C167" s="52"/>
      <c r="D167" s="52"/>
      <c r="E167" s="52"/>
      <c r="F167" s="52"/>
      <c r="G167" s="52"/>
      <c r="H167" s="52"/>
      <c r="I167" s="52"/>
      <c r="J167" s="52"/>
      <c r="K167" s="52"/>
    </row>
    <row r="168" spans="3:11" ht="15">
      <c r="C168" s="52"/>
      <c r="D168" s="52"/>
      <c r="E168" s="52"/>
      <c r="F168" s="52"/>
      <c r="G168" s="52"/>
      <c r="H168" s="52"/>
      <c r="I168" s="52"/>
      <c r="J168" s="52"/>
      <c r="K168" s="52"/>
    </row>
    <row r="169" spans="3:11" ht="15">
      <c r="C169" s="52"/>
      <c r="D169" s="52"/>
      <c r="E169" s="52"/>
      <c r="F169" s="52"/>
      <c r="G169" s="52"/>
      <c r="H169" s="52"/>
      <c r="I169" s="52"/>
      <c r="J169" s="52"/>
      <c r="K169" s="52"/>
    </row>
    <row r="170" spans="3:11" ht="15">
      <c r="C170" s="52"/>
      <c r="D170" s="52"/>
      <c r="E170" s="52"/>
      <c r="F170" s="52"/>
      <c r="G170" s="52"/>
      <c r="H170" s="52"/>
      <c r="I170" s="52"/>
      <c r="J170" s="52"/>
      <c r="K170" s="52"/>
    </row>
    <row r="171" spans="3:11" ht="15">
      <c r="C171" s="52"/>
      <c r="D171" s="52"/>
      <c r="E171" s="52"/>
      <c r="F171" s="52"/>
      <c r="G171" s="52"/>
      <c r="H171" s="52"/>
      <c r="I171" s="52"/>
      <c r="J171" s="52"/>
      <c r="K171" s="52"/>
    </row>
    <row r="172" spans="3:11" ht="15">
      <c r="C172" s="52"/>
      <c r="D172" s="52"/>
      <c r="E172" s="52"/>
      <c r="F172" s="52"/>
      <c r="G172" s="52"/>
      <c r="H172" s="52"/>
      <c r="I172" s="52"/>
      <c r="J172" s="52"/>
      <c r="K172" s="52"/>
    </row>
    <row r="173" spans="3:11" ht="15">
      <c r="C173" s="52"/>
      <c r="D173" s="52"/>
      <c r="E173" s="52"/>
      <c r="F173" s="52"/>
      <c r="G173" s="52"/>
      <c r="H173" s="52"/>
      <c r="I173" s="52"/>
      <c r="J173" s="52"/>
      <c r="K173" s="52"/>
    </row>
    <row r="174" spans="3:11" ht="15">
      <c r="C174" s="52"/>
      <c r="D174" s="52"/>
      <c r="E174" s="52"/>
      <c r="F174" s="52"/>
      <c r="G174" s="52"/>
      <c r="H174" s="52"/>
      <c r="I174" s="52"/>
      <c r="J174" s="52"/>
      <c r="K174" s="52"/>
    </row>
    <row r="175" spans="3:11" ht="15">
      <c r="C175" s="52"/>
      <c r="D175" s="52"/>
      <c r="E175" s="52"/>
      <c r="F175" s="52"/>
      <c r="G175" s="52"/>
      <c r="H175" s="52"/>
      <c r="I175" s="52"/>
      <c r="J175" s="52"/>
      <c r="K175" s="52"/>
    </row>
    <row r="176" spans="3:11" ht="15">
      <c r="C176" s="52"/>
      <c r="D176" s="52"/>
      <c r="E176" s="52"/>
      <c r="F176" s="52"/>
      <c r="G176" s="52"/>
      <c r="H176" s="52"/>
      <c r="I176" s="52"/>
      <c r="J176" s="52"/>
      <c r="K176" s="52"/>
    </row>
    <row r="177" spans="3:11" ht="15">
      <c r="C177" s="52"/>
      <c r="D177" s="52"/>
      <c r="E177" s="52"/>
      <c r="F177" s="52"/>
      <c r="G177" s="52"/>
      <c r="H177" s="52"/>
      <c r="I177" s="52"/>
      <c r="J177" s="52"/>
      <c r="K177" s="52"/>
    </row>
    <row r="178" spans="3:11" ht="15">
      <c r="C178" s="52"/>
      <c r="D178" s="52"/>
      <c r="E178" s="52"/>
      <c r="F178" s="52"/>
      <c r="G178" s="52"/>
      <c r="H178" s="52"/>
      <c r="I178" s="52"/>
      <c r="J178" s="52"/>
      <c r="K178" s="52"/>
    </row>
    <row r="179" spans="3:11" ht="15">
      <c r="C179" s="52"/>
      <c r="D179" s="52"/>
      <c r="E179" s="52"/>
      <c r="F179" s="52"/>
      <c r="G179" s="52"/>
      <c r="H179" s="52"/>
      <c r="I179" s="52"/>
      <c r="J179" s="52"/>
      <c r="K179" s="52"/>
    </row>
    <row r="180" spans="3:11" ht="15">
      <c r="C180" s="52"/>
      <c r="D180" s="52"/>
      <c r="E180" s="52"/>
      <c r="F180" s="52"/>
      <c r="G180" s="52"/>
      <c r="H180" s="52"/>
      <c r="I180" s="52"/>
      <c r="J180" s="52"/>
      <c r="K180" s="52"/>
    </row>
    <row r="181" spans="3:11" ht="15">
      <c r="C181" s="52"/>
      <c r="D181" s="52"/>
      <c r="E181" s="52"/>
      <c r="F181" s="52"/>
      <c r="G181" s="52"/>
      <c r="H181" s="52"/>
      <c r="I181" s="52"/>
      <c r="J181" s="52"/>
      <c r="K181" s="52"/>
    </row>
    <row r="182" spans="3:11" ht="15">
      <c r="C182" s="52"/>
      <c r="D182" s="52"/>
      <c r="E182" s="52"/>
      <c r="F182" s="52"/>
      <c r="G182" s="52"/>
      <c r="H182" s="52"/>
      <c r="I182" s="52"/>
      <c r="J182" s="52"/>
      <c r="K182" s="52"/>
    </row>
    <row r="183" spans="3:11" ht="15">
      <c r="C183" s="52"/>
      <c r="D183" s="52"/>
      <c r="E183" s="52"/>
      <c r="F183" s="52"/>
      <c r="G183" s="52"/>
      <c r="H183" s="52"/>
      <c r="I183" s="52"/>
      <c r="J183" s="52"/>
      <c r="K183" s="52"/>
    </row>
    <row r="184" spans="3:11" ht="15">
      <c r="C184" s="52"/>
      <c r="D184" s="52"/>
      <c r="E184" s="52"/>
      <c r="F184" s="52"/>
      <c r="G184" s="52"/>
      <c r="H184" s="52"/>
      <c r="I184" s="52"/>
      <c r="J184" s="52"/>
      <c r="K184" s="52"/>
    </row>
    <row r="185" spans="3:11" ht="15">
      <c r="C185" s="52"/>
      <c r="D185" s="52"/>
      <c r="E185" s="52"/>
      <c r="F185" s="52"/>
      <c r="G185" s="52"/>
      <c r="H185" s="52"/>
      <c r="I185" s="52"/>
      <c r="J185" s="52"/>
      <c r="K185" s="52"/>
    </row>
    <row r="186" spans="3:11" ht="15">
      <c r="C186" s="52"/>
      <c r="D186" s="52"/>
      <c r="E186" s="52"/>
      <c r="F186" s="52"/>
      <c r="G186" s="52"/>
      <c r="H186" s="52"/>
      <c r="I186" s="52"/>
      <c r="J186" s="52"/>
      <c r="K186" s="52"/>
    </row>
    <row r="187" spans="3:11" ht="15">
      <c r="C187" s="52"/>
      <c r="D187" s="52"/>
      <c r="E187" s="52"/>
      <c r="F187" s="52"/>
      <c r="G187" s="52"/>
      <c r="H187" s="52"/>
      <c r="I187" s="52"/>
      <c r="J187" s="52"/>
      <c r="K187" s="52"/>
    </row>
    <row r="188" spans="3:11" ht="15">
      <c r="C188" s="52"/>
      <c r="D188" s="52"/>
      <c r="E188" s="52"/>
      <c r="F188" s="52"/>
      <c r="G188" s="52"/>
      <c r="H188" s="52"/>
      <c r="I188" s="52"/>
      <c r="J188" s="52"/>
      <c r="K188" s="52"/>
    </row>
    <row r="189" spans="3:11" ht="15">
      <c r="C189" s="52"/>
      <c r="D189" s="52"/>
      <c r="E189" s="52"/>
      <c r="F189" s="52"/>
      <c r="G189" s="52"/>
      <c r="H189" s="52"/>
      <c r="I189" s="52"/>
      <c r="J189" s="52"/>
      <c r="K189" s="52"/>
    </row>
    <row r="190" spans="3:11" ht="15">
      <c r="C190" s="52"/>
      <c r="D190" s="52"/>
      <c r="E190" s="52"/>
      <c r="F190" s="52"/>
      <c r="G190" s="52"/>
      <c r="H190" s="52"/>
      <c r="I190" s="52"/>
      <c r="J190" s="52"/>
      <c r="K190" s="52"/>
    </row>
    <row r="191" spans="3:11" ht="15">
      <c r="C191" s="52"/>
      <c r="D191" s="52"/>
      <c r="E191" s="52"/>
      <c r="F191" s="52"/>
      <c r="G191" s="52"/>
      <c r="H191" s="52"/>
      <c r="I191" s="52"/>
      <c r="J191" s="52"/>
      <c r="K191" s="52"/>
    </row>
    <row r="192" spans="3:11" ht="15">
      <c r="C192" s="52"/>
      <c r="D192" s="52"/>
      <c r="E192" s="52"/>
      <c r="F192" s="52"/>
      <c r="G192" s="52"/>
      <c r="H192" s="52"/>
      <c r="I192" s="52"/>
      <c r="J192" s="52"/>
      <c r="K192" s="52"/>
    </row>
    <row r="193" spans="3:11" ht="15">
      <c r="C193" s="52"/>
      <c r="D193" s="52"/>
      <c r="E193" s="52"/>
      <c r="F193" s="52"/>
      <c r="G193" s="52"/>
      <c r="H193" s="52"/>
      <c r="I193" s="52"/>
      <c r="J193" s="52"/>
      <c r="K193" s="52"/>
    </row>
    <row r="194" spans="3:11" ht="15">
      <c r="C194" s="52"/>
      <c r="D194" s="52"/>
      <c r="E194" s="52"/>
      <c r="F194" s="52"/>
      <c r="G194" s="52"/>
      <c r="H194" s="52"/>
      <c r="I194" s="52"/>
      <c r="J194" s="52"/>
      <c r="K194" s="52"/>
    </row>
    <row r="195" spans="3:11" ht="15">
      <c r="C195" s="52"/>
      <c r="D195" s="52"/>
      <c r="E195" s="52"/>
      <c r="F195" s="52"/>
      <c r="G195" s="52"/>
      <c r="H195" s="52"/>
      <c r="I195" s="52"/>
      <c r="J195" s="52"/>
      <c r="K195" s="52"/>
    </row>
    <row r="196" spans="3:11" ht="15">
      <c r="C196" s="52"/>
      <c r="D196" s="52"/>
      <c r="E196" s="52"/>
      <c r="F196" s="52"/>
      <c r="G196" s="52"/>
      <c r="H196" s="52"/>
      <c r="I196" s="52"/>
      <c r="J196" s="52"/>
      <c r="K196" s="52"/>
    </row>
    <row r="197" spans="3:11" ht="15">
      <c r="C197" s="52"/>
      <c r="D197" s="52"/>
      <c r="E197" s="52"/>
      <c r="F197" s="52"/>
      <c r="G197" s="52"/>
      <c r="H197" s="52"/>
      <c r="I197" s="52"/>
      <c r="J197" s="52"/>
      <c r="K197" s="52"/>
    </row>
    <row r="198" spans="3:11" ht="15">
      <c r="C198" s="52"/>
      <c r="D198" s="52"/>
      <c r="E198" s="52"/>
      <c r="F198" s="52"/>
      <c r="G198" s="52"/>
      <c r="H198" s="52"/>
      <c r="I198" s="52"/>
      <c r="J198" s="52"/>
      <c r="K198" s="52"/>
    </row>
    <row r="199" spans="3:11" ht="15">
      <c r="C199" s="52"/>
      <c r="D199" s="52"/>
      <c r="E199" s="52"/>
      <c r="F199" s="52"/>
      <c r="G199" s="52"/>
      <c r="H199" s="52"/>
      <c r="I199" s="52"/>
      <c r="J199" s="52"/>
      <c r="K199" s="52"/>
    </row>
    <row r="200" spans="3:11" ht="15">
      <c r="C200" s="52"/>
      <c r="D200" s="52"/>
      <c r="E200" s="52"/>
      <c r="F200" s="52"/>
      <c r="G200" s="52"/>
      <c r="H200" s="52"/>
      <c r="I200" s="52"/>
      <c r="J200" s="52"/>
      <c r="K200" s="52"/>
    </row>
    <row r="201" spans="3:11" ht="15">
      <c r="C201" s="52"/>
      <c r="D201" s="52"/>
      <c r="E201" s="52"/>
      <c r="F201" s="52"/>
      <c r="G201" s="52"/>
      <c r="H201" s="52"/>
      <c r="I201" s="52"/>
      <c r="J201" s="52"/>
      <c r="K201" s="52"/>
    </row>
    <row r="202" spans="3:11" ht="15">
      <c r="C202" s="52"/>
      <c r="D202" s="52"/>
      <c r="E202" s="52"/>
      <c r="F202" s="52"/>
      <c r="G202" s="52"/>
      <c r="H202" s="52"/>
      <c r="I202" s="52"/>
      <c r="J202" s="52"/>
      <c r="K202" s="52"/>
    </row>
    <row r="203" spans="3:11" ht="15">
      <c r="C203" s="52"/>
      <c r="D203" s="52"/>
      <c r="E203" s="52"/>
      <c r="F203" s="52"/>
      <c r="G203" s="52"/>
      <c r="H203" s="52"/>
      <c r="I203" s="52"/>
      <c r="J203" s="52"/>
      <c r="K203" s="52"/>
    </row>
    <row r="204" spans="3:11" ht="15">
      <c r="C204" s="52"/>
      <c r="D204" s="52"/>
      <c r="E204" s="52"/>
      <c r="F204" s="52"/>
      <c r="G204" s="52"/>
      <c r="H204" s="52"/>
      <c r="I204" s="52"/>
      <c r="J204" s="52"/>
      <c r="K204" s="52"/>
    </row>
    <row r="205" spans="3:11" ht="15">
      <c r="C205" s="52"/>
      <c r="D205" s="52"/>
      <c r="E205" s="52"/>
      <c r="F205" s="52"/>
      <c r="G205" s="52"/>
      <c r="H205" s="52"/>
      <c r="I205" s="52"/>
      <c r="J205" s="52"/>
      <c r="K205" s="52"/>
    </row>
    <row r="206" spans="3:11" ht="15">
      <c r="C206" s="52"/>
      <c r="D206" s="52"/>
      <c r="E206" s="52"/>
      <c r="F206" s="52"/>
      <c r="G206" s="52"/>
      <c r="H206" s="52"/>
      <c r="I206" s="52"/>
      <c r="J206" s="52"/>
      <c r="K206" s="52"/>
    </row>
    <row r="207" spans="3:11" ht="15">
      <c r="C207" s="52"/>
      <c r="D207" s="52"/>
      <c r="E207" s="52"/>
      <c r="F207" s="52"/>
      <c r="G207" s="52"/>
      <c r="H207" s="52"/>
      <c r="I207" s="52"/>
      <c r="J207" s="52"/>
      <c r="K207" s="52"/>
    </row>
    <row r="208" spans="3:11" ht="15">
      <c r="C208" s="52"/>
      <c r="D208" s="52"/>
      <c r="E208" s="52"/>
      <c r="F208" s="52"/>
      <c r="G208" s="52"/>
      <c r="H208" s="52"/>
      <c r="I208" s="52"/>
      <c r="J208" s="52"/>
      <c r="K208" s="52"/>
    </row>
    <row r="209" spans="3:11" ht="15">
      <c r="C209" s="52"/>
      <c r="D209" s="52"/>
      <c r="E209" s="52"/>
      <c r="F209" s="52"/>
      <c r="G209" s="52"/>
      <c r="H209" s="52"/>
      <c r="I209" s="52"/>
      <c r="J209" s="52"/>
      <c r="K209" s="52"/>
    </row>
    <row r="210" spans="3:11" ht="15">
      <c r="C210" s="52"/>
      <c r="D210" s="52"/>
      <c r="E210" s="52"/>
      <c r="F210" s="52"/>
      <c r="G210" s="52"/>
      <c r="H210" s="52"/>
      <c r="I210" s="52"/>
      <c r="J210" s="52"/>
      <c r="K210" s="52"/>
    </row>
    <row r="211" spans="3:11" ht="15">
      <c r="C211" s="52"/>
      <c r="D211" s="52"/>
      <c r="E211" s="52"/>
      <c r="F211" s="52"/>
      <c r="G211" s="52"/>
      <c r="H211" s="52"/>
      <c r="I211" s="52"/>
      <c r="J211" s="52"/>
      <c r="K211" s="52"/>
    </row>
  </sheetData>
  <phoneticPr fontId="2" type="noConversion"/>
  <printOptions horizontalCentered="1"/>
  <pageMargins left="0.75" right="0.75" top="2.25" bottom="1" header="0.5" footer="0.5"/>
  <pageSetup scale="74" orientation="portrait" r:id="rId1"/>
  <headerFooter alignWithMargins="0">
    <oddFooter>&amp;CSchedule 7</oddFooter>
  </headerFooter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51"/>
  <sheetViews>
    <sheetView workbookViewId="0">
      <selection activeCell="J10" sqref="J10"/>
    </sheetView>
  </sheetViews>
  <sheetFormatPr defaultRowHeight="12.75"/>
  <cols>
    <col min="2" max="2" width="15.7109375" customWidth="1"/>
    <col min="3" max="3" width="16" customWidth="1"/>
    <col min="4" max="4" width="4.7109375" customWidth="1"/>
    <col min="5" max="5" width="14" customWidth="1"/>
    <col min="6" max="6" width="11.7109375" customWidth="1"/>
    <col min="7" max="7" width="15.140625" customWidth="1"/>
    <col min="8" max="8" width="2.5703125" customWidth="1"/>
    <col min="9" max="9" width="13.85546875" customWidth="1"/>
    <col min="10" max="10" width="15" customWidth="1"/>
    <col min="11" max="11" width="13.28515625" customWidth="1"/>
  </cols>
  <sheetData>
    <row r="1" spans="1:17">
      <c r="A1" s="441" t="s">
        <v>673</v>
      </c>
      <c r="B1" s="441"/>
    </row>
    <row r="2" spans="1:17">
      <c r="A2" s="441" t="s">
        <v>1793</v>
      </c>
      <c r="B2" s="441"/>
    </row>
    <row r="3" spans="1:17">
      <c r="A3" s="441" t="s">
        <v>674</v>
      </c>
      <c r="B3" s="441"/>
      <c r="I3" s="441" t="s">
        <v>1764</v>
      </c>
      <c r="J3" s="571">
        <f>Reconciliation!I8</f>
        <v>0.45949505224171566</v>
      </c>
    </row>
    <row r="4" spans="1:17">
      <c r="L4" s="567" t="s">
        <v>1798</v>
      </c>
      <c r="M4" s="567"/>
      <c r="N4" s="567"/>
      <c r="O4" s="567"/>
      <c r="P4" s="567"/>
      <c r="Q4" s="567"/>
    </row>
    <row r="5" spans="1:17">
      <c r="E5" s="543" t="s">
        <v>1794</v>
      </c>
      <c r="F5" s="441"/>
      <c r="J5" s="543" t="s">
        <v>1795</v>
      </c>
    </row>
    <row r="7" spans="1:17">
      <c r="B7" s="441" t="s">
        <v>1767</v>
      </c>
      <c r="C7" s="549" t="s">
        <v>1768</v>
      </c>
      <c r="E7" s="549" t="s">
        <v>677</v>
      </c>
      <c r="F7" s="549" t="s">
        <v>678</v>
      </c>
      <c r="G7" s="549" t="s">
        <v>679</v>
      </c>
      <c r="H7" s="435"/>
      <c r="I7" s="549" t="s">
        <v>677</v>
      </c>
      <c r="J7" s="549" t="s">
        <v>678</v>
      </c>
      <c r="K7" s="549" t="s">
        <v>679</v>
      </c>
    </row>
    <row r="8" spans="1:17" ht="15.75">
      <c r="A8" t="s">
        <v>103</v>
      </c>
      <c r="B8" t="s">
        <v>161</v>
      </c>
      <c r="C8" s="576" t="e">
        <f>E8/$E$50</f>
        <v>#DIV/0!</v>
      </c>
      <c r="E8" s="462"/>
      <c r="F8" s="462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0"/>
    </row>
    <row r="9" spans="1:17" ht="15.75">
      <c r="A9" t="s">
        <v>104</v>
      </c>
      <c r="B9" t="s">
        <v>141</v>
      </c>
      <c r="C9" s="576" t="e">
        <f>E9/$E$50</f>
        <v>#DIV/0!</v>
      </c>
      <c r="E9" s="456"/>
      <c r="F9" s="456"/>
      <c r="G9" s="456"/>
      <c r="H9" s="540"/>
      <c r="I9" s="540"/>
      <c r="J9" s="540"/>
      <c r="K9" s="540"/>
      <c r="L9" s="540"/>
      <c r="M9" s="540"/>
      <c r="N9" s="540"/>
      <c r="O9" s="540"/>
      <c r="P9" s="540"/>
      <c r="Q9" s="540"/>
    </row>
    <row r="10" spans="1:17" ht="15.75">
      <c r="A10" t="s">
        <v>105</v>
      </c>
      <c r="B10" t="s">
        <v>142</v>
      </c>
      <c r="C10" s="576" t="e">
        <f t="shared" ref="C10:C49" si="0">E10/$E$50</f>
        <v>#DIV/0!</v>
      </c>
      <c r="E10" s="456"/>
      <c r="F10" s="456"/>
      <c r="G10" s="456"/>
      <c r="H10" s="540"/>
      <c r="I10" s="540"/>
      <c r="J10" s="540"/>
      <c r="K10" s="540"/>
      <c r="L10" s="540"/>
      <c r="M10" s="540"/>
      <c r="N10" s="540"/>
      <c r="O10" s="540"/>
      <c r="P10" s="540"/>
      <c r="Q10" s="540"/>
    </row>
    <row r="11" spans="1:17" ht="15.75">
      <c r="A11" t="s">
        <v>106</v>
      </c>
      <c r="B11" t="s">
        <v>1159</v>
      </c>
      <c r="C11" s="576" t="e">
        <f t="shared" si="0"/>
        <v>#DIV/0!</v>
      </c>
      <c r="E11" s="456"/>
      <c r="F11" s="456"/>
      <c r="G11" s="456"/>
      <c r="H11" s="540"/>
      <c r="I11" s="540"/>
      <c r="J11" s="540"/>
      <c r="K11" s="540"/>
      <c r="L11" s="540"/>
      <c r="M11" s="540"/>
      <c r="N11" s="540"/>
      <c r="O11" s="540"/>
      <c r="P11" s="540"/>
      <c r="Q11" s="540"/>
    </row>
    <row r="12" spans="1:17" ht="15.75">
      <c r="A12" t="s">
        <v>107</v>
      </c>
      <c r="B12" t="s">
        <v>162</v>
      </c>
      <c r="C12" s="576" t="e">
        <f t="shared" si="0"/>
        <v>#DIV/0!</v>
      </c>
      <c r="E12" s="456"/>
      <c r="F12" s="456"/>
      <c r="G12" s="456"/>
      <c r="H12" s="540"/>
      <c r="I12" s="540"/>
      <c r="J12" s="540"/>
      <c r="K12" s="540"/>
      <c r="L12" s="540"/>
      <c r="M12" s="540"/>
      <c r="N12" s="540"/>
      <c r="O12" s="540"/>
      <c r="P12" s="540"/>
      <c r="Q12" s="540"/>
    </row>
    <row r="13" spans="1:17" ht="15.75">
      <c r="A13" t="s">
        <v>108</v>
      </c>
      <c r="B13" t="s">
        <v>143</v>
      </c>
      <c r="C13" s="576" t="e">
        <f t="shared" si="0"/>
        <v>#DIV/0!</v>
      </c>
      <c r="E13" s="456"/>
      <c r="F13" s="456"/>
      <c r="G13" s="456"/>
      <c r="H13" s="540"/>
      <c r="I13" s="540"/>
      <c r="J13" s="540"/>
      <c r="K13" s="540"/>
      <c r="L13" s="540"/>
      <c r="M13" s="540"/>
      <c r="N13" s="540"/>
      <c r="O13" s="540"/>
      <c r="P13" s="540"/>
      <c r="Q13" s="540"/>
    </row>
    <row r="14" spans="1:17" ht="15.75">
      <c r="A14" t="s">
        <v>109</v>
      </c>
      <c r="B14" t="s">
        <v>2</v>
      </c>
      <c r="C14" s="576" t="e">
        <f t="shared" si="0"/>
        <v>#DIV/0!</v>
      </c>
      <c r="E14" s="456"/>
      <c r="F14" s="456"/>
      <c r="G14" s="456"/>
      <c r="H14" s="540"/>
      <c r="I14" s="540"/>
      <c r="J14" s="540"/>
      <c r="K14" s="540"/>
      <c r="L14" s="540"/>
      <c r="M14" s="540"/>
      <c r="N14" s="540"/>
      <c r="O14" s="540"/>
      <c r="P14" s="540"/>
      <c r="Q14" s="540"/>
    </row>
    <row r="15" spans="1:17" ht="15.75">
      <c r="A15" t="s">
        <v>110</v>
      </c>
      <c r="B15" t="s">
        <v>3</v>
      </c>
      <c r="C15" s="576" t="e">
        <f t="shared" si="0"/>
        <v>#DIV/0!</v>
      </c>
      <c r="E15" s="456"/>
      <c r="F15" s="456"/>
      <c r="G15" s="456"/>
      <c r="H15" s="540"/>
      <c r="I15" s="540"/>
      <c r="J15" s="540"/>
      <c r="K15" s="540"/>
      <c r="L15" s="540"/>
      <c r="M15" s="540"/>
      <c r="N15" s="540"/>
      <c r="O15" s="540"/>
      <c r="P15" s="540"/>
      <c r="Q15" s="540"/>
    </row>
    <row r="16" spans="1:17" ht="15.75">
      <c r="A16" t="s">
        <v>111</v>
      </c>
      <c r="B16" t="s">
        <v>0</v>
      </c>
      <c r="C16" s="576" t="e">
        <f t="shared" si="0"/>
        <v>#DIV/0!</v>
      </c>
      <c r="E16" s="456"/>
      <c r="F16" s="456"/>
      <c r="G16" s="456"/>
      <c r="H16" s="540"/>
      <c r="I16" s="540"/>
      <c r="J16" s="540"/>
      <c r="K16" s="540"/>
      <c r="L16" s="540"/>
      <c r="M16" s="540"/>
      <c r="N16" s="540"/>
      <c r="O16" s="540"/>
      <c r="P16" s="540"/>
      <c r="Q16" s="540"/>
    </row>
    <row r="17" spans="1:17" ht="15.75">
      <c r="A17" t="s">
        <v>112</v>
      </c>
      <c r="B17" t="s">
        <v>163</v>
      </c>
      <c r="C17" s="576" t="e">
        <f t="shared" si="0"/>
        <v>#DIV/0!</v>
      </c>
      <c r="E17" s="456"/>
      <c r="F17" s="456"/>
      <c r="G17" s="456"/>
      <c r="H17" s="540"/>
      <c r="I17" s="540"/>
      <c r="J17" s="540"/>
      <c r="K17" s="540"/>
      <c r="L17" s="540"/>
      <c r="M17" s="540"/>
      <c r="N17" s="540"/>
      <c r="O17" s="540"/>
      <c r="P17" s="540"/>
      <c r="Q17" s="540"/>
    </row>
    <row r="18" spans="1:17" ht="15.75">
      <c r="A18" t="s">
        <v>113</v>
      </c>
      <c r="B18" t="s">
        <v>164</v>
      </c>
      <c r="C18" s="576" t="e">
        <f t="shared" si="0"/>
        <v>#DIV/0!</v>
      </c>
      <c r="E18" s="456"/>
      <c r="F18" s="456"/>
      <c r="G18" s="456"/>
      <c r="H18" s="540"/>
      <c r="I18" s="540"/>
      <c r="J18" s="540"/>
      <c r="K18" s="540"/>
      <c r="L18" s="540"/>
      <c r="M18" s="540"/>
      <c r="N18" s="540"/>
      <c r="O18" s="540"/>
      <c r="P18" s="540"/>
      <c r="Q18" s="540"/>
    </row>
    <row r="19" spans="1:17" ht="15.75">
      <c r="A19" t="s">
        <v>114</v>
      </c>
      <c r="B19" t="s">
        <v>144</v>
      </c>
      <c r="C19" s="576" t="e">
        <f t="shared" si="0"/>
        <v>#DIV/0!</v>
      </c>
      <c r="E19" s="456"/>
      <c r="F19" s="456"/>
      <c r="G19" s="456"/>
      <c r="H19" s="540"/>
      <c r="I19" s="540"/>
      <c r="J19" s="540"/>
      <c r="K19" s="540"/>
      <c r="L19" s="540"/>
      <c r="M19" s="540"/>
      <c r="N19" s="540"/>
      <c r="O19" s="540"/>
      <c r="P19" s="540"/>
      <c r="Q19" s="540"/>
    </row>
    <row r="20" spans="1:17" ht="15.75">
      <c r="A20" t="s">
        <v>116</v>
      </c>
      <c r="B20" t="s">
        <v>4</v>
      </c>
      <c r="C20" s="576" t="e">
        <f t="shared" si="0"/>
        <v>#DIV/0!</v>
      </c>
      <c r="E20" s="456"/>
      <c r="F20" s="456"/>
      <c r="G20" s="456"/>
      <c r="H20" s="540"/>
      <c r="I20" s="540"/>
      <c r="J20" s="540"/>
      <c r="K20" s="540"/>
      <c r="L20" s="540"/>
      <c r="M20" s="540"/>
      <c r="N20" s="540"/>
      <c r="O20" s="540"/>
      <c r="P20" s="540"/>
      <c r="Q20" s="540"/>
    </row>
    <row r="21" spans="1:17" ht="15.75">
      <c r="A21" t="s">
        <v>115</v>
      </c>
      <c r="B21" t="s">
        <v>1163</v>
      </c>
      <c r="C21" s="576" t="e">
        <f t="shared" si="0"/>
        <v>#DIV/0!</v>
      </c>
      <c r="E21" s="456"/>
      <c r="F21" s="456"/>
      <c r="G21" s="456"/>
      <c r="H21" s="540"/>
      <c r="I21" s="540"/>
      <c r="J21" s="540"/>
      <c r="K21" s="540"/>
      <c r="L21" s="540"/>
      <c r="M21" s="540"/>
      <c r="N21" s="540"/>
      <c r="O21" s="540"/>
      <c r="P21" s="540"/>
      <c r="Q21" s="540"/>
    </row>
    <row r="22" spans="1:17" ht="15.75">
      <c r="A22" t="s">
        <v>117</v>
      </c>
      <c r="B22" t="s">
        <v>5</v>
      </c>
      <c r="C22" s="576" t="e">
        <f t="shared" si="0"/>
        <v>#DIV/0!</v>
      </c>
      <c r="E22" s="456"/>
      <c r="F22" s="456"/>
      <c r="G22" s="456"/>
      <c r="H22" s="540"/>
      <c r="I22" s="540"/>
      <c r="J22" s="540"/>
      <c r="K22" s="540"/>
      <c r="L22" s="540"/>
      <c r="M22" s="540"/>
      <c r="N22" s="540"/>
      <c r="O22" s="540"/>
      <c r="P22" s="540"/>
      <c r="Q22" s="540"/>
    </row>
    <row r="23" spans="1:17" ht="15.75">
      <c r="A23" t="s">
        <v>118</v>
      </c>
      <c r="B23" t="s">
        <v>165</v>
      </c>
      <c r="C23" s="576" t="e">
        <f t="shared" si="0"/>
        <v>#DIV/0!</v>
      </c>
      <c r="E23" s="456"/>
      <c r="F23" s="456"/>
      <c r="G23" s="456"/>
      <c r="H23" s="540"/>
      <c r="I23" s="540"/>
      <c r="J23" s="540"/>
      <c r="K23" s="540"/>
      <c r="L23" s="540"/>
      <c r="M23" s="540"/>
      <c r="N23" s="540"/>
      <c r="O23" s="540"/>
      <c r="P23" s="540"/>
      <c r="Q23" s="540"/>
    </row>
    <row r="24" spans="1:17" ht="15.75">
      <c r="A24" t="s">
        <v>119</v>
      </c>
      <c r="B24" t="s">
        <v>166</v>
      </c>
      <c r="C24" s="576" t="e">
        <f t="shared" si="0"/>
        <v>#DIV/0!</v>
      </c>
      <c r="E24" s="456"/>
      <c r="F24" s="456"/>
      <c r="G24" s="456"/>
      <c r="H24" s="577"/>
      <c r="I24" s="577"/>
      <c r="J24" s="577"/>
      <c r="K24" s="577"/>
      <c r="L24" s="578" t="s">
        <v>1787</v>
      </c>
      <c r="M24" s="540"/>
      <c r="N24" s="540"/>
      <c r="O24" s="540"/>
      <c r="P24" s="540"/>
      <c r="Q24" s="540"/>
    </row>
    <row r="25" spans="1:17" ht="15.75">
      <c r="A25" t="s">
        <v>120</v>
      </c>
      <c r="B25" t="s">
        <v>207</v>
      </c>
      <c r="C25" s="576" t="e">
        <f t="shared" si="0"/>
        <v>#DIV/0!</v>
      </c>
      <c r="E25" s="456"/>
      <c r="F25" s="456"/>
      <c r="G25" s="456"/>
      <c r="H25" s="540"/>
      <c r="I25" s="540"/>
      <c r="J25" s="540"/>
      <c r="K25" s="540"/>
      <c r="L25" s="540"/>
      <c r="M25" s="540"/>
      <c r="N25" s="540"/>
      <c r="O25" s="540"/>
      <c r="P25" s="540"/>
      <c r="Q25" s="540"/>
    </row>
    <row r="26" spans="1:17" ht="15.75">
      <c r="A26" t="s">
        <v>121</v>
      </c>
      <c r="B26" t="s">
        <v>8</v>
      </c>
      <c r="C26" s="576" t="e">
        <f t="shared" si="0"/>
        <v>#DIV/0!</v>
      </c>
      <c r="E26" s="456"/>
      <c r="F26" s="456"/>
      <c r="G26" s="456"/>
      <c r="H26" s="540"/>
      <c r="I26" s="540"/>
      <c r="J26" s="540"/>
      <c r="K26" s="540"/>
      <c r="L26" s="540"/>
      <c r="M26" s="540"/>
      <c r="N26" s="540"/>
      <c r="O26" s="540"/>
      <c r="P26" s="540"/>
      <c r="Q26" s="540"/>
    </row>
    <row r="27" spans="1:17" ht="15.75">
      <c r="A27" t="s">
        <v>122</v>
      </c>
      <c r="B27" t="s">
        <v>145</v>
      </c>
      <c r="C27" s="576" t="e">
        <f t="shared" si="0"/>
        <v>#DIV/0!</v>
      </c>
      <c r="E27" s="456"/>
      <c r="F27" s="456"/>
      <c r="G27" s="456"/>
      <c r="H27" s="540"/>
      <c r="I27" s="540"/>
      <c r="J27" s="540"/>
      <c r="K27" s="540"/>
      <c r="L27" s="540"/>
      <c r="M27" s="540"/>
      <c r="N27" s="540"/>
      <c r="O27" s="540"/>
      <c r="P27" s="540"/>
      <c r="Q27" s="540"/>
    </row>
    <row r="28" spans="1:17" ht="15.75">
      <c r="A28" t="s">
        <v>123</v>
      </c>
      <c r="B28" t="s">
        <v>9</v>
      </c>
      <c r="C28" s="576" t="e">
        <f t="shared" si="0"/>
        <v>#DIV/0!</v>
      </c>
      <c r="E28" s="456"/>
      <c r="F28" s="456"/>
      <c r="G28" s="456"/>
      <c r="H28" s="540"/>
      <c r="I28" s="540"/>
      <c r="J28" s="540"/>
      <c r="K28" s="540"/>
      <c r="L28" s="540"/>
      <c r="M28" s="540"/>
      <c r="N28" s="540"/>
      <c r="O28" s="540"/>
      <c r="P28" s="540"/>
      <c r="Q28" s="540"/>
    </row>
    <row r="29" spans="1:17" ht="15.75">
      <c r="A29" t="s">
        <v>124</v>
      </c>
      <c r="B29" t="s">
        <v>146</v>
      </c>
      <c r="C29" s="576" t="e">
        <f t="shared" si="0"/>
        <v>#DIV/0!</v>
      </c>
      <c r="E29" s="456"/>
      <c r="F29" s="456"/>
      <c r="G29" s="456"/>
      <c r="H29" s="540"/>
      <c r="I29" s="540"/>
      <c r="J29" s="540"/>
      <c r="K29" s="540"/>
      <c r="L29" s="540"/>
      <c r="M29" s="540"/>
      <c r="N29" s="540"/>
      <c r="O29" s="540"/>
      <c r="P29" s="540"/>
      <c r="Q29" s="540"/>
    </row>
    <row r="30" spans="1:17" ht="15.75">
      <c r="A30" t="s">
        <v>125</v>
      </c>
      <c r="B30" t="s">
        <v>147</v>
      </c>
      <c r="C30" s="576" t="e">
        <f t="shared" si="0"/>
        <v>#DIV/0!</v>
      </c>
      <c r="E30" s="456"/>
      <c r="F30" s="456"/>
      <c r="G30" s="456"/>
      <c r="H30" s="540"/>
      <c r="I30" s="540"/>
      <c r="J30" s="540"/>
      <c r="K30" s="540"/>
      <c r="L30" s="540"/>
      <c r="M30" s="540"/>
      <c r="N30" s="540"/>
      <c r="O30" s="540"/>
      <c r="P30" s="540"/>
      <c r="Q30" s="540"/>
    </row>
    <row r="31" spans="1:17" ht="15.75">
      <c r="A31" t="s">
        <v>126</v>
      </c>
      <c r="B31" t="s">
        <v>148</v>
      </c>
      <c r="C31" s="576" t="e">
        <f t="shared" si="0"/>
        <v>#DIV/0!</v>
      </c>
      <c r="E31" s="456"/>
      <c r="F31" s="456"/>
      <c r="G31" s="456"/>
      <c r="H31" s="540"/>
      <c r="I31" s="540"/>
      <c r="J31" s="540"/>
      <c r="K31" s="540"/>
      <c r="L31" s="540"/>
      <c r="M31" s="540"/>
      <c r="N31" s="540"/>
      <c r="O31" s="540"/>
      <c r="P31" s="540"/>
      <c r="Q31" s="540"/>
    </row>
    <row r="32" spans="1:17" ht="15.75">
      <c r="A32" t="s">
        <v>127</v>
      </c>
      <c r="B32" t="s">
        <v>167</v>
      </c>
      <c r="C32" s="576" t="e">
        <f t="shared" si="0"/>
        <v>#DIV/0!</v>
      </c>
      <c r="E32" s="456"/>
      <c r="F32" s="456"/>
      <c r="G32" s="456"/>
      <c r="H32" s="540"/>
      <c r="I32" s="540"/>
      <c r="J32" s="540"/>
      <c r="K32" s="540"/>
      <c r="L32" s="540"/>
      <c r="M32" s="540"/>
      <c r="N32" s="540"/>
      <c r="O32" s="540"/>
      <c r="P32" s="540"/>
      <c r="Q32" s="540"/>
    </row>
    <row r="33" spans="1:17" ht="15.75">
      <c r="A33" t="s">
        <v>128</v>
      </c>
      <c r="B33" t="s">
        <v>168</v>
      </c>
      <c r="C33" s="576" t="e">
        <f t="shared" si="0"/>
        <v>#DIV/0!</v>
      </c>
      <c r="E33" s="456"/>
      <c r="F33" s="456"/>
      <c r="G33" s="456"/>
      <c r="H33" s="540"/>
      <c r="I33" s="540"/>
      <c r="J33" s="540"/>
      <c r="K33" s="540"/>
      <c r="L33" s="540"/>
      <c r="M33" s="540"/>
      <c r="N33" s="540"/>
      <c r="O33" s="540"/>
      <c r="P33" s="540"/>
      <c r="Q33" s="540"/>
    </row>
    <row r="34" spans="1:17" ht="15.75">
      <c r="A34" t="s">
        <v>129</v>
      </c>
      <c r="B34" t="s">
        <v>10</v>
      </c>
      <c r="C34" s="576" t="e">
        <f t="shared" si="0"/>
        <v>#DIV/0!</v>
      </c>
      <c r="E34" s="456"/>
      <c r="F34" s="456"/>
      <c r="G34" s="456"/>
      <c r="H34" s="540"/>
      <c r="I34" s="540"/>
      <c r="J34" s="540"/>
      <c r="K34" s="540"/>
      <c r="L34" s="540"/>
      <c r="M34" s="540"/>
      <c r="N34" s="540"/>
      <c r="O34" s="540"/>
      <c r="P34" s="540"/>
      <c r="Q34" s="540"/>
    </row>
    <row r="35" spans="1:17" ht="15.75">
      <c r="A35" t="s">
        <v>130</v>
      </c>
      <c r="B35" t="s">
        <v>11</v>
      </c>
      <c r="C35" s="576" t="e">
        <f t="shared" si="0"/>
        <v>#DIV/0!</v>
      </c>
      <c r="E35" s="456"/>
      <c r="F35" s="456"/>
      <c r="G35" s="456"/>
      <c r="H35" s="540"/>
      <c r="I35" s="540"/>
      <c r="J35" s="540"/>
      <c r="K35" s="540"/>
      <c r="L35" s="540"/>
      <c r="M35" s="540"/>
      <c r="N35" s="540"/>
      <c r="O35" s="540"/>
      <c r="P35" s="540"/>
      <c r="Q35" s="540"/>
    </row>
    <row r="36" spans="1:17" ht="15.75">
      <c r="A36" t="s">
        <v>131</v>
      </c>
      <c r="B36" t="s">
        <v>6</v>
      </c>
      <c r="C36" s="576" t="e">
        <f t="shared" si="0"/>
        <v>#DIV/0!</v>
      </c>
      <c r="E36" s="456"/>
      <c r="F36" s="456"/>
      <c r="G36" s="456"/>
      <c r="H36" s="540"/>
      <c r="I36" s="540"/>
      <c r="J36" s="540"/>
      <c r="K36" s="540"/>
      <c r="L36" s="540"/>
      <c r="M36" s="540"/>
      <c r="N36" s="540"/>
      <c r="O36" s="540"/>
      <c r="P36" s="540"/>
      <c r="Q36" s="540"/>
    </row>
    <row r="37" spans="1:17" ht="15.75">
      <c r="A37" t="s">
        <v>132</v>
      </c>
      <c r="B37" t="s">
        <v>169</v>
      </c>
      <c r="C37" s="576" t="e">
        <f t="shared" si="0"/>
        <v>#DIV/0!</v>
      </c>
      <c r="E37" s="456"/>
      <c r="F37" s="456"/>
      <c r="G37" s="456"/>
      <c r="H37" s="540"/>
      <c r="I37" s="540"/>
      <c r="J37" s="540"/>
      <c r="K37" s="540"/>
      <c r="L37" s="540"/>
      <c r="M37" s="540"/>
      <c r="N37" s="540"/>
      <c r="O37" s="540"/>
      <c r="P37" s="540"/>
      <c r="Q37" s="540"/>
    </row>
    <row r="38" spans="1:17" ht="15.75">
      <c r="A38" t="s">
        <v>133</v>
      </c>
      <c r="B38" t="s">
        <v>170</v>
      </c>
      <c r="C38" s="576" t="e">
        <f t="shared" si="0"/>
        <v>#DIV/0!</v>
      </c>
      <c r="E38" s="456"/>
      <c r="F38" s="456"/>
      <c r="G38" s="456"/>
      <c r="H38" s="540"/>
      <c r="I38" s="540"/>
      <c r="J38" s="540"/>
      <c r="K38" s="540"/>
      <c r="L38" s="540"/>
      <c r="M38" s="540"/>
      <c r="N38" s="540"/>
      <c r="O38" s="540"/>
      <c r="P38" s="540"/>
      <c r="Q38" s="540"/>
    </row>
    <row r="39" spans="1:17" ht="15.75">
      <c r="A39" t="s">
        <v>134</v>
      </c>
      <c r="B39" t="s">
        <v>171</v>
      </c>
      <c r="C39" s="576" t="e">
        <f t="shared" si="0"/>
        <v>#DIV/0!</v>
      </c>
      <c r="E39" s="456"/>
      <c r="F39" s="456"/>
      <c r="G39" s="456"/>
      <c r="H39" s="540"/>
      <c r="I39" s="540"/>
      <c r="J39" s="540"/>
      <c r="K39" s="540"/>
      <c r="L39" s="540"/>
      <c r="M39" s="540"/>
      <c r="N39" s="540"/>
      <c r="O39" s="540"/>
      <c r="P39" s="540"/>
      <c r="Q39" s="540"/>
    </row>
    <row r="40" spans="1:17" ht="15.75">
      <c r="A40" t="s">
        <v>135</v>
      </c>
      <c r="B40" t="s">
        <v>172</v>
      </c>
      <c r="C40" s="576" t="e">
        <f t="shared" si="0"/>
        <v>#DIV/0!</v>
      </c>
      <c r="E40" s="456"/>
      <c r="F40" s="456"/>
      <c r="G40" s="456"/>
      <c r="H40" s="540"/>
      <c r="I40" s="540"/>
      <c r="J40" s="540"/>
      <c r="K40" s="540"/>
      <c r="L40" s="540"/>
      <c r="M40" s="540"/>
      <c r="N40" s="540"/>
      <c r="O40" s="540"/>
      <c r="P40" s="540"/>
      <c r="Q40" s="540"/>
    </row>
    <row r="41" spans="1:17" ht="15.75">
      <c r="A41" t="s">
        <v>154</v>
      </c>
      <c r="B41" t="s">
        <v>173</v>
      </c>
      <c r="C41" s="576" t="e">
        <f t="shared" si="0"/>
        <v>#DIV/0!</v>
      </c>
      <c r="E41" s="456"/>
      <c r="F41" s="456"/>
      <c r="G41" s="456"/>
      <c r="H41" s="540"/>
      <c r="I41" s="540"/>
      <c r="J41" s="540"/>
      <c r="K41" s="540"/>
      <c r="L41" s="540"/>
      <c r="M41" s="540"/>
      <c r="N41" s="540"/>
      <c r="O41" s="540"/>
      <c r="P41" s="540"/>
      <c r="Q41" s="540"/>
    </row>
    <row r="42" spans="1:17" ht="15.75">
      <c r="A42" t="s">
        <v>155</v>
      </c>
      <c r="B42" t="s">
        <v>149</v>
      </c>
      <c r="C42" s="576" t="e">
        <f t="shared" si="0"/>
        <v>#DIV/0!</v>
      </c>
      <c r="E42" s="456"/>
      <c r="F42" s="456"/>
      <c r="G42" s="456"/>
      <c r="H42" s="540"/>
      <c r="I42" s="540"/>
      <c r="J42" s="540"/>
      <c r="K42" s="540"/>
      <c r="L42" s="540"/>
      <c r="M42" s="540"/>
      <c r="N42" s="540"/>
      <c r="O42" s="540"/>
      <c r="P42" s="540"/>
      <c r="Q42" s="540"/>
    </row>
    <row r="43" spans="1:17" ht="15.75">
      <c r="A43" t="s">
        <v>156</v>
      </c>
      <c r="B43" t="s">
        <v>137</v>
      </c>
      <c r="C43" s="576" t="e">
        <f t="shared" si="0"/>
        <v>#DIV/0!</v>
      </c>
      <c r="E43" s="456"/>
      <c r="F43" s="456"/>
      <c r="G43" s="456"/>
      <c r="H43" s="540"/>
      <c r="I43" s="540"/>
      <c r="J43" s="540"/>
      <c r="K43" s="540"/>
      <c r="L43" s="540"/>
      <c r="M43" s="540"/>
      <c r="N43" s="540"/>
      <c r="O43" s="540"/>
      <c r="P43" s="540"/>
      <c r="Q43" s="540"/>
    </row>
    <row r="44" spans="1:17" ht="15.75">
      <c r="A44" t="s">
        <v>157</v>
      </c>
      <c r="B44" t="s">
        <v>7</v>
      </c>
      <c r="C44" s="576" t="e">
        <f t="shared" si="0"/>
        <v>#DIV/0!</v>
      </c>
      <c r="E44" s="456"/>
      <c r="F44" s="456"/>
      <c r="G44" s="456"/>
      <c r="H44" s="540"/>
      <c r="I44" s="540"/>
      <c r="J44" s="540"/>
      <c r="K44" s="540"/>
      <c r="L44" s="540"/>
      <c r="M44" s="540"/>
      <c r="N44" s="540"/>
      <c r="O44" s="540"/>
      <c r="P44" s="540"/>
      <c r="Q44" s="540"/>
    </row>
    <row r="45" spans="1:17" ht="15.75">
      <c r="A45" t="s">
        <v>158</v>
      </c>
      <c r="B45" t="s">
        <v>1</v>
      </c>
      <c r="C45" s="576" t="e">
        <f t="shared" si="0"/>
        <v>#DIV/0!</v>
      </c>
      <c r="E45" s="456"/>
      <c r="F45" s="456"/>
      <c r="G45" s="456"/>
      <c r="H45" s="540"/>
      <c r="I45" s="540"/>
      <c r="J45" s="540"/>
      <c r="K45" s="540"/>
      <c r="L45" s="540"/>
      <c r="M45" s="540"/>
      <c r="N45" s="540"/>
      <c r="O45" s="540"/>
      <c r="P45" s="540"/>
      <c r="Q45" s="540"/>
    </row>
    <row r="46" spans="1:17" ht="15.75">
      <c r="A46" t="s">
        <v>159</v>
      </c>
      <c r="B46" t="s">
        <v>150</v>
      </c>
      <c r="C46" s="576" t="e">
        <f t="shared" si="0"/>
        <v>#DIV/0!</v>
      </c>
      <c r="E46" s="456"/>
      <c r="F46" s="456"/>
      <c r="G46" s="456"/>
      <c r="H46" s="540"/>
      <c r="I46" s="540"/>
      <c r="J46" s="540"/>
      <c r="K46" s="540"/>
      <c r="L46" s="540"/>
      <c r="M46" s="540"/>
      <c r="N46" s="540"/>
      <c r="O46" s="540"/>
      <c r="P46" s="540"/>
      <c r="Q46" s="540"/>
    </row>
    <row r="47" spans="1:17" ht="15.75">
      <c r="A47" t="s">
        <v>160</v>
      </c>
      <c r="B47" t="s">
        <v>12</v>
      </c>
      <c r="C47" s="576" t="e">
        <f t="shared" si="0"/>
        <v>#DIV/0!</v>
      </c>
      <c r="E47" s="456"/>
      <c r="F47" s="456"/>
      <c r="G47" s="456"/>
      <c r="H47" s="540"/>
      <c r="I47" s="540"/>
      <c r="J47" s="540"/>
      <c r="K47" s="540"/>
      <c r="L47" s="540"/>
      <c r="M47" s="540"/>
      <c r="N47" s="540"/>
      <c r="O47" s="540"/>
      <c r="P47" s="540"/>
      <c r="Q47" s="540"/>
    </row>
    <row r="48" spans="1:17" ht="15.75">
      <c r="A48" t="s">
        <v>1162</v>
      </c>
      <c r="B48" t="s">
        <v>660</v>
      </c>
      <c r="C48" s="576" t="e">
        <f t="shared" si="0"/>
        <v>#DIV/0!</v>
      </c>
      <c r="E48" s="456"/>
      <c r="F48" s="456"/>
      <c r="G48" s="456"/>
      <c r="H48" s="540"/>
      <c r="I48" s="540"/>
      <c r="J48" s="540"/>
      <c r="K48" s="540"/>
      <c r="L48" s="540"/>
      <c r="M48" s="540"/>
      <c r="N48" s="540"/>
      <c r="O48" s="540"/>
      <c r="P48" s="540"/>
      <c r="Q48" s="540"/>
    </row>
    <row r="49" spans="1:17" ht="15.75">
      <c r="A49" t="s">
        <v>1169</v>
      </c>
      <c r="B49" t="s">
        <v>153</v>
      </c>
      <c r="C49" s="576" t="e">
        <f t="shared" si="0"/>
        <v>#DIV/0!</v>
      </c>
      <c r="E49" s="456"/>
      <c r="F49" s="456"/>
      <c r="G49" s="456"/>
      <c r="H49" s="540"/>
      <c r="I49" s="540"/>
      <c r="J49" s="540"/>
      <c r="K49" s="540"/>
      <c r="L49" s="540"/>
      <c r="M49" s="540"/>
      <c r="N49" s="540"/>
      <c r="O49" s="540"/>
      <c r="P49" s="540"/>
      <c r="Q49" s="540"/>
    </row>
    <row r="50" spans="1:17">
      <c r="B50" s="441" t="s">
        <v>1148</v>
      </c>
      <c r="C50" s="550">
        <v>1.0000000000000002</v>
      </c>
      <c r="D50" s="441"/>
      <c r="E50" s="541"/>
      <c r="F50" s="541"/>
      <c r="G50" s="541"/>
      <c r="H50" s="541"/>
      <c r="I50" s="541"/>
      <c r="J50" s="541"/>
      <c r="K50" s="541"/>
      <c r="L50" s="540"/>
      <c r="M50" s="540"/>
      <c r="N50" s="540"/>
      <c r="O50" s="540"/>
      <c r="P50" s="540"/>
      <c r="Q50" s="540"/>
    </row>
    <row r="51" spans="1:17">
      <c r="B51" s="441"/>
      <c r="C51" s="441"/>
      <c r="D51" s="441"/>
      <c r="E51" s="541"/>
      <c r="F51" s="541"/>
      <c r="G51" s="541"/>
      <c r="H51" s="541"/>
      <c r="I51" s="541"/>
      <c r="J51" s="541"/>
      <c r="K51" s="541"/>
      <c r="L51" s="540"/>
      <c r="M51" s="540"/>
      <c r="N51" s="540"/>
      <c r="O51" s="540"/>
      <c r="P51" s="540"/>
      <c r="Q51" s="540"/>
    </row>
  </sheetData>
  <pageMargins left="0.7" right="0.7" top="0.75" bottom="0.75" header="0.3" footer="0.3"/>
  <pageSetup scale="67" orientation="landscape" r:id="rId1"/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Q465"/>
  <sheetViews>
    <sheetView showGridLines="0" topLeftCell="A37" workbookViewId="0">
      <selection activeCell="C26" sqref="C26"/>
    </sheetView>
  </sheetViews>
  <sheetFormatPr defaultColWidth="9.140625" defaultRowHeight="15.75"/>
  <cols>
    <col min="1" max="1" width="12.140625" style="3" customWidth="1"/>
    <col min="2" max="2" width="13.85546875" style="3" customWidth="1"/>
    <col min="3" max="3" width="14.140625" style="3" customWidth="1"/>
    <col min="4" max="4" width="4.140625" style="3" customWidth="1"/>
    <col min="5" max="5" width="18.42578125" style="3" hidden="1" customWidth="1"/>
    <col min="6" max="6" width="16" style="3" hidden="1" customWidth="1"/>
    <col min="7" max="7" width="18.85546875" style="3" hidden="1" customWidth="1"/>
    <col min="8" max="16" width="11.5703125" style="3" customWidth="1"/>
    <col min="17" max="17" width="11" style="3" customWidth="1"/>
    <col min="18" max="16384" width="9.140625" style="3"/>
  </cols>
  <sheetData>
    <row r="1" spans="1:17">
      <c r="A1" s="476" t="s">
        <v>673</v>
      </c>
      <c r="B1" s="453"/>
      <c r="C1" s="453"/>
      <c r="D1" s="453"/>
      <c r="E1" s="454"/>
      <c r="F1" s="453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17">
      <c r="A2" s="476" t="str">
        <f>'Sum. of Prop.'!A1</f>
        <v xml:space="preserve">Peoples Gas System 2024 BUDGET Property Tax Appraisal </v>
      </c>
      <c r="B2" s="453"/>
      <c r="C2" s="453"/>
      <c r="D2" s="453"/>
      <c r="E2" s="454"/>
      <c r="F2" s="453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17">
      <c r="A3" s="476" t="s">
        <v>674</v>
      </c>
      <c r="B3" s="453"/>
      <c r="C3" s="453"/>
      <c r="D3" s="453"/>
      <c r="E3" s="454"/>
      <c r="F3" s="453"/>
      <c r="G3" s="454"/>
      <c r="H3" s="454"/>
      <c r="I3" s="454"/>
      <c r="J3" s="454"/>
      <c r="K3" s="454"/>
      <c r="L3" s="454"/>
      <c r="M3" s="454"/>
      <c r="N3" s="454"/>
      <c r="O3" s="454"/>
      <c r="P3" s="454"/>
    </row>
    <row r="4" spans="1:17">
      <c r="A4" s="455" t="s">
        <v>1886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</row>
    <row r="5" spans="1:17">
      <c r="A5" s="455"/>
      <c r="B5" s="455"/>
      <c r="C5" s="455"/>
      <c r="D5" s="455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</row>
    <row r="6" spans="1:17">
      <c r="A6" s="455"/>
      <c r="B6" s="455"/>
      <c r="C6" s="457" t="s">
        <v>675</v>
      </c>
      <c r="D6" s="457"/>
      <c r="E6" s="475" t="s">
        <v>1885</v>
      </c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</row>
    <row r="7" spans="1:17">
      <c r="A7" s="455"/>
      <c r="B7" s="455"/>
      <c r="C7" s="458" t="s">
        <v>676</v>
      </c>
      <c r="D7" s="458"/>
      <c r="E7" s="459" t="s">
        <v>677</v>
      </c>
      <c r="F7" s="459" t="s">
        <v>678</v>
      </c>
      <c r="G7" s="459" t="s">
        <v>679</v>
      </c>
      <c r="H7" s="459"/>
      <c r="I7" s="459"/>
      <c r="J7" s="459"/>
      <c r="K7" s="459"/>
      <c r="L7" s="459"/>
      <c r="M7" s="459"/>
      <c r="N7" s="459"/>
      <c r="O7" s="459"/>
      <c r="P7" s="459"/>
    </row>
    <row r="8" spans="1:17">
      <c r="A8" s="460" t="s">
        <v>103</v>
      </c>
      <c r="B8" s="455" t="s">
        <v>161</v>
      </c>
      <c r="C8" s="461">
        <f t="shared" ref="C8:C49" si="0">E8/$E$50</f>
        <v>1.1189574519956675E-3</v>
      </c>
      <c r="D8" s="461"/>
      <c r="E8" s="462">
        <v>2626989</v>
      </c>
      <c r="F8" s="462"/>
      <c r="G8" s="462">
        <f t="shared" ref="G8:G49" si="1">+E8+F8</f>
        <v>2626989</v>
      </c>
      <c r="H8" s="462"/>
      <c r="I8" s="462"/>
      <c r="J8" s="462"/>
      <c r="K8" s="462"/>
      <c r="L8" s="462"/>
      <c r="M8" s="462"/>
      <c r="N8" s="462"/>
      <c r="O8" s="462"/>
      <c r="P8" s="462"/>
      <c r="Q8" s="276"/>
    </row>
    <row r="9" spans="1:17">
      <c r="A9" s="460" t="s">
        <v>104</v>
      </c>
      <c r="B9" s="455" t="s">
        <v>141</v>
      </c>
      <c r="C9" s="461">
        <f t="shared" si="0"/>
        <v>3.7652171638876693E-2</v>
      </c>
      <c r="D9" s="461"/>
      <c r="E9" s="456">
        <v>88396427</v>
      </c>
      <c r="F9" s="464">
        <v>210386</v>
      </c>
      <c r="G9" s="456">
        <f t="shared" si="1"/>
        <v>88606813</v>
      </c>
      <c r="H9" s="456"/>
      <c r="I9" s="456"/>
      <c r="J9" s="456"/>
      <c r="K9" s="456"/>
      <c r="L9" s="456"/>
      <c r="M9" s="456"/>
      <c r="N9" s="456"/>
      <c r="O9" s="456"/>
      <c r="P9" s="456"/>
      <c r="Q9" s="276"/>
    </row>
    <row r="10" spans="1:17">
      <c r="A10" s="460" t="s">
        <v>105</v>
      </c>
      <c r="B10" s="455" t="s">
        <v>142</v>
      </c>
      <c r="C10" s="461">
        <f t="shared" si="0"/>
        <v>7.2245213244018908E-4</v>
      </c>
      <c r="D10" s="461"/>
      <c r="E10" s="456">
        <v>1696109</v>
      </c>
      <c r="F10" s="464"/>
      <c r="G10" s="456">
        <f t="shared" si="1"/>
        <v>1696109</v>
      </c>
      <c r="H10" s="456"/>
      <c r="I10" s="456"/>
      <c r="J10" s="456"/>
      <c r="K10" s="456"/>
      <c r="L10" s="456"/>
      <c r="M10" s="456"/>
      <c r="N10" s="456"/>
      <c r="O10" s="456"/>
      <c r="P10" s="456"/>
      <c r="Q10" s="276"/>
    </row>
    <row r="11" spans="1:17">
      <c r="A11" s="460" t="s">
        <v>106</v>
      </c>
      <c r="B11" s="455" t="s">
        <v>1159</v>
      </c>
      <c r="C11" s="461">
        <f t="shared" si="0"/>
        <v>1.2555240803641052E-3</v>
      </c>
      <c r="D11" s="461"/>
      <c r="E11" s="456">
        <v>2947608.01</v>
      </c>
      <c r="F11" s="464"/>
      <c r="G11" s="456">
        <f t="shared" si="1"/>
        <v>2947608.01</v>
      </c>
      <c r="H11" s="456"/>
      <c r="I11" s="456"/>
      <c r="J11" s="456"/>
      <c r="K11" s="456"/>
      <c r="L11" s="456"/>
      <c r="M11" s="456"/>
      <c r="N11" s="456"/>
      <c r="O11" s="456"/>
      <c r="P11" s="456"/>
      <c r="Q11" s="276"/>
    </row>
    <row r="12" spans="1:17">
      <c r="A12" s="460" t="s">
        <v>107</v>
      </c>
      <c r="B12" s="455" t="s">
        <v>162</v>
      </c>
      <c r="C12" s="461">
        <f t="shared" si="0"/>
        <v>6.1582982961650642E-2</v>
      </c>
      <c r="D12" s="461"/>
      <c r="E12" s="456">
        <v>144579062</v>
      </c>
      <c r="F12" s="464"/>
      <c r="G12" s="456">
        <f t="shared" si="1"/>
        <v>144579062</v>
      </c>
      <c r="H12" s="456"/>
      <c r="I12" s="456"/>
      <c r="J12" s="456"/>
      <c r="K12" s="456"/>
      <c r="L12" s="456"/>
      <c r="M12" s="456"/>
      <c r="N12" s="456"/>
      <c r="O12" s="456"/>
      <c r="P12" s="456"/>
      <c r="Q12" s="276"/>
    </row>
    <row r="13" spans="1:17">
      <c r="A13" s="460" t="s">
        <v>108</v>
      </c>
      <c r="B13" s="455" t="s">
        <v>143</v>
      </c>
      <c r="C13" s="461">
        <f t="shared" si="0"/>
        <v>1.0081044244635465E-2</v>
      </c>
      <c r="D13" s="461"/>
      <c r="E13" s="456">
        <v>23667381</v>
      </c>
      <c r="F13" s="464"/>
      <c r="G13" s="456">
        <f t="shared" si="1"/>
        <v>23667381</v>
      </c>
      <c r="H13" s="456"/>
      <c r="I13" s="456"/>
      <c r="J13" s="456"/>
      <c r="K13" s="456"/>
      <c r="L13" s="456"/>
      <c r="M13" s="456"/>
      <c r="N13" s="456"/>
      <c r="O13" s="456"/>
      <c r="P13" s="456"/>
      <c r="Q13" s="276"/>
    </row>
    <row r="14" spans="1:17">
      <c r="A14" s="460" t="s">
        <v>109</v>
      </c>
      <c r="B14" s="455" t="s">
        <v>2</v>
      </c>
      <c r="C14" s="461">
        <f t="shared" si="0"/>
        <v>1.0691172086841276E-2</v>
      </c>
      <c r="D14" s="461"/>
      <c r="E14" s="456">
        <v>25099785</v>
      </c>
      <c r="F14" s="464"/>
      <c r="G14" s="456">
        <f t="shared" si="1"/>
        <v>25099785</v>
      </c>
      <c r="H14" s="456"/>
      <c r="I14" s="456"/>
      <c r="J14" s="456"/>
      <c r="K14" s="456"/>
      <c r="L14" s="456"/>
      <c r="M14" s="456"/>
      <c r="N14" s="456"/>
      <c r="O14" s="456"/>
      <c r="P14" s="456"/>
      <c r="Q14" s="276"/>
    </row>
    <row r="15" spans="1:17">
      <c r="A15" s="460" t="s">
        <v>110</v>
      </c>
      <c r="B15" s="455" t="s">
        <v>3</v>
      </c>
      <c r="C15" s="461">
        <f t="shared" si="0"/>
        <v>4.1555177595910583E-2</v>
      </c>
      <c r="D15" s="461"/>
      <c r="E15" s="456">
        <v>97559558</v>
      </c>
      <c r="F15" s="464"/>
      <c r="G15" s="456">
        <f t="shared" si="1"/>
        <v>97559558</v>
      </c>
      <c r="H15" s="456"/>
      <c r="I15" s="456"/>
      <c r="J15" s="456"/>
      <c r="K15" s="456"/>
      <c r="L15" s="456"/>
      <c r="M15" s="456"/>
      <c r="N15" s="456"/>
      <c r="O15" s="456"/>
      <c r="P15" s="456"/>
      <c r="Q15" s="276"/>
    </row>
    <row r="16" spans="1:17">
      <c r="A16" s="460" t="s">
        <v>111</v>
      </c>
      <c r="B16" s="455" t="s">
        <v>0</v>
      </c>
      <c r="C16" s="461">
        <f t="shared" si="0"/>
        <v>1.066885886584081E-4</v>
      </c>
      <c r="D16" s="461"/>
      <c r="E16" s="456">
        <v>250474</v>
      </c>
      <c r="F16" s="464"/>
      <c r="G16" s="456">
        <f t="shared" si="1"/>
        <v>250474</v>
      </c>
      <c r="H16" s="456"/>
      <c r="I16" s="456"/>
      <c r="J16" s="456"/>
      <c r="K16" s="456"/>
      <c r="L16" s="456"/>
      <c r="M16" s="456"/>
      <c r="N16" s="456"/>
      <c r="O16" s="456"/>
      <c r="P16" s="456"/>
      <c r="Q16" s="276"/>
    </row>
    <row r="17" spans="1:17">
      <c r="A17" s="460" t="s">
        <v>112</v>
      </c>
      <c r="B17" s="455" t="s">
        <v>163</v>
      </c>
      <c r="C17" s="461">
        <f t="shared" si="0"/>
        <v>7.3836272620513108E-2</v>
      </c>
      <c r="D17" s="461"/>
      <c r="E17" s="456">
        <v>173346248</v>
      </c>
      <c r="F17" s="464">
        <v>404936</v>
      </c>
      <c r="G17" s="456">
        <f t="shared" si="1"/>
        <v>173751184</v>
      </c>
      <c r="H17" s="456"/>
      <c r="I17" s="456"/>
      <c r="J17" s="456"/>
      <c r="K17" s="456"/>
      <c r="L17" s="456"/>
      <c r="M17" s="456"/>
      <c r="N17" s="456"/>
      <c r="O17" s="456"/>
      <c r="P17" s="456"/>
      <c r="Q17" s="276"/>
    </row>
    <row r="18" spans="1:17">
      <c r="A18" s="460" t="s">
        <v>113</v>
      </c>
      <c r="B18" s="455" t="s">
        <v>164</v>
      </c>
      <c r="C18" s="461">
        <f t="shared" si="0"/>
        <v>9.8034035426183247E-2</v>
      </c>
      <c r="D18" s="461"/>
      <c r="E18" s="456">
        <v>230155608</v>
      </c>
      <c r="F18" s="464">
        <v>374171</v>
      </c>
      <c r="G18" s="456">
        <f t="shared" si="1"/>
        <v>230529779</v>
      </c>
      <c r="H18" s="456"/>
      <c r="I18" s="456"/>
      <c r="J18" s="456"/>
      <c r="K18" s="456"/>
      <c r="L18" s="456"/>
      <c r="M18" s="456"/>
      <c r="N18" s="456"/>
      <c r="O18" s="456"/>
      <c r="P18" s="456"/>
      <c r="Q18" s="276"/>
    </row>
    <row r="19" spans="1:17">
      <c r="A19" s="460" t="s">
        <v>114</v>
      </c>
      <c r="B19" s="455" t="s">
        <v>144</v>
      </c>
      <c r="C19" s="461">
        <f t="shared" si="0"/>
        <v>3.9726465484377733E-3</v>
      </c>
      <c r="D19" s="461"/>
      <c r="E19" s="456">
        <v>9326627</v>
      </c>
      <c r="F19" s="464"/>
      <c r="G19" s="456">
        <f t="shared" si="1"/>
        <v>9326627</v>
      </c>
      <c r="H19" s="456"/>
      <c r="I19" s="456"/>
      <c r="J19" s="456"/>
      <c r="K19" s="456"/>
      <c r="L19" s="456"/>
      <c r="M19" s="456"/>
      <c r="N19" s="456"/>
      <c r="O19" s="456"/>
      <c r="P19" s="456"/>
      <c r="Q19" s="276"/>
    </row>
    <row r="20" spans="1:17">
      <c r="A20" s="460" t="s">
        <v>116</v>
      </c>
      <c r="B20" s="455" t="s">
        <v>4</v>
      </c>
      <c r="C20" s="461">
        <f t="shared" si="0"/>
        <v>1.2901441768295755E-3</v>
      </c>
      <c r="D20" s="461"/>
      <c r="E20" s="456">
        <v>3028886</v>
      </c>
      <c r="F20" s="464"/>
      <c r="G20" s="456">
        <f t="shared" si="1"/>
        <v>3028886</v>
      </c>
      <c r="H20" s="456"/>
      <c r="I20" s="456"/>
      <c r="J20" s="456"/>
      <c r="K20" s="456"/>
      <c r="L20" s="456"/>
      <c r="M20" s="456"/>
      <c r="N20" s="456"/>
      <c r="O20" s="456"/>
      <c r="P20" s="456"/>
      <c r="Q20" s="276"/>
    </row>
    <row r="21" spans="1:17">
      <c r="A21" s="460" t="s">
        <v>115</v>
      </c>
      <c r="B21" s="455" t="s">
        <v>1163</v>
      </c>
      <c r="C21" s="461">
        <f t="shared" si="0"/>
        <v>4.9996650961656815E-4</v>
      </c>
      <c r="D21" s="461"/>
      <c r="E21" s="456">
        <v>1173777</v>
      </c>
      <c r="F21" s="464"/>
      <c r="G21" s="456">
        <f t="shared" si="1"/>
        <v>1173777</v>
      </c>
      <c r="H21" s="456"/>
      <c r="I21" s="456"/>
      <c r="J21" s="456"/>
      <c r="K21" s="456"/>
      <c r="L21" s="456"/>
      <c r="M21" s="456"/>
      <c r="N21" s="456"/>
      <c r="O21" s="456"/>
      <c r="P21" s="456"/>
      <c r="Q21" s="276"/>
    </row>
    <row r="22" spans="1:17">
      <c r="A22" s="460" t="s">
        <v>117</v>
      </c>
      <c r="B22" s="455" t="s">
        <v>5</v>
      </c>
      <c r="C22" s="461">
        <f t="shared" si="0"/>
        <v>4.9593594580939031E-3</v>
      </c>
      <c r="D22" s="461"/>
      <c r="E22" s="456">
        <v>11643144</v>
      </c>
      <c r="F22" s="464"/>
      <c r="G22" s="456">
        <f t="shared" si="1"/>
        <v>11643144</v>
      </c>
      <c r="H22" s="456"/>
      <c r="I22" s="456"/>
      <c r="J22" s="456"/>
      <c r="K22" s="456"/>
      <c r="L22" s="456"/>
      <c r="M22" s="456"/>
      <c r="N22" s="456"/>
      <c r="O22" s="456"/>
      <c r="P22" s="456"/>
      <c r="Q22" s="276"/>
    </row>
    <row r="23" spans="1:17">
      <c r="A23" s="460" t="s">
        <v>118</v>
      </c>
      <c r="B23" s="455" t="s">
        <v>165</v>
      </c>
      <c r="C23" s="461">
        <f t="shared" si="0"/>
        <v>1.4581614318254674E-3</v>
      </c>
      <c r="D23" s="461"/>
      <c r="E23" s="456">
        <v>3423342</v>
      </c>
      <c r="F23" s="464">
        <v>8715</v>
      </c>
      <c r="G23" s="456">
        <f t="shared" si="1"/>
        <v>3432057</v>
      </c>
      <c r="H23" s="456"/>
      <c r="I23" s="456"/>
      <c r="J23" s="456"/>
      <c r="K23" s="456"/>
      <c r="L23" s="456"/>
      <c r="M23" s="456"/>
      <c r="N23" s="456"/>
      <c r="O23" s="456"/>
      <c r="P23" s="456"/>
      <c r="Q23" s="276"/>
    </row>
    <row r="24" spans="1:17">
      <c r="A24" s="460" t="s">
        <v>119</v>
      </c>
      <c r="B24" s="455" t="s">
        <v>166</v>
      </c>
      <c r="C24" s="461">
        <f t="shared" si="0"/>
        <v>0.15196124130344316</v>
      </c>
      <c r="D24" s="461"/>
      <c r="E24" s="456">
        <v>356761116</v>
      </c>
      <c r="F24" s="464">
        <v>145716</v>
      </c>
      <c r="G24" s="456">
        <f t="shared" si="1"/>
        <v>356906832</v>
      </c>
      <c r="H24" s="456"/>
      <c r="I24" s="456"/>
      <c r="J24" s="456"/>
      <c r="K24" s="456"/>
      <c r="L24" s="456"/>
      <c r="M24" s="456"/>
      <c r="N24" s="456"/>
      <c r="O24" s="456"/>
      <c r="P24" s="456"/>
      <c r="Q24" s="276"/>
    </row>
    <row r="25" spans="1:17">
      <c r="A25" s="460" t="s">
        <v>120</v>
      </c>
      <c r="B25" s="455" t="s">
        <v>207</v>
      </c>
      <c r="C25" s="461">
        <f t="shared" si="0"/>
        <v>9.717123426240904E-5</v>
      </c>
      <c r="D25" s="461"/>
      <c r="E25" s="456">
        <v>228130</v>
      </c>
      <c r="F25" s="464"/>
      <c r="G25" s="456">
        <f t="shared" si="1"/>
        <v>228130</v>
      </c>
      <c r="H25" s="456"/>
      <c r="I25" s="456"/>
      <c r="J25" s="456"/>
      <c r="K25" s="456"/>
      <c r="L25" s="456"/>
      <c r="M25" s="456"/>
      <c r="N25" s="456"/>
      <c r="O25" s="456"/>
      <c r="P25" s="456"/>
      <c r="Q25" s="276"/>
    </row>
    <row r="26" spans="1:17">
      <c r="A26" s="460" t="s">
        <v>121</v>
      </c>
      <c r="B26" s="455" t="s">
        <v>8</v>
      </c>
      <c r="C26" s="461">
        <f t="shared" si="0"/>
        <v>5.5225701166257753E-5</v>
      </c>
      <c r="D26" s="461"/>
      <c r="E26" s="456">
        <v>129654</v>
      </c>
      <c r="F26" s="464"/>
      <c r="G26" s="456">
        <f t="shared" si="1"/>
        <v>129654</v>
      </c>
      <c r="H26" s="456"/>
      <c r="I26" s="456"/>
      <c r="J26" s="456"/>
      <c r="K26" s="456"/>
      <c r="L26" s="456"/>
      <c r="M26" s="456"/>
      <c r="N26" s="456"/>
      <c r="O26" s="456"/>
      <c r="P26" s="456"/>
      <c r="Q26" s="276"/>
    </row>
    <row r="27" spans="1:17">
      <c r="A27" s="460" t="s">
        <v>122</v>
      </c>
      <c r="B27" s="455" t="s">
        <v>145</v>
      </c>
      <c r="C27" s="461">
        <f t="shared" si="0"/>
        <v>1.7893648110754477E-2</v>
      </c>
      <c r="D27" s="461"/>
      <c r="E27" s="456">
        <v>42009119</v>
      </c>
      <c r="F27" s="464">
        <v>60475</v>
      </c>
      <c r="G27" s="456">
        <f t="shared" si="1"/>
        <v>42069594</v>
      </c>
      <c r="H27" s="456"/>
      <c r="I27" s="456"/>
      <c r="J27" s="456"/>
      <c r="K27" s="456"/>
      <c r="L27" s="456"/>
      <c r="M27" s="456"/>
      <c r="N27" s="456"/>
      <c r="O27" s="456"/>
      <c r="P27" s="456"/>
      <c r="Q27" s="276"/>
    </row>
    <row r="28" spans="1:17">
      <c r="A28" s="460" t="s">
        <v>123</v>
      </c>
      <c r="B28" s="455" t="s">
        <v>9</v>
      </c>
      <c r="C28" s="461">
        <f t="shared" si="0"/>
        <v>4.1848645968377514E-2</v>
      </c>
      <c r="D28" s="461"/>
      <c r="E28" s="456">
        <v>98248537</v>
      </c>
      <c r="F28" s="464">
        <v>492019</v>
      </c>
      <c r="G28" s="456">
        <f t="shared" si="1"/>
        <v>98740556</v>
      </c>
      <c r="H28" s="456"/>
      <c r="I28" s="456"/>
      <c r="J28" s="456"/>
      <c r="K28" s="456"/>
      <c r="L28" s="456"/>
      <c r="M28" s="456"/>
      <c r="N28" s="456"/>
      <c r="O28" s="456"/>
      <c r="P28" s="456"/>
      <c r="Q28" s="276"/>
    </row>
    <row r="29" spans="1:17">
      <c r="A29" s="460" t="s">
        <v>124</v>
      </c>
      <c r="B29" s="455" t="s">
        <v>146</v>
      </c>
      <c r="C29" s="461">
        <f t="shared" si="0"/>
        <v>1.3433614964297497E-4</v>
      </c>
      <c r="D29" s="461"/>
      <c r="E29" s="456">
        <v>315382.49000000005</v>
      </c>
      <c r="F29" s="464"/>
      <c r="G29" s="456">
        <f t="shared" si="1"/>
        <v>315382.49000000005</v>
      </c>
      <c r="H29" s="456"/>
      <c r="I29" s="456"/>
      <c r="J29" s="456"/>
      <c r="K29" s="456"/>
      <c r="L29" s="456"/>
      <c r="M29" s="456"/>
      <c r="N29" s="456"/>
      <c r="O29" s="456"/>
      <c r="P29" s="456"/>
      <c r="Q29" s="276"/>
    </row>
    <row r="30" spans="1:17">
      <c r="A30" s="460" t="s">
        <v>125</v>
      </c>
      <c r="B30" s="455" t="s">
        <v>147</v>
      </c>
      <c r="C30" s="461">
        <f t="shared" si="0"/>
        <v>2.6152066171157931E-4</v>
      </c>
      <c r="D30" s="461"/>
      <c r="E30" s="456">
        <v>613975</v>
      </c>
      <c r="F30" s="464"/>
      <c r="G30" s="456">
        <f t="shared" si="1"/>
        <v>613975</v>
      </c>
      <c r="H30" s="456"/>
      <c r="I30" s="456"/>
      <c r="J30" s="456"/>
      <c r="K30" s="456"/>
      <c r="L30" s="456"/>
      <c r="M30" s="456"/>
      <c r="N30" s="456"/>
      <c r="O30" s="456"/>
      <c r="P30" s="456"/>
      <c r="Q30" s="276"/>
    </row>
    <row r="31" spans="1:17">
      <c r="A31" s="460" t="s">
        <v>126</v>
      </c>
      <c r="B31" s="455" t="s">
        <v>148</v>
      </c>
      <c r="C31" s="461">
        <f t="shared" si="0"/>
        <v>6.5957003827052626E-5</v>
      </c>
      <c r="D31" s="461"/>
      <c r="E31" s="456">
        <v>154848</v>
      </c>
      <c r="F31" s="464"/>
      <c r="G31" s="456">
        <f t="shared" si="1"/>
        <v>154848</v>
      </c>
      <c r="H31" s="456"/>
      <c r="I31" s="456"/>
      <c r="J31" s="456"/>
      <c r="K31" s="456"/>
      <c r="L31" s="456"/>
      <c r="M31" s="456"/>
      <c r="N31" s="456"/>
      <c r="O31" s="456"/>
      <c r="P31" s="456"/>
      <c r="Q31" s="276"/>
    </row>
    <row r="32" spans="1:17">
      <c r="A32" s="460" t="s">
        <v>127</v>
      </c>
      <c r="B32" s="455" t="s">
        <v>167</v>
      </c>
      <c r="C32" s="461">
        <f t="shared" si="0"/>
        <v>3.9725085842823464E-2</v>
      </c>
      <c r="D32" s="461"/>
      <c r="E32" s="456">
        <v>93263031</v>
      </c>
      <c r="F32" s="464"/>
      <c r="G32" s="456">
        <f t="shared" si="1"/>
        <v>93263031</v>
      </c>
      <c r="H32" s="456"/>
      <c r="I32" s="456"/>
      <c r="J32" s="456"/>
      <c r="K32" s="456"/>
      <c r="L32" s="456"/>
      <c r="M32" s="456"/>
      <c r="N32" s="456"/>
      <c r="O32" s="456"/>
      <c r="P32" s="456"/>
      <c r="Q32" s="276"/>
    </row>
    <row r="33" spans="1:17">
      <c r="A33" s="460" t="s">
        <v>128</v>
      </c>
      <c r="B33" s="455" t="s">
        <v>168</v>
      </c>
      <c r="C33" s="461">
        <f t="shared" si="0"/>
        <v>2.867502635044555E-2</v>
      </c>
      <c r="D33" s="461"/>
      <c r="E33" s="456">
        <v>67320682</v>
      </c>
      <c r="F33" s="464">
        <v>320990</v>
      </c>
      <c r="G33" s="456">
        <f t="shared" si="1"/>
        <v>67641672</v>
      </c>
      <c r="H33" s="456"/>
      <c r="I33" s="456"/>
      <c r="J33" s="456"/>
      <c r="K33" s="456"/>
      <c r="L33" s="456"/>
      <c r="M33" s="456"/>
      <c r="N33" s="456"/>
      <c r="O33" s="456"/>
      <c r="P33" s="456"/>
      <c r="Q33" s="276"/>
    </row>
    <row r="34" spans="1:17">
      <c r="A34" s="460" t="s">
        <v>129</v>
      </c>
      <c r="B34" s="455" t="s">
        <v>10</v>
      </c>
      <c r="C34" s="461">
        <f t="shared" si="0"/>
        <v>3.7080786636081767E-3</v>
      </c>
      <c r="D34" s="461"/>
      <c r="E34" s="456">
        <v>8705498</v>
      </c>
      <c r="F34" s="464"/>
      <c r="G34" s="456">
        <f t="shared" si="1"/>
        <v>8705498</v>
      </c>
      <c r="H34" s="456"/>
      <c r="I34" s="456"/>
      <c r="J34" s="456"/>
      <c r="K34" s="456"/>
      <c r="L34" s="456"/>
      <c r="M34" s="456"/>
      <c r="N34" s="456"/>
      <c r="O34" s="456"/>
      <c r="P34" s="456"/>
      <c r="Q34" s="276"/>
    </row>
    <row r="35" spans="1:17">
      <c r="A35" s="460" t="s">
        <v>130</v>
      </c>
      <c r="B35" s="455" t="s">
        <v>11</v>
      </c>
      <c r="C35" s="461">
        <f t="shared" si="0"/>
        <v>1.6797155516805683E-2</v>
      </c>
      <c r="D35" s="461"/>
      <c r="E35" s="456">
        <v>39434871</v>
      </c>
      <c r="F35" s="464"/>
      <c r="G35" s="456">
        <f t="shared" si="1"/>
        <v>39434871</v>
      </c>
      <c r="H35" s="456"/>
      <c r="I35" s="456"/>
      <c r="J35" s="456"/>
      <c r="K35" s="456"/>
      <c r="L35" s="456"/>
      <c r="M35" s="456"/>
      <c r="N35" s="456"/>
      <c r="O35" s="456"/>
      <c r="P35" s="456"/>
      <c r="Q35" s="276"/>
    </row>
    <row r="36" spans="1:17">
      <c r="A36" s="460" t="s">
        <v>131</v>
      </c>
      <c r="B36" s="455" t="s">
        <v>6</v>
      </c>
      <c r="C36" s="461">
        <f t="shared" si="0"/>
        <v>9.0106911940230988E-2</v>
      </c>
      <c r="D36" s="461"/>
      <c r="E36" s="456">
        <v>211545011</v>
      </c>
      <c r="F36" s="464">
        <v>92234</v>
      </c>
      <c r="G36" s="456">
        <f t="shared" si="1"/>
        <v>211637245</v>
      </c>
      <c r="H36" s="456"/>
      <c r="I36" s="456"/>
      <c r="J36" s="456"/>
      <c r="K36" s="456"/>
      <c r="L36" s="456"/>
      <c r="M36" s="456"/>
      <c r="N36" s="456"/>
      <c r="O36" s="456"/>
      <c r="P36" s="456"/>
      <c r="Q36" s="276"/>
    </row>
    <row r="37" spans="1:17">
      <c r="A37" s="460" t="s">
        <v>132</v>
      </c>
      <c r="B37" s="455" t="s">
        <v>169</v>
      </c>
      <c r="C37" s="461">
        <f t="shared" si="0"/>
        <v>2.0436630769369551E-2</v>
      </c>
      <c r="D37" s="461"/>
      <c r="E37" s="456">
        <v>47979308</v>
      </c>
      <c r="F37" s="464"/>
      <c r="G37" s="456">
        <f t="shared" si="1"/>
        <v>47979308</v>
      </c>
      <c r="H37" s="456"/>
      <c r="I37" s="456"/>
      <c r="J37" s="456"/>
      <c r="K37" s="456"/>
      <c r="L37" s="456"/>
      <c r="M37" s="456"/>
      <c r="N37" s="456"/>
      <c r="O37" s="456"/>
      <c r="P37" s="456"/>
      <c r="Q37" s="276"/>
    </row>
    <row r="38" spans="1:17">
      <c r="A38" s="460" t="s">
        <v>133</v>
      </c>
      <c r="B38" s="455" t="s">
        <v>170</v>
      </c>
      <c r="C38" s="461">
        <f t="shared" si="0"/>
        <v>1.4151653436414943E-2</v>
      </c>
      <c r="D38" s="461"/>
      <c r="E38" s="456">
        <v>33223996</v>
      </c>
      <c r="F38" s="464">
        <v>103750</v>
      </c>
      <c r="G38" s="456">
        <f t="shared" si="1"/>
        <v>33327746</v>
      </c>
      <c r="H38" s="456"/>
      <c r="I38" s="456"/>
      <c r="J38" s="456"/>
      <c r="K38" s="456"/>
      <c r="L38" s="456"/>
      <c r="M38" s="456"/>
      <c r="N38" s="456"/>
      <c r="O38" s="456"/>
      <c r="P38" s="456"/>
      <c r="Q38" s="276"/>
    </row>
    <row r="39" spans="1:17">
      <c r="A39" s="460" t="s">
        <v>134</v>
      </c>
      <c r="B39" s="455" t="s">
        <v>171</v>
      </c>
      <c r="C39" s="461">
        <f t="shared" si="0"/>
        <v>1.9452422426659739E-2</v>
      </c>
      <c r="D39" s="461"/>
      <c r="E39" s="456">
        <v>45668671</v>
      </c>
      <c r="F39" s="464"/>
      <c r="G39" s="456">
        <f t="shared" si="1"/>
        <v>45668671</v>
      </c>
      <c r="H39" s="456"/>
      <c r="I39" s="456"/>
      <c r="J39" s="456"/>
      <c r="K39" s="456"/>
      <c r="L39" s="456"/>
      <c r="M39" s="456"/>
      <c r="N39" s="456"/>
      <c r="O39" s="456"/>
      <c r="P39" s="456"/>
      <c r="Q39" s="276"/>
    </row>
    <row r="40" spans="1:17">
      <c r="A40" s="460" t="s">
        <v>135</v>
      </c>
      <c r="B40" s="455" t="s">
        <v>172</v>
      </c>
      <c r="C40" s="461">
        <f t="shared" si="0"/>
        <v>4.9307113439116215E-2</v>
      </c>
      <c r="D40" s="461"/>
      <c r="E40" s="456">
        <v>115758865</v>
      </c>
      <c r="F40" s="464">
        <v>132334</v>
      </c>
      <c r="G40" s="456">
        <f t="shared" si="1"/>
        <v>115891199</v>
      </c>
      <c r="H40" s="456"/>
      <c r="I40" s="456"/>
      <c r="J40" s="456"/>
      <c r="K40" s="456"/>
      <c r="L40" s="456"/>
      <c r="M40" s="456"/>
      <c r="N40" s="456"/>
      <c r="O40" s="456"/>
      <c r="P40" s="456"/>
      <c r="Q40" s="276"/>
    </row>
    <row r="41" spans="1:17">
      <c r="A41" s="460" t="s">
        <v>154</v>
      </c>
      <c r="B41" s="455" t="s">
        <v>173</v>
      </c>
      <c r="C41" s="461">
        <f t="shared" si="0"/>
        <v>1.8128679995381449E-2</v>
      </c>
      <c r="D41" s="461"/>
      <c r="E41" s="456">
        <v>42560906</v>
      </c>
      <c r="F41" s="464">
        <v>40435</v>
      </c>
      <c r="G41" s="456">
        <f t="shared" si="1"/>
        <v>42601341</v>
      </c>
      <c r="H41" s="456"/>
      <c r="I41" s="456"/>
      <c r="J41" s="456"/>
      <c r="K41" s="456"/>
      <c r="L41" s="456"/>
      <c r="M41" s="456"/>
      <c r="N41" s="456"/>
      <c r="O41" s="456"/>
      <c r="P41" s="456"/>
      <c r="Q41" s="276"/>
    </row>
    <row r="42" spans="1:17">
      <c r="A42" s="460" t="s">
        <v>155</v>
      </c>
      <c r="B42" s="455" t="s">
        <v>149</v>
      </c>
      <c r="C42" s="461">
        <f t="shared" si="0"/>
        <v>2.0399897972717112E-3</v>
      </c>
      <c r="D42" s="461"/>
      <c r="E42" s="456">
        <v>4789307</v>
      </c>
      <c r="F42" s="464"/>
      <c r="G42" s="456">
        <f t="shared" si="1"/>
        <v>4789307</v>
      </c>
      <c r="H42" s="456"/>
      <c r="I42" s="456"/>
      <c r="J42" s="456"/>
      <c r="K42" s="456"/>
      <c r="L42" s="456"/>
      <c r="M42" s="456"/>
      <c r="N42" s="456"/>
      <c r="O42" s="456"/>
      <c r="P42" s="456"/>
      <c r="Q42" s="276"/>
    </row>
    <row r="43" spans="1:17">
      <c r="A43" s="460" t="s">
        <v>156</v>
      </c>
      <c r="B43" s="455" t="s">
        <v>137</v>
      </c>
      <c r="C43" s="461">
        <f t="shared" si="0"/>
        <v>3.3636609676571207E-2</v>
      </c>
      <c r="D43" s="461"/>
      <c r="E43" s="456">
        <v>78969047</v>
      </c>
      <c r="F43" s="464">
        <v>196710</v>
      </c>
      <c r="G43" s="456">
        <f t="shared" si="1"/>
        <v>79165757</v>
      </c>
      <c r="H43" s="456"/>
      <c r="I43" s="456"/>
      <c r="J43" s="456"/>
      <c r="K43" s="456"/>
      <c r="L43" s="456"/>
      <c r="M43" s="456"/>
      <c r="N43" s="456"/>
      <c r="O43" s="456"/>
      <c r="P43" s="456"/>
      <c r="Q43" s="276"/>
    </row>
    <row r="44" spans="1:17">
      <c r="A44" s="460" t="s">
        <v>157</v>
      </c>
      <c r="B44" s="455" t="s">
        <v>7</v>
      </c>
      <c r="C44" s="461">
        <f t="shared" si="0"/>
        <v>1.7066071892103806E-2</v>
      </c>
      <c r="D44" s="461"/>
      <c r="E44" s="456">
        <v>40066209</v>
      </c>
      <c r="F44" s="464"/>
      <c r="G44" s="456">
        <f t="shared" si="1"/>
        <v>40066209</v>
      </c>
      <c r="H44" s="456"/>
      <c r="I44" s="456"/>
      <c r="J44" s="456"/>
      <c r="K44" s="456"/>
      <c r="L44" s="456"/>
      <c r="M44" s="456"/>
      <c r="N44" s="456"/>
      <c r="O44" s="456"/>
      <c r="P44" s="456"/>
      <c r="Q44" s="276"/>
    </row>
    <row r="45" spans="1:17">
      <c r="A45" s="460" t="s">
        <v>158</v>
      </c>
      <c r="B45" s="455" t="s">
        <v>1</v>
      </c>
      <c r="C45" s="461">
        <f t="shared" si="0"/>
        <v>4.2306973200618068E-2</v>
      </c>
      <c r="D45" s="461"/>
      <c r="E45" s="456">
        <v>99324557</v>
      </c>
      <c r="F45" s="464"/>
      <c r="G45" s="456">
        <f t="shared" si="1"/>
        <v>99324557</v>
      </c>
      <c r="H45" s="456"/>
      <c r="I45" s="456"/>
      <c r="J45" s="456"/>
      <c r="K45" s="456"/>
      <c r="L45" s="456"/>
      <c r="M45" s="456"/>
      <c r="N45" s="456"/>
      <c r="O45" s="456"/>
      <c r="P45" s="456"/>
      <c r="Q45" s="276"/>
    </row>
    <row r="46" spans="1:17">
      <c r="A46" s="460" t="s">
        <v>159</v>
      </c>
      <c r="B46" s="455" t="s">
        <v>150</v>
      </c>
      <c r="C46" s="461">
        <f t="shared" si="0"/>
        <v>1.2822360492912601E-3</v>
      </c>
      <c r="D46" s="461"/>
      <c r="E46" s="456">
        <v>3010320</v>
      </c>
      <c r="F46" s="464"/>
      <c r="G46" s="456">
        <f t="shared" si="1"/>
        <v>3010320</v>
      </c>
      <c r="H46" s="456"/>
      <c r="I46" s="456"/>
      <c r="J46" s="456"/>
      <c r="K46" s="456"/>
      <c r="L46" s="456"/>
      <c r="M46" s="456"/>
      <c r="N46" s="456"/>
      <c r="O46" s="456"/>
      <c r="P46" s="456"/>
      <c r="Q46" s="276"/>
    </row>
    <row r="47" spans="1:17">
      <c r="A47" s="460" t="s">
        <v>160</v>
      </c>
      <c r="B47" s="455" t="s">
        <v>12</v>
      </c>
      <c r="C47" s="461">
        <f t="shared" si="0"/>
        <v>2.4213416349084613E-2</v>
      </c>
      <c r="D47" s="461"/>
      <c r="E47" s="456">
        <v>56846110</v>
      </c>
      <c r="F47" s="464"/>
      <c r="G47" s="456">
        <f t="shared" si="1"/>
        <v>56846110</v>
      </c>
      <c r="H47" s="456"/>
      <c r="I47" s="456"/>
      <c r="J47" s="456"/>
      <c r="K47" s="456"/>
      <c r="L47" s="456"/>
      <c r="M47" s="456"/>
      <c r="N47" s="456"/>
      <c r="O47" s="456"/>
      <c r="P47" s="456"/>
      <c r="Q47" s="276"/>
    </row>
    <row r="48" spans="1:17">
      <c r="A48" s="460" t="s">
        <v>1162</v>
      </c>
      <c r="B48" s="455" t="s">
        <v>660</v>
      </c>
      <c r="C48" s="461">
        <f t="shared" si="0"/>
        <v>1.7752717236146874E-2</v>
      </c>
      <c r="D48" s="461"/>
      <c r="E48" s="456">
        <v>41678254</v>
      </c>
      <c r="F48" s="464">
        <v>52141</v>
      </c>
      <c r="G48" s="456">
        <f t="shared" si="1"/>
        <v>41730395</v>
      </c>
      <c r="H48" s="456"/>
      <c r="I48" s="456"/>
      <c r="J48" s="456"/>
      <c r="K48" s="456"/>
      <c r="L48" s="456"/>
      <c r="M48" s="456"/>
      <c r="N48" s="456"/>
      <c r="O48" s="456"/>
      <c r="P48" s="456"/>
      <c r="Q48" s="276"/>
    </row>
    <row r="49" spans="1:17">
      <c r="A49" s="460" t="s">
        <v>1169</v>
      </c>
      <c r="B49" s="455" t="s">
        <v>153</v>
      </c>
      <c r="C49" s="461">
        <f t="shared" si="0"/>
        <v>7.8724331998627809E-5</v>
      </c>
      <c r="D49" s="461"/>
      <c r="E49" s="456">
        <v>184822</v>
      </c>
      <c r="F49" s="464"/>
      <c r="G49" s="456">
        <f t="shared" si="1"/>
        <v>184822</v>
      </c>
      <c r="H49" s="456"/>
      <c r="I49" s="456"/>
      <c r="J49" s="456"/>
      <c r="K49" s="456"/>
      <c r="L49" s="456"/>
      <c r="M49" s="456"/>
      <c r="N49" s="456"/>
      <c r="O49" s="456"/>
      <c r="P49" s="456"/>
      <c r="Q49" s="276"/>
    </row>
    <row r="50" spans="1:17" ht="16.5" thickBot="1">
      <c r="A50" s="455"/>
      <c r="B50" s="455" t="s">
        <v>1148</v>
      </c>
      <c r="C50" s="465">
        <f>SUM(C8:C49)</f>
        <v>1.0000000000000002</v>
      </c>
      <c r="D50" s="461"/>
      <c r="E50" s="466">
        <f>SUM(E8:E49)</f>
        <v>2347711251.5</v>
      </c>
      <c r="F50" s="466">
        <f>SUM(F8:F49)</f>
        <v>2635012</v>
      </c>
      <c r="G50" s="466">
        <f>SUM(G8:G49)</f>
        <v>2350346263.5</v>
      </c>
      <c r="H50" s="474"/>
      <c r="I50" s="474"/>
      <c r="J50" s="474"/>
      <c r="K50" s="474"/>
      <c r="L50" s="474"/>
      <c r="M50" s="474"/>
      <c r="N50" s="474"/>
      <c r="O50" s="474"/>
      <c r="P50" s="474"/>
      <c r="Q50" s="276"/>
    </row>
    <row r="51" spans="1:17" ht="16.5" thickTop="1">
      <c r="A51" s="455"/>
      <c r="B51" s="455"/>
      <c r="C51" s="455"/>
      <c r="D51" s="455"/>
      <c r="E51" s="467"/>
      <c r="F51" s="455"/>
      <c r="G51" s="456"/>
      <c r="H51" s="456"/>
      <c r="I51" s="456"/>
      <c r="J51" s="456"/>
      <c r="K51" s="456"/>
      <c r="L51" s="456"/>
      <c r="M51" s="456"/>
      <c r="N51" s="456"/>
      <c r="O51" s="456"/>
      <c r="P51" s="456"/>
    </row>
    <row r="52" spans="1:17">
      <c r="A52" s="455"/>
      <c r="B52" s="455"/>
      <c r="C52" s="468"/>
      <c r="D52" s="456"/>
      <c r="E52" s="468"/>
      <c r="F52" s="469"/>
      <c r="G52" s="456"/>
      <c r="H52" s="456"/>
      <c r="I52" s="456"/>
      <c r="J52" s="456"/>
      <c r="K52" s="456"/>
      <c r="L52" s="456"/>
      <c r="M52" s="456"/>
      <c r="N52" s="456"/>
      <c r="O52" s="456"/>
      <c r="P52" s="456"/>
    </row>
    <row r="53" spans="1:17">
      <c r="A53" s="455"/>
      <c r="B53" s="455"/>
      <c r="C53" s="470"/>
      <c r="D53" s="456"/>
      <c r="E53" s="471"/>
      <c r="F53" s="462"/>
      <c r="G53" s="456"/>
      <c r="H53" s="456"/>
      <c r="I53" s="456"/>
      <c r="J53" s="456"/>
      <c r="K53" s="456"/>
      <c r="L53" s="456"/>
      <c r="M53" s="456"/>
      <c r="N53" s="456"/>
      <c r="O53" s="456"/>
      <c r="P53" s="456"/>
    </row>
    <row r="54" spans="1:17">
      <c r="A54" s="455"/>
      <c r="B54" s="455"/>
      <c r="C54" s="470"/>
      <c r="D54" s="456"/>
      <c r="E54" s="628"/>
      <c r="F54" s="463"/>
      <c r="G54" s="456"/>
      <c r="H54" s="456"/>
      <c r="I54" s="456"/>
      <c r="J54" s="456"/>
      <c r="K54" s="456"/>
      <c r="L54" s="456"/>
      <c r="M54" s="456"/>
      <c r="N54" s="456"/>
      <c r="O54" s="456"/>
      <c r="P54" s="456"/>
    </row>
    <row r="55" spans="1:17">
      <c r="A55" s="455"/>
      <c r="B55" s="455"/>
      <c r="C55" s="470"/>
      <c r="D55" s="456"/>
      <c r="E55" s="471"/>
      <c r="F55" s="463"/>
      <c r="G55" s="456"/>
      <c r="H55" s="456"/>
      <c r="I55" s="456"/>
      <c r="J55" s="456"/>
      <c r="K55" s="456"/>
      <c r="L55" s="456"/>
      <c r="M55" s="456"/>
      <c r="N55" s="456"/>
      <c r="O55" s="456"/>
      <c r="P55" s="456"/>
    </row>
    <row r="56" spans="1:17">
      <c r="A56" s="455"/>
      <c r="B56" s="455"/>
      <c r="C56" s="470"/>
      <c r="D56" s="456"/>
      <c r="E56" s="471"/>
      <c r="F56" s="463"/>
      <c r="G56" s="456"/>
      <c r="H56" s="456"/>
      <c r="I56" s="456"/>
      <c r="J56" s="456"/>
      <c r="K56" s="456"/>
      <c r="L56" s="456"/>
      <c r="M56" s="456"/>
      <c r="N56" s="456"/>
      <c r="O56" s="456"/>
      <c r="P56" s="456"/>
    </row>
    <row r="57" spans="1:17">
      <c r="A57" s="455"/>
      <c r="B57" s="455"/>
      <c r="C57" s="470"/>
      <c r="D57" s="456"/>
      <c r="E57" s="471"/>
      <c r="F57" s="463"/>
      <c r="G57" s="456"/>
      <c r="H57" s="456"/>
      <c r="I57" s="456"/>
      <c r="J57" s="456"/>
      <c r="K57" s="456"/>
      <c r="L57" s="456"/>
      <c r="M57" s="456"/>
      <c r="N57" s="456"/>
      <c r="O57" s="456"/>
      <c r="P57" s="456"/>
    </row>
    <row r="58" spans="1:17">
      <c r="A58" s="455"/>
      <c r="B58" s="455"/>
      <c r="C58" s="470"/>
      <c r="D58" s="456"/>
      <c r="E58" s="471"/>
      <c r="F58" s="463"/>
      <c r="G58" s="456"/>
      <c r="H58" s="456"/>
      <c r="I58" s="456"/>
      <c r="J58" s="456"/>
      <c r="K58" s="456"/>
      <c r="L58" s="456"/>
      <c r="M58" s="456"/>
      <c r="N58" s="456"/>
      <c r="O58" s="456"/>
      <c r="P58" s="456"/>
    </row>
    <row r="59" spans="1:17">
      <c r="A59" s="455"/>
      <c r="B59" s="455"/>
      <c r="C59" s="470"/>
      <c r="D59" s="456"/>
      <c r="E59" s="471"/>
      <c r="F59" s="463"/>
      <c r="G59" s="456"/>
      <c r="H59" s="456"/>
      <c r="I59" s="456"/>
      <c r="J59" s="456"/>
      <c r="K59" s="456"/>
      <c r="L59" s="456"/>
      <c r="M59" s="456"/>
      <c r="N59" s="456"/>
      <c r="O59" s="456"/>
      <c r="P59" s="456"/>
    </row>
    <row r="60" spans="1:17">
      <c r="A60" s="455"/>
      <c r="B60" s="455"/>
      <c r="C60" s="470"/>
      <c r="D60" s="456"/>
      <c r="E60" s="471"/>
      <c r="F60" s="463"/>
      <c r="G60" s="456"/>
      <c r="H60" s="456"/>
      <c r="I60" s="456"/>
      <c r="J60" s="456"/>
      <c r="K60" s="456"/>
      <c r="L60" s="456"/>
      <c r="M60" s="456"/>
      <c r="N60" s="456"/>
      <c r="O60" s="456"/>
      <c r="P60" s="456"/>
    </row>
    <row r="61" spans="1:17">
      <c r="A61" s="455"/>
      <c r="B61" s="455"/>
      <c r="C61" s="470"/>
      <c r="D61" s="456"/>
      <c r="E61" s="471"/>
      <c r="F61" s="463"/>
      <c r="G61" s="456"/>
      <c r="H61" s="456"/>
      <c r="I61" s="456"/>
      <c r="J61" s="456"/>
      <c r="K61" s="456"/>
      <c r="L61" s="456"/>
      <c r="M61" s="456"/>
      <c r="N61" s="456"/>
      <c r="O61" s="456"/>
      <c r="P61" s="456"/>
    </row>
    <row r="62" spans="1:17">
      <c r="A62" s="455"/>
      <c r="B62" s="455"/>
      <c r="C62" s="470"/>
      <c r="D62" s="456"/>
      <c r="E62" s="471"/>
      <c r="F62" s="463"/>
      <c r="G62" s="456"/>
      <c r="H62" s="456"/>
      <c r="I62" s="456"/>
      <c r="J62" s="456"/>
      <c r="K62" s="456"/>
      <c r="L62" s="456"/>
      <c r="M62" s="456"/>
      <c r="N62" s="456"/>
      <c r="O62" s="456"/>
      <c r="P62" s="456"/>
    </row>
    <row r="63" spans="1:17">
      <c r="A63" s="455"/>
      <c r="B63" s="455"/>
      <c r="C63" s="470"/>
      <c r="D63" s="456"/>
      <c r="E63" s="471"/>
      <c r="F63" s="463"/>
      <c r="G63" s="456"/>
      <c r="H63" s="456"/>
      <c r="I63" s="456"/>
      <c r="J63" s="456"/>
      <c r="K63" s="456"/>
      <c r="L63" s="456"/>
      <c r="M63" s="456"/>
      <c r="N63" s="456"/>
      <c r="O63" s="456"/>
      <c r="P63" s="456"/>
    </row>
    <row r="64" spans="1:17">
      <c r="A64" s="455"/>
      <c r="B64" s="455"/>
      <c r="C64" s="470"/>
      <c r="D64" s="456"/>
      <c r="E64" s="471"/>
      <c r="F64" s="463"/>
      <c r="G64" s="456"/>
      <c r="H64" s="456"/>
      <c r="I64" s="456"/>
      <c r="J64" s="456"/>
      <c r="K64" s="456"/>
      <c r="L64" s="456"/>
      <c r="M64" s="456"/>
      <c r="N64" s="456"/>
      <c r="O64" s="456"/>
      <c r="P64" s="456"/>
    </row>
    <row r="65" spans="1:16">
      <c r="A65" s="455"/>
      <c r="B65" s="455"/>
      <c r="C65" s="470"/>
      <c r="D65" s="456"/>
      <c r="E65" s="471"/>
      <c r="F65" s="463"/>
      <c r="G65" s="456"/>
      <c r="H65" s="456"/>
      <c r="I65" s="456"/>
      <c r="J65" s="456"/>
      <c r="K65" s="456"/>
      <c r="L65" s="456"/>
      <c r="M65" s="456"/>
      <c r="N65" s="456"/>
      <c r="O65" s="456"/>
      <c r="P65" s="456"/>
    </row>
    <row r="66" spans="1:16">
      <c r="A66" s="455"/>
      <c r="B66" s="455"/>
      <c r="C66" s="470"/>
      <c r="D66" s="456"/>
      <c r="E66" s="471"/>
      <c r="F66" s="463"/>
      <c r="G66" s="456"/>
      <c r="H66" s="456"/>
      <c r="I66" s="456"/>
      <c r="J66" s="456"/>
      <c r="K66" s="456"/>
      <c r="L66" s="456"/>
      <c r="M66" s="456"/>
      <c r="N66" s="456"/>
      <c r="O66" s="456"/>
      <c r="P66" s="456"/>
    </row>
    <row r="67" spans="1:16">
      <c r="A67" s="455"/>
      <c r="B67" s="455"/>
      <c r="C67" s="455"/>
      <c r="D67" s="456"/>
      <c r="E67" s="472"/>
      <c r="F67" s="473"/>
      <c r="G67" s="456"/>
      <c r="H67" s="456"/>
      <c r="I67" s="456"/>
      <c r="J67" s="456"/>
      <c r="K67" s="456"/>
      <c r="L67" s="456"/>
      <c r="M67" s="456"/>
      <c r="N67" s="456"/>
      <c r="O67" s="456"/>
      <c r="P67" s="456"/>
    </row>
    <row r="68" spans="1:16">
      <c r="A68" s="455"/>
      <c r="B68" s="455"/>
      <c r="C68" s="455"/>
      <c r="D68" s="455"/>
      <c r="E68" s="455"/>
      <c r="F68" s="456"/>
      <c r="G68" s="456"/>
      <c r="H68" s="456"/>
      <c r="I68" s="456"/>
      <c r="J68" s="456"/>
      <c r="K68" s="456"/>
      <c r="L68" s="456"/>
      <c r="M68" s="456"/>
      <c r="N68" s="456"/>
      <c r="O68" s="456"/>
      <c r="P68" s="456"/>
    </row>
    <row r="69" spans="1:16"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</row>
    <row r="70" spans="1:16"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</row>
    <row r="71" spans="1:16"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</row>
    <row r="72" spans="1:16"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</row>
    <row r="73" spans="1:16"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</row>
    <row r="74" spans="1:16">
      <c r="E74" s="277"/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</row>
    <row r="75" spans="1:16">
      <c r="E75" s="277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</row>
    <row r="76" spans="1:16">
      <c r="E76" s="277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</row>
    <row r="77" spans="1:16"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</row>
    <row r="78" spans="1:16"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77"/>
    </row>
    <row r="79" spans="1:16"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</row>
    <row r="80" spans="1:16"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</row>
    <row r="81" spans="5:16"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</row>
    <row r="82" spans="5:16">
      <c r="E82" s="277"/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</row>
    <row r="83" spans="5:16"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</row>
    <row r="84" spans="5:16">
      <c r="E84" s="277"/>
      <c r="F84" s="277"/>
      <c r="G84" s="277"/>
      <c r="H84" s="277"/>
      <c r="I84" s="277"/>
      <c r="J84" s="277"/>
      <c r="K84" s="277"/>
      <c r="L84" s="277"/>
      <c r="M84" s="277"/>
      <c r="N84" s="277"/>
      <c r="O84" s="277"/>
      <c r="P84" s="277"/>
    </row>
    <row r="85" spans="5:16"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</row>
    <row r="86" spans="5:16"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</row>
    <row r="87" spans="5:16"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</row>
    <row r="88" spans="5:16">
      <c r="E88" s="277"/>
      <c r="F88" s="277"/>
      <c r="G88" s="277"/>
      <c r="H88" s="277"/>
      <c r="I88" s="277"/>
      <c r="J88" s="277"/>
      <c r="K88" s="277"/>
      <c r="L88" s="277"/>
      <c r="M88" s="277"/>
      <c r="N88" s="277"/>
      <c r="O88" s="277"/>
      <c r="P88" s="277"/>
    </row>
    <row r="89" spans="5:16"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7"/>
    </row>
    <row r="90" spans="5:16">
      <c r="E90" s="277"/>
      <c r="F90" s="277"/>
      <c r="G90" s="277"/>
      <c r="H90" s="277"/>
      <c r="I90" s="277"/>
      <c r="J90" s="277"/>
      <c r="K90" s="277"/>
      <c r="L90" s="277"/>
      <c r="M90" s="277"/>
      <c r="N90" s="277"/>
      <c r="O90" s="277"/>
      <c r="P90" s="277"/>
    </row>
    <row r="91" spans="5:16">
      <c r="E91" s="277"/>
      <c r="F91" s="277"/>
      <c r="G91" s="277"/>
      <c r="H91" s="277"/>
      <c r="I91" s="277"/>
      <c r="J91" s="277"/>
      <c r="K91" s="277"/>
      <c r="L91" s="277"/>
      <c r="M91" s="277"/>
      <c r="N91" s="277"/>
      <c r="O91" s="277"/>
      <c r="P91" s="277"/>
    </row>
    <row r="92" spans="5:16"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</row>
    <row r="93" spans="5:16"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7"/>
    </row>
    <row r="94" spans="5:16"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</row>
    <row r="95" spans="5:16"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</row>
    <row r="96" spans="5:16">
      <c r="E96" s="277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77"/>
    </row>
    <row r="97" spans="5:16"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</row>
    <row r="98" spans="5:16"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7"/>
    </row>
    <row r="99" spans="5:16">
      <c r="E99" s="277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7"/>
    </row>
    <row r="100" spans="5:16"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7"/>
      <c r="P100" s="277"/>
    </row>
    <row r="101" spans="5:16"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</row>
    <row r="102" spans="5:16"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</row>
    <row r="103" spans="5:16">
      <c r="E103" s="277"/>
      <c r="F103" s="277"/>
      <c r="G103" s="277"/>
      <c r="H103" s="277"/>
      <c r="I103" s="277"/>
      <c r="J103" s="277"/>
      <c r="K103" s="277"/>
      <c r="L103" s="277"/>
      <c r="M103" s="277"/>
      <c r="N103" s="277"/>
      <c r="O103" s="277"/>
      <c r="P103" s="277"/>
    </row>
    <row r="104" spans="5:16"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</row>
    <row r="105" spans="5:16">
      <c r="E105" s="277"/>
      <c r="F105" s="277"/>
      <c r="G105" s="277"/>
      <c r="H105" s="277"/>
      <c r="I105" s="277"/>
      <c r="J105" s="277"/>
      <c r="K105" s="277"/>
      <c r="L105" s="277"/>
      <c r="M105" s="277"/>
      <c r="N105" s="277"/>
      <c r="O105" s="277"/>
      <c r="P105" s="277"/>
    </row>
    <row r="106" spans="5:16">
      <c r="E106" s="277"/>
      <c r="F106" s="277"/>
      <c r="G106" s="277"/>
      <c r="H106" s="277"/>
      <c r="I106" s="277"/>
      <c r="J106" s="277"/>
      <c r="K106" s="277"/>
      <c r="L106" s="277"/>
      <c r="M106" s="277"/>
      <c r="N106" s="277"/>
      <c r="O106" s="277"/>
      <c r="P106" s="277"/>
    </row>
    <row r="107" spans="5:16">
      <c r="E107" s="277"/>
      <c r="F107" s="277"/>
      <c r="G107" s="277"/>
      <c r="H107" s="277"/>
      <c r="I107" s="277"/>
      <c r="J107" s="277"/>
      <c r="K107" s="277"/>
      <c r="L107" s="277"/>
      <c r="M107" s="277"/>
      <c r="N107" s="277"/>
      <c r="O107" s="277"/>
      <c r="P107" s="277"/>
    </row>
    <row r="108" spans="5:16"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</row>
    <row r="109" spans="5:16">
      <c r="E109" s="277"/>
      <c r="F109" s="277"/>
      <c r="G109" s="277"/>
      <c r="H109" s="277"/>
      <c r="I109" s="277"/>
      <c r="J109" s="277"/>
      <c r="K109" s="277"/>
      <c r="L109" s="277"/>
      <c r="M109" s="277"/>
      <c r="N109" s="277"/>
      <c r="O109" s="277"/>
      <c r="P109" s="277"/>
    </row>
    <row r="110" spans="5:16"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</row>
    <row r="111" spans="5:16">
      <c r="E111" s="277"/>
      <c r="F111" s="277"/>
      <c r="G111" s="277"/>
      <c r="H111" s="277"/>
      <c r="I111" s="277"/>
      <c r="J111" s="277"/>
      <c r="K111" s="277"/>
      <c r="L111" s="277"/>
      <c r="M111" s="277"/>
      <c r="N111" s="277"/>
      <c r="O111" s="277"/>
      <c r="P111" s="277"/>
    </row>
    <row r="112" spans="5:16"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7"/>
      <c r="P112" s="277"/>
    </row>
    <row r="113" spans="5:16">
      <c r="E113" s="277"/>
      <c r="F113" s="277"/>
      <c r="G113" s="277"/>
      <c r="H113" s="277"/>
      <c r="I113" s="277"/>
      <c r="J113" s="277"/>
      <c r="K113" s="277"/>
      <c r="L113" s="277"/>
      <c r="M113" s="277"/>
      <c r="N113" s="277"/>
      <c r="O113" s="277"/>
      <c r="P113" s="277"/>
    </row>
    <row r="114" spans="5:16">
      <c r="E114" s="277"/>
      <c r="F114" s="277"/>
      <c r="G114" s="277"/>
      <c r="H114" s="277"/>
      <c r="I114" s="277"/>
      <c r="J114" s="277"/>
      <c r="K114" s="277"/>
      <c r="L114" s="277"/>
      <c r="M114" s="277"/>
      <c r="N114" s="277"/>
      <c r="O114" s="277"/>
      <c r="P114" s="277"/>
    </row>
    <row r="115" spans="5:16"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  <c r="O115" s="277"/>
      <c r="P115" s="277"/>
    </row>
    <row r="116" spans="5:16">
      <c r="E116" s="277"/>
      <c r="F116" s="277"/>
      <c r="G116" s="277"/>
      <c r="H116" s="277"/>
      <c r="I116" s="277"/>
      <c r="J116" s="277"/>
      <c r="K116" s="277"/>
      <c r="L116" s="277"/>
      <c r="M116" s="277"/>
      <c r="N116" s="277"/>
      <c r="O116" s="277"/>
      <c r="P116" s="277"/>
    </row>
    <row r="117" spans="5:16">
      <c r="E117" s="277"/>
      <c r="F117" s="277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</row>
    <row r="118" spans="5:16"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</row>
    <row r="119" spans="5:16">
      <c r="E119" s="277"/>
      <c r="F119" s="277"/>
      <c r="G119" s="277"/>
      <c r="H119" s="277"/>
      <c r="I119" s="277"/>
      <c r="J119" s="277"/>
      <c r="K119" s="277"/>
      <c r="L119" s="277"/>
      <c r="M119" s="277"/>
      <c r="N119" s="277"/>
      <c r="O119" s="277"/>
      <c r="P119" s="277"/>
    </row>
    <row r="120" spans="5:16">
      <c r="E120" s="277"/>
      <c r="F120" s="277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</row>
    <row r="121" spans="5:16">
      <c r="E121" s="277"/>
      <c r="F121" s="277"/>
      <c r="G121" s="277"/>
      <c r="H121" s="277"/>
      <c r="I121" s="277"/>
      <c r="J121" s="277"/>
      <c r="K121" s="277"/>
      <c r="L121" s="277"/>
      <c r="M121" s="277"/>
      <c r="N121" s="277"/>
      <c r="O121" s="277"/>
      <c r="P121" s="277"/>
    </row>
    <row r="122" spans="5:16">
      <c r="E122" s="277"/>
      <c r="F122" s="277"/>
      <c r="G122" s="277"/>
      <c r="H122" s="277"/>
      <c r="I122" s="277"/>
      <c r="J122" s="277"/>
      <c r="K122" s="277"/>
      <c r="L122" s="277"/>
      <c r="M122" s="277"/>
      <c r="N122" s="277"/>
      <c r="O122" s="277"/>
      <c r="P122" s="277"/>
    </row>
    <row r="123" spans="5:16">
      <c r="E123" s="277"/>
      <c r="F123" s="277"/>
      <c r="G123" s="277"/>
      <c r="H123" s="277"/>
      <c r="I123" s="277"/>
      <c r="J123" s="277"/>
      <c r="K123" s="277"/>
      <c r="L123" s="277"/>
      <c r="M123" s="277"/>
      <c r="N123" s="277"/>
      <c r="O123" s="277"/>
      <c r="P123" s="277"/>
    </row>
    <row r="124" spans="5:16">
      <c r="E124" s="277"/>
      <c r="F124" s="277"/>
      <c r="G124" s="277"/>
      <c r="H124" s="277"/>
      <c r="I124" s="277"/>
      <c r="J124" s="277"/>
      <c r="K124" s="277"/>
      <c r="L124" s="277"/>
      <c r="M124" s="277"/>
      <c r="N124" s="277"/>
      <c r="O124" s="277"/>
      <c r="P124" s="277"/>
    </row>
    <row r="125" spans="5:16">
      <c r="E125" s="277"/>
      <c r="F125" s="277"/>
      <c r="G125" s="277"/>
      <c r="H125" s="277"/>
      <c r="I125" s="277"/>
      <c r="J125" s="277"/>
      <c r="K125" s="277"/>
      <c r="L125" s="277"/>
      <c r="M125" s="277"/>
      <c r="N125" s="277"/>
      <c r="O125" s="277"/>
      <c r="P125" s="277"/>
    </row>
    <row r="126" spans="5:16">
      <c r="E126" s="277"/>
      <c r="F126" s="277"/>
      <c r="G126" s="277"/>
      <c r="H126" s="277"/>
      <c r="I126" s="277"/>
      <c r="J126" s="277"/>
      <c r="K126" s="277"/>
      <c r="L126" s="277"/>
      <c r="M126" s="277"/>
      <c r="N126" s="277"/>
      <c r="O126" s="277"/>
      <c r="P126" s="277"/>
    </row>
    <row r="127" spans="5:16">
      <c r="E127" s="277"/>
      <c r="F127" s="277"/>
      <c r="G127" s="277"/>
      <c r="H127" s="277"/>
      <c r="I127" s="277"/>
      <c r="J127" s="277"/>
      <c r="K127" s="277"/>
      <c r="L127" s="277"/>
      <c r="M127" s="277"/>
      <c r="N127" s="277"/>
      <c r="O127" s="277"/>
      <c r="P127" s="277"/>
    </row>
    <row r="128" spans="5:16">
      <c r="E128" s="277"/>
      <c r="F128" s="277"/>
      <c r="G128" s="277"/>
      <c r="H128" s="277"/>
      <c r="I128" s="277"/>
      <c r="J128" s="277"/>
      <c r="K128" s="277"/>
      <c r="L128" s="277"/>
      <c r="M128" s="277"/>
      <c r="N128" s="277"/>
      <c r="O128" s="277"/>
      <c r="P128" s="277"/>
    </row>
    <row r="129" spans="5:16">
      <c r="E129" s="277"/>
      <c r="F129" s="277"/>
      <c r="G129" s="277"/>
      <c r="H129" s="277"/>
      <c r="I129" s="277"/>
      <c r="J129" s="277"/>
      <c r="K129" s="277"/>
      <c r="L129" s="277"/>
      <c r="M129" s="277"/>
      <c r="N129" s="277"/>
      <c r="O129" s="277"/>
      <c r="P129" s="277"/>
    </row>
    <row r="130" spans="5:16">
      <c r="E130" s="277"/>
      <c r="F130" s="277"/>
      <c r="G130" s="277"/>
      <c r="H130" s="277"/>
      <c r="I130" s="277"/>
      <c r="J130" s="277"/>
      <c r="K130" s="277"/>
      <c r="L130" s="277"/>
      <c r="M130" s="277"/>
      <c r="N130" s="277"/>
      <c r="O130" s="277"/>
      <c r="P130" s="277"/>
    </row>
    <row r="131" spans="5:16">
      <c r="E131" s="277"/>
      <c r="F131" s="277"/>
      <c r="G131" s="277"/>
      <c r="H131" s="277"/>
      <c r="I131" s="277"/>
      <c r="J131" s="277"/>
      <c r="K131" s="277"/>
      <c r="L131" s="277"/>
      <c r="M131" s="277"/>
      <c r="N131" s="277"/>
      <c r="O131" s="277"/>
      <c r="P131" s="277"/>
    </row>
    <row r="132" spans="5:16">
      <c r="E132" s="277"/>
      <c r="F132" s="277"/>
      <c r="G132" s="277"/>
      <c r="H132" s="277"/>
      <c r="I132" s="277"/>
      <c r="J132" s="277"/>
      <c r="K132" s="277"/>
      <c r="L132" s="277"/>
      <c r="M132" s="277"/>
      <c r="N132" s="277"/>
      <c r="O132" s="277"/>
      <c r="P132" s="277"/>
    </row>
    <row r="133" spans="5:16">
      <c r="E133" s="277"/>
      <c r="F133" s="277"/>
      <c r="G133" s="277"/>
      <c r="H133" s="277"/>
      <c r="I133" s="277"/>
      <c r="J133" s="277"/>
      <c r="K133" s="277"/>
      <c r="L133" s="277"/>
      <c r="M133" s="277"/>
      <c r="N133" s="277"/>
      <c r="O133" s="277"/>
      <c r="P133" s="277"/>
    </row>
    <row r="134" spans="5:16"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7"/>
    </row>
    <row r="135" spans="5:16"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</row>
    <row r="136" spans="5:16">
      <c r="E136" s="277"/>
      <c r="F136" s="277"/>
      <c r="G136" s="277"/>
      <c r="H136" s="277"/>
      <c r="I136" s="277"/>
      <c r="J136" s="277"/>
      <c r="K136" s="277"/>
      <c r="L136" s="277"/>
      <c r="M136" s="277"/>
      <c r="N136" s="277"/>
      <c r="O136" s="277"/>
      <c r="P136" s="277"/>
    </row>
    <row r="137" spans="5:16">
      <c r="E137" s="277"/>
      <c r="F137" s="277"/>
      <c r="G137" s="277"/>
      <c r="H137" s="277"/>
      <c r="I137" s="277"/>
      <c r="J137" s="277"/>
      <c r="K137" s="277"/>
      <c r="L137" s="277"/>
      <c r="M137" s="277"/>
      <c r="N137" s="277"/>
      <c r="O137" s="277"/>
      <c r="P137" s="277"/>
    </row>
    <row r="138" spans="5:16">
      <c r="E138" s="277"/>
      <c r="F138" s="277"/>
      <c r="G138" s="277"/>
      <c r="H138" s="277"/>
      <c r="I138" s="277"/>
      <c r="J138" s="277"/>
      <c r="K138" s="277"/>
      <c r="L138" s="277"/>
      <c r="M138" s="277"/>
      <c r="N138" s="277"/>
      <c r="O138" s="277"/>
      <c r="P138" s="277"/>
    </row>
    <row r="139" spans="5:16"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</row>
    <row r="140" spans="5:16">
      <c r="E140" s="277"/>
      <c r="F140" s="277"/>
      <c r="G140" s="277"/>
      <c r="H140" s="277"/>
      <c r="I140" s="277"/>
      <c r="J140" s="277"/>
      <c r="K140" s="277"/>
      <c r="L140" s="277"/>
      <c r="M140" s="277"/>
      <c r="N140" s="277"/>
      <c r="O140" s="277"/>
      <c r="P140" s="277"/>
    </row>
    <row r="141" spans="5:16">
      <c r="E141" s="277"/>
      <c r="F141" s="277"/>
      <c r="G141" s="277"/>
      <c r="H141" s="277"/>
      <c r="I141" s="277"/>
      <c r="J141" s="277"/>
      <c r="K141" s="277"/>
      <c r="L141" s="277"/>
      <c r="M141" s="277"/>
      <c r="N141" s="277"/>
      <c r="O141" s="277"/>
      <c r="P141" s="277"/>
    </row>
    <row r="142" spans="5:16">
      <c r="E142" s="277"/>
      <c r="F142" s="277"/>
      <c r="G142" s="277"/>
      <c r="H142" s="277"/>
      <c r="I142" s="277"/>
      <c r="J142" s="277"/>
      <c r="K142" s="277"/>
      <c r="L142" s="277"/>
      <c r="M142" s="277"/>
      <c r="N142" s="277"/>
      <c r="O142" s="277"/>
      <c r="P142" s="277"/>
    </row>
    <row r="143" spans="5:16">
      <c r="E143" s="277"/>
      <c r="F143" s="277"/>
      <c r="G143" s="277"/>
      <c r="H143" s="277"/>
      <c r="I143" s="277"/>
      <c r="J143" s="277"/>
      <c r="K143" s="277"/>
      <c r="L143" s="277"/>
      <c r="M143" s="277"/>
      <c r="N143" s="277"/>
      <c r="O143" s="277"/>
      <c r="P143" s="277"/>
    </row>
    <row r="144" spans="5:16">
      <c r="E144" s="277"/>
      <c r="F144" s="277"/>
      <c r="G144" s="277"/>
      <c r="H144" s="277"/>
      <c r="I144" s="277"/>
      <c r="J144" s="277"/>
      <c r="K144" s="277"/>
      <c r="L144" s="277"/>
      <c r="M144" s="277"/>
      <c r="N144" s="277"/>
      <c r="O144" s="277"/>
      <c r="P144" s="277"/>
    </row>
    <row r="145" spans="5:16"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</row>
    <row r="146" spans="5:16"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</row>
    <row r="147" spans="5:16"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</row>
    <row r="148" spans="5:16"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</row>
    <row r="149" spans="5:16"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</row>
    <row r="150" spans="5:16"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</row>
    <row r="151" spans="5:16"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</row>
    <row r="152" spans="5:16"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</row>
    <row r="153" spans="5:16"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</row>
    <row r="154" spans="5:16"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</row>
    <row r="155" spans="5:16">
      <c r="E155" s="277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277"/>
    </row>
    <row r="156" spans="5:16">
      <c r="E156" s="277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277"/>
    </row>
    <row r="157" spans="5:16"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</row>
    <row r="158" spans="5:16"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7"/>
    </row>
    <row r="159" spans="5:16"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7"/>
    </row>
    <row r="160" spans="5:16"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</row>
    <row r="161" spans="5:16"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</row>
    <row r="162" spans="5:16"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</row>
    <row r="163" spans="5:16"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</row>
    <row r="164" spans="5:16"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</row>
    <row r="165" spans="5:16"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</row>
    <row r="166" spans="5:16"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</row>
    <row r="167" spans="5:16"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277"/>
    </row>
    <row r="168" spans="5:16"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277"/>
    </row>
    <row r="169" spans="5:16">
      <c r="E169" s="277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7"/>
    </row>
    <row r="170" spans="5:16"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</row>
    <row r="171" spans="5:16">
      <c r="E171" s="277"/>
      <c r="F171" s="277"/>
      <c r="G171" s="277"/>
      <c r="H171" s="277"/>
      <c r="I171" s="277"/>
      <c r="J171" s="277"/>
      <c r="K171" s="277"/>
      <c r="L171" s="277"/>
      <c r="M171" s="277"/>
      <c r="N171" s="277"/>
      <c r="O171" s="277"/>
      <c r="P171" s="277"/>
    </row>
    <row r="172" spans="5:16">
      <c r="E172" s="277"/>
      <c r="F172" s="277"/>
      <c r="G172" s="277"/>
      <c r="H172" s="277"/>
      <c r="I172" s="277"/>
      <c r="J172" s="277"/>
      <c r="K172" s="277"/>
      <c r="L172" s="277"/>
      <c r="M172" s="277"/>
      <c r="N172" s="277"/>
      <c r="O172" s="277"/>
      <c r="P172" s="277"/>
    </row>
    <row r="173" spans="5:16"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  <c r="O173" s="277"/>
      <c r="P173" s="277"/>
    </row>
    <row r="174" spans="5:16">
      <c r="E174" s="277"/>
      <c r="F174" s="277"/>
      <c r="G174" s="277"/>
      <c r="H174" s="277"/>
      <c r="I174" s="277"/>
      <c r="J174" s="277"/>
      <c r="K174" s="277"/>
      <c r="L174" s="277"/>
      <c r="M174" s="277"/>
      <c r="N174" s="277"/>
      <c r="O174" s="277"/>
      <c r="P174" s="277"/>
    </row>
    <row r="175" spans="5:16">
      <c r="E175" s="277"/>
      <c r="F175" s="277"/>
      <c r="G175" s="277"/>
      <c r="H175" s="277"/>
      <c r="I175" s="277"/>
      <c r="J175" s="277"/>
      <c r="K175" s="277"/>
      <c r="L175" s="277"/>
      <c r="M175" s="277"/>
      <c r="N175" s="277"/>
      <c r="O175" s="277"/>
      <c r="P175" s="277"/>
    </row>
    <row r="176" spans="5:16">
      <c r="E176" s="277"/>
      <c r="F176" s="277"/>
      <c r="G176" s="277"/>
      <c r="H176" s="277"/>
      <c r="I176" s="277"/>
      <c r="J176" s="277"/>
      <c r="K176" s="277"/>
      <c r="L176" s="277"/>
      <c r="M176" s="277"/>
      <c r="N176" s="277"/>
      <c r="O176" s="277"/>
      <c r="P176" s="277"/>
    </row>
    <row r="177" spans="5:16">
      <c r="E177" s="277"/>
      <c r="F177" s="277"/>
      <c r="G177" s="277"/>
      <c r="H177" s="277"/>
      <c r="I177" s="277"/>
      <c r="J177" s="277"/>
      <c r="K177" s="277"/>
      <c r="L177" s="277"/>
      <c r="M177" s="277"/>
      <c r="N177" s="277"/>
      <c r="O177" s="277"/>
      <c r="P177" s="277"/>
    </row>
    <row r="178" spans="5:16">
      <c r="E178" s="277"/>
      <c r="F178" s="277"/>
      <c r="G178" s="277"/>
      <c r="H178" s="277"/>
      <c r="I178" s="277"/>
      <c r="J178" s="277"/>
      <c r="K178" s="277"/>
      <c r="L178" s="277"/>
      <c r="M178" s="277"/>
      <c r="N178" s="277"/>
      <c r="O178" s="277"/>
      <c r="P178" s="277"/>
    </row>
    <row r="179" spans="5:16"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  <c r="O179" s="277"/>
      <c r="P179" s="277"/>
    </row>
    <row r="180" spans="5:16">
      <c r="E180" s="277"/>
      <c r="F180" s="277"/>
      <c r="G180" s="277"/>
      <c r="H180" s="277"/>
      <c r="I180" s="277"/>
      <c r="J180" s="277"/>
      <c r="K180" s="277"/>
      <c r="L180" s="277"/>
      <c r="M180" s="277"/>
      <c r="N180" s="277"/>
      <c r="O180" s="277"/>
      <c r="P180" s="277"/>
    </row>
    <row r="181" spans="5:16">
      <c r="E181" s="277"/>
      <c r="F181" s="277"/>
      <c r="G181" s="277"/>
      <c r="H181" s="277"/>
      <c r="I181" s="277"/>
      <c r="J181" s="277"/>
      <c r="K181" s="277"/>
      <c r="L181" s="277"/>
      <c r="M181" s="277"/>
      <c r="N181" s="277"/>
      <c r="O181" s="277"/>
      <c r="P181" s="277"/>
    </row>
    <row r="182" spans="5:16">
      <c r="E182" s="277"/>
      <c r="F182" s="277"/>
      <c r="G182" s="277"/>
      <c r="H182" s="277"/>
      <c r="I182" s="277"/>
      <c r="J182" s="277"/>
      <c r="K182" s="277"/>
      <c r="L182" s="277"/>
      <c r="M182" s="277"/>
      <c r="N182" s="277"/>
      <c r="O182" s="277"/>
      <c r="P182" s="277"/>
    </row>
    <row r="183" spans="5:16">
      <c r="E183" s="277"/>
      <c r="F183" s="277"/>
      <c r="G183" s="277"/>
      <c r="H183" s="277"/>
      <c r="I183" s="277"/>
      <c r="J183" s="277"/>
      <c r="K183" s="277"/>
      <c r="L183" s="277"/>
      <c r="M183" s="277"/>
      <c r="N183" s="277"/>
      <c r="O183" s="277"/>
      <c r="P183" s="277"/>
    </row>
    <row r="184" spans="5:16">
      <c r="E184" s="277"/>
      <c r="F184" s="277"/>
      <c r="G184" s="277"/>
      <c r="H184" s="277"/>
      <c r="I184" s="277"/>
      <c r="J184" s="277"/>
      <c r="K184" s="277"/>
      <c r="L184" s="277"/>
      <c r="M184" s="277"/>
      <c r="N184" s="277"/>
      <c r="O184" s="277"/>
      <c r="P184" s="277"/>
    </row>
    <row r="185" spans="5:16">
      <c r="E185" s="277"/>
      <c r="F185" s="277"/>
      <c r="G185" s="277"/>
      <c r="H185" s="277"/>
      <c r="I185" s="277"/>
      <c r="J185" s="277"/>
      <c r="K185" s="277"/>
      <c r="L185" s="277"/>
      <c r="M185" s="277"/>
      <c r="N185" s="277"/>
      <c r="O185" s="277"/>
      <c r="P185" s="277"/>
    </row>
    <row r="186" spans="5:16">
      <c r="E186" s="277"/>
      <c r="F186" s="277"/>
      <c r="G186" s="277"/>
      <c r="H186" s="277"/>
      <c r="I186" s="277"/>
      <c r="J186" s="277"/>
      <c r="K186" s="277"/>
      <c r="L186" s="277"/>
      <c r="M186" s="277"/>
      <c r="N186" s="277"/>
      <c r="O186" s="277"/>
      <c r="P186" s="277"/>
    </row>
    <row r="187" spans="5:16">
      <c r="E187" s="277"/>
      <c r="F187" s="277"/>
      <c r="G187" s="277"/>
      <c r="H187" s="277"/>
      <c r="I187" s="277"/>
      <c r="J187" s="277"/>
      <c r="K187" s="277"/>
      <c r="L187" s="277"/>
      <c r="M187" s="277"/>
      <c r="N187" s="277"/>
      <c r="O187" s="277"/>
      <c r="P187" s="277"/>
    </row>
    <row r="188" spans="5:16">
      <c r="E188" s="277"/>
      <c r="F188" s="277"/>
      <c r="G188" s="277"/>
      <c r="H188" s="277"/>
      <c r="I188" s="277"/>
      <c r="J188" s="277"/>
      <c r="K188" s="277"/>
      <c r="L188" s="277"/>
      <c r="M188" s="277"/>
      <c r="N188" s="277"/>
      <c r="O188" s="277"/>
      <c r="P188" s="277"/>
    </row>
    <row r="189" spans="5:16">
      <c r="E189" s="277"/>
      <c r="F189" s="277"/>
      <c r="G189" s="277"/>
      <c r="H189" s="277"/>
      <c r="I189" s="277"/>
      <c r="J189" s="277"/>
      <c r="K189" s="277"/>
      <c r="L189" s="277"/>
      <c r="M189" s="277"/>
      <c r="N189" s="277"/>
      <c r="O189" s="277"/>
      <c r="P189" s="277"/>
    </row>
    <row r="190" spans="5:16">
      <c r="E190" s="277"/>
      <c r="F190" s="277"/>
      <c r="G190" s="277"/>
      <c r="H190" s="277"/>
      <c r="I190" s="277"/>
      <c r="J190" s="277"/>
      <c r="K190" s="277"/>
      <c r="L190" s="277"/>
      <c r="M190" s="277"/>
      <c r="N190" s="277"/>
      <c r="O190" s="277"/>
      <c r="P190" s="277"/>
    </row>
    <row r="191" spans="5:16">
      <c r="E191" s="277"/>
      <c r="F191" s="277"/>
      <c r="G191" s="277"/>
      <c r="H191" s="277"/>
      <c r="I191" s="277"/>
      <c r="J191" s="277"/>
      <c r="K191" s="277"/>
      <c r="L191" s="277"/>
      <c r="M191" s="277"/>
      <c r="N191" s="277"/>
      <c r="O191" s="277"/>
      <c r="P191" s="277"/>
    </row>
    <row r="192" spans="5:16">
      <c r="E192" s="277"/>
      <c r="F192" s="277"/>
      <c r="G192" s="277"/>
      <c r="H192" s="277"/>
      <c r="I192" s="277"/>
      <c r="J192" s="277"/>
      <c r="K192" s="277"/>
      <c r="L192" s="277"/>
      <c r="M192" s="277"/>
      <c r="N192" s="277"/>
      <c r="O192" s="277"/>
      <c r="P192" s="277"/>
    </row>
    <row r="193" spans="5:16">
      <c r="E193" s="277"/>
      <c r="F193" s="277"/>
      <c r="G193" s="277"/>
      <c r="H193" s="277"/>
      <c r="I193" s="277"/>
      <c r="J193" s="277"/>
      <c r="K193" s="277"/>
      <c r="L193" s="277"/>
      <c r="M193" s="277"/>
      <c r="N193" s="277"/>
      <c r="O193" s="277"/>
      <c r="P193" s="277"/>
    </row>
    <row r="194" spans="5:16">
      <c r="E194" s="277"/>
      <c r="F194" s="277"/>
      <c r="G194" s="277"/>
      <c r="H194" s="277"/>
      <c r="I194" s="277"/>
      <c r="J194" s="277"/>
      <c r="K194" s="277"/>
      <c r="L194" s="277"/>
      <c r="M194" s="277"/>
      <c r="N194" s="277"/>
      <c r="O194" s="277"/>
      <c r="P194" s="277"/>
    </row>
    <row r="195" spans="5:16">
      <c r="E195" s="277"/>
      <c r="F195" s="277"/>
      <c r="G195" s="277"/>
      <c r="H195" s="277"/>
      <c r="I195" s="277"/>
      <c r="J195" s="277"/>
      <c r="K195" s="277"/>
      <c r="L195" s="277"/>
      <c r="M195" s="277"/>
      <c r="N195" s="277"/>
      <c r="O195" s="277"/>
      <c r="P195" s="277"/>
    </row>
    <row r="196" spans="5:16">
      <c r="E196" s="277"/>
      <c r="F196" s="277"/>
      <c r="G196" s="277"/>
      <c r="H196" s="277"/>
      <c r="I196" s="277"/>
      <c r="J196" s="277"/>
      <c r="K196" s="277"/>
      <c r="L196" s="277"/>
      <c r="M196" s="277"/>
      <c r="N196" s="277"/>
      <c r="O196" s="277"/>
      <c r="P196" s="277"/>
    </row>
    <row r="197" spans="5:16">
      <c r="E197" s="277"/>
      <c r="F197" s="277"/>
      <c r="G197" s="277"/>
      <c r="H197" s="277"/>
      <c r="I197" s="277"/>
      <c r="J197" s="277"/>
      <c r="K197" s="277"/>
      <c r="L197" s="277"/>
      <c r="M197" s="277"/>
      <c r="N197" s="277"/>
      <c r="O197" s="277"/>
      <c r="P197" s="277"/>
    </row>
    <row r="198" spans="5:16">
      <c r="E198" s="277"/>
      <c r="F198" s="277"/>
      <c r="G198" s="277"/>
      <c r="H198" s="277"/>
      <c r="I198" s="277"/>
      <c r="J198" s="277"/>
      <c r="K198" s="277"/>
      <c r="L198" s="277"/>
      <c r="M198" s="277"/>
      <c r="N198" s="277"/>
      <c r="O198" s="277"/>
      <c r="P198" s="277"/>
    </row>
    <row r="199" spans="5:16">
      <c r="E199" s="277"/>
      <c r="F199" s="277"/>
      <c r="G199" s="277"/>
      <c r="H199" s="277"/>
      <c r="I199" s="277"/>
      <c r="J199" s="277"/>
      <c r="K199" s="277"/>
      <c r="L199" s="277"/>
      <c r="M199" s="277"/>
      <c r="N199" s="277"/>
      <c r="O199" s="277"/>
      <c r="P199" s="277"/>
    </row>
    <row r="200" spans="5:16">
      <c r="E200" s="277"/>
      <c r="F200" s="277"/>
      <c r="G200" s="277"/>
      <c r="H200" s="277"/>
      <c r="I200" s="277"/>
      <c r="J200" s="277"/>
      <c r="K200" s="277"/>
      <c r="L200" s="277"/>
      <c r="M200" s="277"/>
      <c r="N200" s="277"/>
      <c r="O200" s="277"/>
      <c r="P200" s="277"/>
    </row>
    <row r="201" spans="5:16">
      <c r="E201" s="277"/>
      <c r="F201" s="277"/>
      <c r="G201" s="277"/>
      <c r="H201" s="277"/>
      <c r="I201" s="277"/>
      <c r="J201" s="277"/>
      <c r="K201" s="277"/>
      <c r="L201" s="277"/>
      <c r="M201" s="277"/>
      <c r="N201" s="277"/>
      <c r="O201" s="277"/>
      <c r="P201" s="277"/>
    </row>
    <row r="202" spans="5:16">
      <c r="E202" s="277"/>
      <c r="F202" s="277"/>
      <c r="G202" s="277"/>
      <c r="H202" s="277"/>
      <c r="I202" s="277"/>
      <c r="J202" s="277"/>
      <c r="K202" s="277"/>
      <c r="L202" s="277"/>
      <c r="M202" s="277"/>
      <c r="N202" s="277"/>
      <c r="O202" s="277"/>
      <c r="P202" s="277"/>
    </row>
    <row r="203" spans="5:16">
      <c r="E203" s="277"/>
      <c r="F203" s="277"/>
      <c r="G203" s="277"/>
      <c r="H203" s="277"/>
      <c r="I203" s="277"/>
      <c r="J203" s="277"/>
      <c r="K203" s="277"/>
      <c r="L203" s="277"/>
      <c r="M203" s="277"/>
      <c r="N203" s="277"/>
      <c r="O203" s="277"/>
      <c r="P203" s="277"/>
    </row>
    <row r="204" spans="5:16">
      <c r="E204" s="277"/>
      <c r="F204" s="277"/>
      <c r="G204" s="277"/>
      <c r="H204" s="277"/>
      <c r="I204" s="277"/>
      <c r="J204" s="277"/>
      <c r="K204" s="277"/>
      <c r="L204" s="277"/>
      <c r="M204" s="277"/>
      <c r="N204" s="277"/>
      <c r="O204" s="277"/>
      <c r="P204" s="277"/>
    </row>
    <row r="205" spans="5:16">
      <c r="E205" s="277"/>
      <c r="F205" s="277"/>
      <c r="G205" s="277"/>
      <c r="H205" s="277"/>
      <c r="I205" s="277"/>
      <c r="J205" s="277"/>
      <c r="K205" s="277"/>
      <c r="L205" s="277"/>
      <c r="M205" s="277"/>
      <c r="N205" s="277"/>
      <c r="O205" s="277"/>
      <c r="P205" s="277"/>
    </row>
    <row r="206" spans="5:16">
      <c r="E206" s="277"/>
      <c r="F206" s="277"/>
      <c r="G206" s="277"/>
      <c r="H206" s="277"/>
      <c r="I206" s="277"/>
      <c r="J206" s="277"/>
      <c r="K206" s="277"/>
      <c r="L206" s="277"/>
      <c r="M206" s="277"/>
      <c r="N206" s="277"/>
      <c r="O206" s="277"/>
      <c r="P206" s="277"/>
    </row>
    <row r="207" spans="5:16">
      <c r="E207" s="277"/>
      <c r="F207" s="277"/>
      <c r="G207" s="277"/>
      <c r="H207" s="277"/>
      <c r="I207" s="277"/>
      <c r="J207" s="277"/>
      <c r="K207" s="277"/>
      <c r="L207" s="277"/>
      <c r="M207" s="277"/>
      <c r="N207" s="277"/>
      <c r="O207" s="277"/>
      <c r="P207" s="277"/>
    </row>
    <row r="208" spans="5:16">
      <c r="E208" s="277"/>
      <c r="F208" s="277"/>
      <c r="G208" s="277"/>
      <c r="H208" s="277"/>
      <c r="I208" s="277"/>
      <c r="J208" s="277"/>
      <c r="K208" s="277"/>
      <c r="L208" s="277"/>
      <c r="M208" s="277"/>
      <c r="N208" s="277"/>
      <c r="O208" s="277"/>
      <c r="P208" s="277"/>
    </row>
    <row r="209" spans="5:16">
      <c r="E209" s="277"/>
      <c r="F209" s="277"/>
      <c r="G209" s="277"/>
      <c r="H209" s="277"/>
      <c r="I209" s="277"/>
      <c r="J209" s="277"/>
      <c r="K209" s="277"/>
      <c r="L209" s="277"/>
      <c r="M209" s="277"/>
      <c r="N209" s="277"/>
      <c r="O209" s="277"/>
      <c r="P209" s="277"/>
    </row>
    <row r="210" spans="5:16">
      <c r="E210" s="277"/>
      <c r="F210" s="277"/>
      <c r="G210" s="277"/>
      <c r="H210" s="277"/>
      <c r="I210" s="277"/>
      <c r="J210" s="277"/>
      <c r="K210" s="277"/>
      <c r="L210" s="277"/>
      <c r="M210" s="277"/>
      <c r="N210" s="277"/>
      <c r="O210" s="277"/>
      <c r="P210" s="277"/>
    </row>
    <row r="211" spans="5:16">
      <c r="E211" s="277"/>
      <c r="F211" s="277"/>
      <c r="G211" s="277"/>
      <c r="H211" s="277"/>
      <c r="I211" s="277"/>
      <c r="J211" s="277"/>
      <c r="K211" s="277"/>
      <c r="L211" s="277"/>
      <c r="M211" s="277"/>
      <c r="N211" s="277"/>
      <c r="O211" s="277"/>
      <c r="P211" s="277"/>
    </row>
    <row r="212" spans="5:16">
      <c r="E212" s="277"/>
      <c r="F212" s="277"/>
      <c r="G212" s="277"/>
      <c r="H212" s="277"/>
      <c r="I212" s="277"/>
      <c r="J212" s="277"/>
      <c r="K212" s="277"/>
      <c r="L212" s="277"/>
      <c r="M212" s="277"/>
      <c r="N212" s="277"/>
      <c r="O212" s="277"/>
      <c r="P212" s="277"/>
    </row>
    <row r="213" spans="5:16">
      <c r="E213" s="277"/>
      <c r="F213" s="277"/>
      <c r="G213" s="277"/>
      <c r="H213" s="277"/>
      <c r="I213" s="277"/>
      <c r="J213" s="277"/>
      <c r="K213" s="277"/>
      <c r="L213" s="277"/>
      <c r="M213" s="277"/>
      <c r="N213" s="277"/>
      <c r="O213" s="277"/>
      <c r="P213" s="277"/>
    </row>
    <row r="214" spans="5:16">
      <c r="E214" s="277"/>
      <c r="F214" s="277"/>
      <c r="G214" s="277"/>
      <c r="H214" s="277"/>
      <c r="I214" s="277"/>
      <c r="J214" s="277"/>
      <c r="K214" s="277"/>
      <c r="L214" s="277"/>
      <c r="M214" s="277"/>
      <c r="N214" s="277"/>
      <c r="O214" s="277"/>
      <c r="P214" s="277"/>
    </row>
    <row r="215" spans="5:16">
      <c r="E215" s="277"/>
      <c r="F215" s="277"/>
      <c r="G215" s="277"/>
      <c r="H215" s="277"/>
      <c r="I215" s="277"/>
      <c r="J215" s="277"/>
      <c r="K215" s="277"/>
      <c r="L215" s="277"/>
      <c r="M215" s="277"/>
      <c r="N215" s="277"/>
      <c r="O215" s="277"/>
      <c r="P215" s="277"/>
    </row>
    <row r="216" spans="5:16">
      <c r="E216" s="277"/>
      <c r="F216" s="277"/>
      <c r="G216" s="277"/>
      <c r="H216" s="277"/>
      <c r="I216" s="277"/>
      <c r="J216" s="277"/>
      <c r="K216" s="277"/>
      <c r="L216" s="277"/>
      <c r="M216" s="277"/>
      <c r="N216" s="277"/>
      <c r="O216" s="277"/>
      <c r="P216" s="277"/>
    </row>
    <row r="217" spans="5:16">
      <c r="E217" s="277"/>
      <c r="F217" s="277"/>
      <c r="G217" s="277"/>
      <c r="H217" s="277"/>
      <c r="I217" s="277"/>
      <c r="J217" s="277"/>
      <c r="K217" s="277"/>
      <c r="L217" s="277"/>
      <c r="M217" s="277"/>
      <c r="N217" s="277"/>
      <c r="O217" s="277"/>
      <c r="P217" s="277"/>
    </row>
    <row r="218" spans="5:16">
      <c r="E218" s="277"/>
      <c r="F218" s="277"/>
      <c r="G218" s="277"/>
      <c r="H218" s="277"/>
      <c r="I218" s="277"/>
      <c r="J218" s="277"/>
      <c r="K218" s="277"/>
      <c r="L218" s="277"/>
      <c r="M218" s="277"/>
      <c r="N218" s="277"/>
      <c r="O218" s="277"/>
      <c r="P218" s="277"/>
    </row>
    <row r="219" spans="5:16">
      <c r="E219" s="277"/>
      <c r="F219" s="277"/>
      <c r="G219" s="277"/>
      <c r="H219" s="277"/>
      <c r="I219" s="277"/>
      <c r="J219" s="277"/>
      <c r="K219" s="277"/>
      <c r="L219" s="277"/>
      <c r="M219" s="277"/>
      <c r="N219" s="277"/>
      <c r="O219" s="277"/>
      <c r="P219" s="277"/>
    </row>
    <row r="220" spans="5:16">
      <c r="E220" s="277"/>
      <c r="F220" s="277"/>
      <c r="G220" s="277"/>
      <c r="H220" s="277"/>
      <c r="I220" s="277"/>
      <c r="J220" s="277"/>
      <c r="K220" s="277"/>
      <c r="L220" s="277"/>
      <c r="M220" s="277"/>
      <c r="N220" s="277"/>
      <c r="O220" s="277"/>
      <c r="P220" s="277"/>
    </row>
    <row r="221" spans="5:16">
      <c r="E221" s="277"/>
      <c r="F221" s="277"/>
      <c r="G221" s="277"/>
      <c r="H221" s="277"/>
      <c r="I221" s="277"/>
      <c r="J221" s="277"/>
      <c r="K221" s="277"/>
      <c r="L221" s="277"/>
      <c r="M221" s="277"/>
      <c r="N221" s="277"/>
      <c r="O221" s="277"/>
      <c r="P221" s="277"/>
    </row>
    <row r="222" spans="5:16">
      <c r="E222" s="277"/>
      <c r="F222" s="277"/>
      <c r="G222" s="277"/>
      <c r="H222" s="277"/>
      <c r="I222" s="277"/>
      <c r="J222" s="277"/>
      <c r="K222" s="277"/>
      <c r="L222" s="277"/>
      <c r="M222" s="277"/>
      <c r="N222" s="277"/>
      <c r="O222" s="277"/>
      <c r="P222" s="277"/>
    </row>
    <row r="223" spans="5:16">
      <c r="E223" s="277"/>
      <c r="F223" s="277"/>
      <c r="G223" s="277"/>
      <c r="H223" s="277"/>
      <c r="I223" s="277"/>
      <c r="J223" s="277"/>
      <c r="K223" s="277"/>
      <c r="L223" s="277"/>
      <c r="M223" s="277"/>
      <c r="N223" s="277"/>
      <c r="O223" s="277"/>
      <c r="P223" s="277"/>
    </row>
    <row r="224" spans="5:16">
      <c r="E224" s="277"/>
      <c r="F224" s="277"/>
      <c r="G224" s="277"/>
      <c r="H224" s="277"/>
      <c r="I224" s="277"/>
      <c r="J224" s="277"/>
      <c r="K224" s="277"/>
      <c r="L224" s="277"/>
      <c r="M224" s="277"/>
      <c r="N224" s="277"/>
      <c r="O224" s="277"/>
      <c r="P224" s="277"/>
    </row>
    <row r="225" spans="5:16">
      <c r="E225" s="277"/>
      <c r="F225" s="277"/>
      <c r="G225" s="277"/>
      <c r="H225" s="277"/>
      <c r="I225" s="277"/>
      <c r="J225" s="277"/>
      <c r="K225" s="277"/>
      <c r="L225" s="277"/>
      <c r="M225" s="277"/>
      <c r="N225" s="277"/>
      <c r="O225" s="277"/>
      <c r="P225" s="277"/>
    </row>
    <row r="226" spans="5:16">
      <c r="E226" s="277"/>
      <c r="F226" s="277"/>
      <c r="G226" s="277"/>
      <c r="H226" s="277"/>
      <c r="I226" s="277"/>
      <c r="J226" s="277"/>
      <c r="K226" s="277"/>
      <c r="L226" s="277"/>
      <c r="M226" s="277"/>
      <c r="N226" s="277"/>
      <c r="O226" s="277"/>
      <c r="P226" s="277"/>
    </row>
    <row r="227" spans="5:16">
      <c r="E227" s="277"/>
      <c r="F227" s="277"/>
      <c r="G227" s="277"/>
      <c r="H227" s="277"/>
      <c r="I227" s="277"/>
      <c r="J227" s="277"/>
      <c r="K227" s="277"/>
      <c r="L227" s="277"/>
      <c r="M227" s="277"/>
      <c r="N227" s="277"/>
      <c r="O227" s="277"/>
      <c r="P227" s="277"/>
    </row>
    <row r="228" spans="5:16">
      <c r="E228" s="277"/>
      <c r="F228" s="277"/>
      <c r="G228" s="277"/>
      <c r="H228" s="277"/>
      <c r="I228" s="277"/>
      <c r="J228" s="277"/>
      <c r="K228" s="277"/>
      <c r="L228" s="277"/>
      <c r="M228" s="277"/>
      <c r="N228" s="277"/>
      <c r="O228" s="277"/>
      <c r="P228" s="277"/>
    </row>
    <row r="229" spans="5:16">
      <c r="E229" s="277"/>
      <c r="F229" s="277"/>
      <c r="G229" s="277"/>
      <c r="H229" s="277"/>
      <c r="I229" s="277"/>
      <c r="J229" s="277"/>
      <c r="K229" s="277"/>
      <c r="L229" s="277"/>
      <c r="M229" s="277"/>
      <c r="N229" s="277"/>
      <c r="O229" s="277"/>
      <c r="P229" s="277"/>
    </row>
    <row r="230" spans="5:16">
      <c r="E230" s="277"/>
      <c r="F230" s="277"/>
      <c r="G230" s="277"/>
      <c r="H230" s="277"/>
      <c r="I230" s="277"/>
      <c r="J230" s="277"/>
      <c r="K230" s="277"/>
      <c r="L230" s="277"/>
      <c r="M230" s="277"/>
      <c r="N230" s="277"/>
      <c r="O230" s="277"/>
      <c r="P230" s="277"/>
    </row>
    <row r="231" spans="5:16">
      <c r="E231" s="277"/>
      <c r="F231" s="277"/>
      <c r="G231" s="277"/>
      <c r="H231" s="277"/>
      <c r="I231" s="277"/>
      <c r="J231" s="277"/>
      <c r="K231" s="277"/>
      <c r="L231" s="277"/>
      <c r="M231" s="277"/>
      <c r="N231" s="277"/>
      <c r="O231" s="277"/>
      <c r="P231" s="277"/>
    </row>
    <row r="232" spans="5:16">
      <c r="E232" s="277"/>
      <c r="F232" s="277"/>
      <c r="G232" s="277"/>
      <c r="H232" s="277"/>
      <c r="I232" s="277"/>
      <c r="J232" s="277"/>
      <c r="K232" s="277"/>
      <c r="L232" s="277"/>
      <c r="M232" s="277"/>
      <c r="N232" s="277"/>
      <c r="O232" s="277"/>
      <c r="P232" s="277"/>
    </row>
    <row r="233" spans="5:16">
      <c r="E233" s="277"/>
      <c r="F233" s="277"/>
      <c r="G233" s="277"/>
      <c r="H233" s="277"/>
      <c r="I233" s="277"/>
      <c r="J233" s="277"/>
      <c r="K233" s="277"/>
      <c r="L233" s="277"/>
      <c r="M233" s="277"/>
      <c r="N233" s="277"/>
      <c r="O233" s="277"/>
      <c r="P233" s="277"/>
    </row>
    <row r="234" spans="5:16">
      <c r="E234" s="277"/>
      <c r="F234" s="277"/>
      <c r="G234" s="277"/>
      <c r="H234" s="277"/>
      <c r="I234" s="277"/>
      <c r="J234" s="277"/>
      <c r="K234" s="277"/>
      <c r="L234" s="277"/>
      <c r="M234" s="277"/>
      <c r="N234" s="277"/>
      <c r="O234" s="277"/>
      <c r="P234" s="277"/>
    </row>
    <row r="235" spans="5:16">
      <c r="E235" s="277"/>
      <c r="F235" s="277"/>
      <c r="G235" s="277"/>
      <c r="H235" s="277"/>
      <c r="I235" s="277"/>
      <c r="J235" s="277"/>
      <c r="K235" s="277"/>
      <c r="L235" s="277"/>
      <c r="M235" s="277"/>
      <c r="N235" s="277"/>
      <c r="O235" s="277"/>
      <c r="P235" s="277"/>
    </row>
    <row r="236" spans="5:16">
      <c r="E236" s="277"/>
      <c r="F236" s="277"/>
      <c r="G236" s="277"/>
      <c r="H236" s="277"/>
      <c r="I236" s="277"/>
      <c r="J236" s="277"/>
      <c r="K236" s="277"/>
      <c r="L236" s="277"/>
      <c r="M236" s="277"/>
      <c r="N236" s="277"/>
      <c r="O236" s="277"/>
      <c r="P236" s="277"/>
    </row>
    <row r="237" spans="5:16">
      <c r="E237" s="277"/>
      <c r="F237" s="277"/>
      <c r="G237" s="277"/>
      <c r="H237" s="277"/>
      <c r="I237" s="277"/>
      <c r="J237" s="277"/>
      <c r="K237" s="277"/>
      <c r="L237" s="277"/>
      <c r="M237" s="277"/>
      <c r="N237" s="277"/>
      <c r="O237" s="277"/>
      <c r="P237" s="277"/>
    </row>
    <row r="238" spans="5:16">
      <c r="E238" s="277"/>
      <c r="F238" s="277"/>
      <c r="G238" s="277"/>
      <c r="H238" s="277"/>
      <c r="I238" s="277"/>
      <c r="J238" s="277"/>
      <c r="K238" s="277"/>
      <c r="L238" s="277"/>
      <c r="M238" s="277"/>
      <c r="N238" s="277"/>
      <c r="O238" s="277"/>
      <c r="P238" s="277"/>
    </row>
    <row r="239" spans="5:16">
      <c r="E239" s="277"/>
      <c r="F239" s="277"/>
      <c r="G239" s="277"/>
      <c r="H239" s="277"/>
      <c r="I239" s="277"/>
      <c r="J239" s="277"/>
      <c r="K239" s="277"/>
      <c r="L239" s="277"/>
      <c r="M239" s="277"/>
      <c r="N239" s="277"/>
      <c r="O239" s="277"/>
      <c r="P239" s="277"/>
    </row>
    <row r="240" spans="5:16">
      <c r="E240" s="277"/>
      <c r="F240" s="277"/>
      <c r="G240" s="277"/>
      <c r="H240" s="277"/>
      <c r="I240" s="277"/>
      <c r="J240" s="277"/>
      <c r="K240" s="277"/>
      <c r="L240" s="277"/>
      <c r="M240" s="277"/>
      <c r="N240" s="277"/>
      <c r="O240" s="277"/>
      <c r="P240" s="277"/>
    </row>
    <row r="241" spans="5:16">
      <c r="E241" s="277"/>
      <c r="F241" s="277"/>
      <c r="G241" s="277"/>
      <c r="H241" s="277"/>
      <c r="I241" s="277"/>
      <c r="J241" s="277"/>
      <c r="K241" s="277"/>
      <c r="L241" s="277"/>
      <c r="M241" s="277"/>
      <c r="N241" s="277"/>
      <c r="O241" s="277"/>
      <c r="P241" s="277"/>
    </row>
    <row r="242" spans="5:16">
      <c r="E242" s="277"/>
      <c r="F242" s="277"/>
      <c r="G242" s="277"/>
      <c r="H242" s="277"/>
      <c r="I242" s="277"/>
      <c r="J242" s="277"/>
      <c r="K242" s="277"/>
      <c r="L242" s="277"/>
      <c r="M242" s="277"/>
      <c r="N242" s="277"/>
      <c r="O242" s="277"/>
      <c r="P242" s="277"/>
    </row>
    <row r="243" spans="5:16">
      <c r="E243" s="277"/>
      <c r="F243" s="277"/>
      <c r="G243" s="277"/>
      <c r="H243" s="277"/>
      <c r="I243" s="277"/>
      <c r="J243" s="277"/>
      <c r="K243" s="277"/>
      <c r="L243" s="277"/>
      <c r="M243" s="277"/>
      <c r="N243" s="277"/>
      <c r="O243" s="277"/>
      <c r="P243" s="277"/>
    </row>
    <row r="244" spans="5:16">
      <c r="E244" s="277"/>
      <c r="F244" s="277"/>
      <c r="G244" s="277"/>
      <c r="H244" s="277"/>
      <c r="I244" s="277"/>
      <c r="J244" s="277"/>
      <c r="K244" s="277"/>
      <c r="L244" s="277"/>
      <c r="M244" s="277"/>
      <c r="N244" s="277"/>
      <c r="O244" s="277"/>
      <c r="P244" s="277"/>
    </row>
    <row r="245" spans="5:16">
      <c r="E245" s="277"/>
      <c r="F245" s="277"/>
      <c r="G245" s="277"/>
      <c r="H245" s="277"/>
      <c r="I245" s="277"/>
      <c r="J245" s="277"/>
      <c r="K245" s="277"/>
      <c r="L245" s="277"/>
      <c r="M245" s="277"/>
      <c r="N245" s="277"/>
      <c r="O245" s="277"/>
      <c r="P245" s="277"/>
    </row>
    <row r="246" spans="5:16">
      <c r="E246" s="277"/>
      <c r="F246" s="277"/>
      <c r="G246" s="277"/>
      <c r="H246" s="277"/>
      <c r="I246" s="277"/>
      <c r="J246" s="277"/>
      <c r="K246" s="277"/>
      <c r="L246" s="277"/>
      <c r="M246" s="277"/>
      <c r="N246" s="277"/>
      <c r="O246" s="277"/>
      <c r="P246" s="277"/>
    </row>
    <row r="247" spans="5:16">
      <c r="E247" s="277"/>
      <c r="F247" s="277"/>
      <c r="G247" s="277"/>
      <c r="H247" s="277"/>
      <c r="I247" s="277"/>
      <c r="J247" s="277"/>
      <c r="K247" s="277"/>
      <c r="L247" s="277"/>
      <c r="M247" s="277"/>
      <c r="N247" s="277"/>
      <c r="O247" s="277"/>
      <c r="P247" s="277"/>
    </row>
    <row r="248" spans="5:16">
      <c r="E248" s="277"/>
      <c r="F248" s="277"/>
      <c r="G248" s="277"/>
      <c r="H248" s="277"/>
      <c r="I248" s="277"/>
      <c r="J248" s="277"/>
      <c r="K248" s="277"/>
      <c r="L248" s="277"/>
      <c r="M248" s="277"/>
      <c r="N248" s="277"/>
      <c r="O248" s="277"/>
      <c r="P248" s="277"/>
    </row>
    <row r="249" spans="5:16">
      <c r="E249" s="277"/>
      <c r="F249" s="277"/>
      <c r="G249" s="277"/>
      <c r="H249" s="277"/>
      <c r="I249" s="277"/>
      <c r="J249" s="277"/>
      <c r="K249" s="277"/>
      <c r="L249" s="277"/>
      <c r="M249" s="277"/>
      <c r="N249" s="277"/>
      <c r="O249" s="277"/>
      <c r="P249" s="277"/>
    </row>
    <row r="250" spans="5:16">
      <c r="E250" s="277"/>
      <c r="F250" s="277"/>
      <c r="G250" s="277"/>
      <c r="H250" s="277"/>
      <c r="I250" s="277"/>
      <c r="J250" s="277"/>
      <c r="K250" s="277"/>
      <c r="L250" s="277"/>
      <c r="M250" s="277"/>
      <c r="N250" s="277"/>
      <c r="O250" s="277"/>
      <c r="P250" s="277"/>
    </row>
    <row r="251" spans="5:16">
      <c r="E251" s="277"/>
      <c r="F251" s="277"/>
      <c r="G251" s="277"/>
      <c r="H251" s="277"/>
      <c r="I251" s="277"/>
      <c r="J251" s="277"/>
      <c r="K251" s="277"/>
      <c r="L251" s="277"/>
      <c r="M251" s="277"/>
      <c r="N251" s="277"/>
      <c r="O251" s="277"/>
      <c r="P251" s="277"/>
    </row>
    <row r="252" spans="5:16">
      <c r="E252" s="277"/>
      <c r="F252" s="277"/>
      <c r="G252" s="277"/>
      <c r="H252" s="277"/>
      <c r="I252" s="277"/>
      <c r="J252" s="277"/>
      <c r="K252" s="277"/>
      <c r="L252" s="277"/>
      <c r="M252" s="277"/>
      <c r="N252" s="277"/>
      <c r="O252" s="277"/>
      <c r="P252" s="277"/>
    </row>
    <row r="253" spans="5:16">
      <c r="E253" s="277"/>
      <c r="F253" s="277"/>
      <c r="G253" s="277"/>
      <c r="H253" s="277"/>
      <c r="I253" s="277"/>
      <c r="J253" s="277"/>
      <c r="K253" s="277"/>
      <c r="L253" s="277"/>
      <c r="M253" s="277"/>
      <c r="N253" s="277"/>
      <c r="O253" s="277"/>
      <c r="P253" s="277"/>
    </row>
    <row r="254" spans="5:16">
      <c r="E254" s="277"/>
      <c r="F254" s="277"/>
      <c r="G254" s="277"/>
      <c r="H254" s="277"/>
      <c r="I254" s="277"/>
      <c r="J254" s="277"/>
      <c r="K254" s="277"/>
      <c r="L254" s="277"/>
      <c r="M254" s="277"/>
      <c r="N254" s="277"/>
      <c r="O254" s="277"/>
      <c r="P254" s="277"/>
    </row>
    <row r="255" spans="5:16">
      <c r="E255" s="277"/>
      <c r="F255" s="277"/>
      <c r="G255" s="277"/>
      <c r="H255" s="277"/>
      <c r="I255" s="277"/>
      <c r="J255" s="277"/>
      <c r="K255" s="277"/>
      <c r="L255" s="277"/>
      <c r="M255" s="277"/>
      <c r="N255" s="277"/>
      <c r="O255" s="277"/>
      <c r="P255" s="277"/>
    </row>
    <row r="256" spans="5:16">
      <c r="E256" s="277"/>
      <c r="F256" s="277"/>
      <c r="G256" s="277"/>
      <c r="H256" s="277"/>
      <c r="I256" s="277"/>
      <c r="J256" s="277"/>
      <c r="K256" s="277"/>
      <c r="L256" s="277"/>
      <c r="M256" s="277"/>
      <c r="N256" s="277"/>
      <c r="O256" s="277"/>
      <c r="P256" s="277"/>
    </row>
    <row r="257" spans="5:16">
      <c r="E257" s="277"/>
      <c r="F257" s="277"/>
      <c r="G257" s="277"/>
      <c r="H257" s="277"/>
      <c r="I257" s="277"/>
      <c r="J257" s="277"/>
      <c r="K257" s="277"/>
      <c r="L257" s="277"/>
      <c r="M257" s="277"/>
      <c r="N257" s="277"/>
      <c r="O257" s="277"/>
      <c r="P257" s="277"/>
    </row>
    <row r="258" spans="5:16">
      <c r="E258" s="277"/>
      <c r="F258" s="277"/>
      <c r="G258" s="277"/>
      <c r="H258" s="277"/>
      <c r="I258" s="277"/>
      <c r="J258" s="277"/>
      <c r="K258" s="277"/>
      <c r="L258" s="277"/>
      <c r="M258" s="277"/>
      <c r="N258" s="277"/>
      <c r="O258" s="277"/>
      <c r="P258" s="277"/>
    </row>
    <row r="259" spans="5:16">
      <c r="E259" s="277"/>
      <c r="F259" s="277"/>
      <c r="G259" s="277"/>
      <c r="H259" s="277"/>
      <c r="I259" s="277"/>
      <c r="J259" s="277"/>
      <c r="K259" s="277"/>
      <c r="L259" s="277"/>
      <c r="M259" s="277"/>
      <c r="N259" s="277"/>
      <c r="O259" s="277"/>
      <c r="P259" s="277"/>
    </row>
    <row r="260" spans="5:16">
      <c r="E260" s="277"/>
      <c r="F260" s="277"/>
      <c r="G260" s="277"/>
      <c r="H260" s="277"/>
      <c r="I260" s="277"/>
      <c r="J260" s="277"/>
      <c r="K260" s="277"/>
      <c r="L260" s="277"/>
      <c r="M260" s="277"/>
      <c r="N260" s="277"/>
      <c r="O260" s="277"/>
      <c r="P260" s="277"/>
    </row>
    <row r="261" spans="5:16">
      <c r="E261" s="277"/>
      <c r="F261" s="277"/>
      <c r="G261" s="277"/>
      <c r="H261" s="277"/>
      <c r="I261" s="277"/>
      <c r="J261" s="277"/>
      <c r="K261" s="277"/>
      <c r="L261" s="277"/>
      <c r="M261" s="277"/>
      <c r="N261" s="277"/>
      <c r="O261" s="277"/>
      <c r="P261" s="277"/>
    </row>
    <row r="262" spans="5:16">
      <c r="E262" s="277"/>
      <c r="F262" s="277"/>
      <c r="G262" s="277"/>
      <c r="H262" s="277"/>
      <c r="I262" s="277"/>
      <c r="J262" s="277"/>
      <c r="K262" s="277"/>
      <c r="L262" s="277"/>
      <c r="M262" s="277"/>
      <c r="N262" s="277"/>
      <c r="O262" s="277"/>
      <c r="P262" s="277"/>
    </row>
    <row r="263" spans="5:16">
      <c r="E263" s="277"/>
      <c r="F263" s="277"/>
      <c r="G263" s="277"/>
      <c r="H263" s="277"/>
      <c r="I263" s="277"/>
      <c r="J263" s="277"/>
      <c r="K263" s="277"/>
      <c r="L263" s="277"/>
      <c r="M263" s="277"/>
      <c r="N263" s="277"/>
      <c r="O263" s="277"/>
      <c r="P263" s="277"/>
    </row>
    <row r="264" spans="5:16">
      <c r="E264" s="277"/>
      <c r="F264" s="277"/>
      <c r="G264" s="277"/>
      <c r="H264" s="277"/>
      <c r="I264" s="277"/>
      <c r="J264" s="277"/>
      <c r="K264" s="277"/>
      <c r="L264" s="277"/>
      <c r="M264" s="277"/>
      <c r="N264" s="277"/>
      <c r="O264" s="277"/>
      <c r="P264" s="277"/>
    </row>
    <row r="265" spans="5:16">
      <c r="E265" s="277"/>
      <c r="F265" s="277"/>
      <c r="G265" s="277"/>
      <c r="H265" s="277"/>
      <c r="I265" s="277"/>
      <c r="J265" s="277"/>
      <c r="K265" s="277"/>
      <c r="L265" s="277"/>
      <c r="M265" s="277"/>
      <c r="N265" s="277"/>
      <c r="O265" s="277"/>
      <c r="P265" s="277"/>
    </row>
    <row r="266" spans="5:16">
      <c r="E266" s="277"/>
      <c r="F266" s="277"/>
      <c r="G266" s="277"/>
      <c r="H266" s="277"/>
      <c r="I266" s="277"/>
      <c r="J266" s="277"/>
      <c r="K266" s="277"/>
      <c r="L266" s="277"/>
      <c r="M266" s="277"/>
      <c r="N266" s="277"/>
      <c r="O266" s="277"/>
      <c r="P266" s="277"/>
    </row>
    <row r="267" spans="5:16">
      <c r="E267" s="277"/>
      <c r="F267" s="277"/>
      <c r="G267" s="277"/>
      <c r="H267" s="277"/>
      <c r="I267" s="277"/>
      <c r="J267" s="277"/>
      <c r="K267" s="277"/>
      <c r="L267" s="277"/>
      <c r="M267" s="277"/>
      <c r="N267" s="277"/>
      <c r="O267" s="277"/>
      <c r="P267" s="277"/>
    </row>
    <row r="268" spans="5:16">
      <c r="E268" s="277"/>
      <c r="F268" s="277"/>
      <c r="G268" s="277"/>
      <c r="H268" s="277"/>
      <c r="I268" s="277"/>
      <c r="J268" s="277"/>
      <c r="K268" s="277"/>
      <c r="L268" s="277"/>
      <c r="M268" s="277"/>
      <c r="N268" s="277"/>
      <c r="O268" s="277"/>
      <c r="P268" s="277"/>
    </row>
    <row r="269" spans="5:16">
      <c r="E269" s="277"/>
      <c r="F269" s="277"/>
      <c r="G269" s="277"/>
      <c r="H269" s="277"/>
      <c r="I269" s="277"/>
      <c r="J269" s="277"/>
      <c r="K269" s="277"/>
      <c r="L269" s="277"/>
      <c r="M269" s="277"/>
      <c r="N269" s="277"/>
      <c r="O269" s="277"/>
      <c r="P269" s="277"/>
    </row>
    <row r="270" spans="5:16">
      <c r="E270" s="277"/>
      <c r="F270" s="277"/>
      <c r="G270" s="277"/>
      <c r="H270" s="277"/>
      <c r="I270" s="277"/>
      <c r="J270" s="277"/>
      <c r="K270" s="277"/>
      <c r="L270" s="277"/>
      <c r="M270" s="277"/>
      <c r="N270" s="277"/>
      <c r="O270" s="277"/>
      <c r="P270" s="277"/>
    </row>
    <row r="271" spans="5:16">
      <c r="E271" s="277"/>
      <c r="F271" s="277"/>
      <c r="G271" s="277"/>
      <c r="H271" s="277"/>
      <c r="I271" s="277"/>
      <c r="J271" s="277"/>
      <c r="K271" s="277"/>
      <c r="L271" s="277"/>
      <c r="M271" s="277"/>
      <c r="N271" s="277"/>
      <c r="O271" s="277"/>
      <c r="P271" s="277"/>
    </row>
    <row r="272" spans="5:16">
      <c r="E272" s="277"/>
      <c r="F272" s="277"/>
      <c r="G272" s="277"/>
      <c r="H272" s="277"/>
      <c r="I272" s="277"/>
      <c r="J272" s="277"/>
      <c r="K272" s="277"/>
      <c r="L272" s="277"/>
      <c r="M272" s="277"/>
      <c r="N272" s="277"/>
      <c r="O272" s="277"/>
      <c r="P272" s="277"/>
    </row>
    <row r="273" spans="5:16">
      <c r="E273" s="277"/>
      <c r="F273" s="277"/>
      <c r="G273" s="277"/>
      <c r="H273" s="277"/>
      <c r="I273" s="277"/>
      <c r="J273" s="277"/>
      <c r="K273" s="277"/>
      <c r="L273" s="277"/>
      <c r="M273" s="277"/>
      <c r="N273" s="277"/>
      <c r="O273" s="277"/>
      <c r="P273" s="277"/>
    </row>
    <row r="274" spans="5:16">
      <c r="E274" s="277"/>
      <c r="F274" s="277"/>
      <c r="G274" s="277"/>
      <c r="H274" s="277"/>
      <c r="I274" s="277"/>
      <c r="J274" s="277"/>
      <c r="K274" s="277"/>
      <c r="L274" s="277"/>
      <c r="M274" s="277"/>
      <c r="N274" s="277"/>
      <c r="O274" s="277"/>
      <c r="P274" s="277"/>
    </row>
    <row r="275" spans="5:16">
      <c r="E275" s="277"/>
      <c r="F275" s="277"/>
      <c r="G275" s="277"/>
      <c r="H275" s="277"/>
      <c r="I275" s="277"/>
      <c r="J275" s="277"/>
      <c r="K275" s="277"/>
      <c r="L275" s="277"/>
      <c r="M275" s="277"/>
      <c r="N275" s="277"/>
      <c r="O275" s="277"/>
      <c r="P275" s="277"/>
    </row>
    <row r="276" spans="5:16">
      <c r="E276" s="277"/>
      <c r="F276" s="277"/>
      <c r="G276" s="277"/>
      <c r="H276" s="277"/>
      <c r="I276" s="277"/>
      <c r="J276" s="277"/>
      <c r="K276" s="277"/>
      <c r="L276" s="277"/>
      <c r="M276" s="277"/>
      <c r="N276" s="277"/>
      <c r="O276" s="277"/>
      <c r="P276" s="277"/>
    </row>
    <row r="277" spans="5:16">
      <c r="E277" s="277"/>
      <c r="F277" s="277"/>
      <c r="G277" s="277"/>
      <c r="H277" s="277"/>
      <c r="I277" s="277"/>
      <c r="J277" s="277"/>
      <c r="K277" s="277"/>
      <c r="L277" s="277"/>
      <c r="M277" s="277"/>
      <c r="N277" s="277"/>
      <c r="O277" s="277"/>
      <c r="P277" s="277"/>
    </row>
    <row r="278" spans="5:16">
      <c r="E278" s="277"/>
      <c r="F278" s="277"/>
      <c r="G278" s="277"/>
      <c r="H278" s="277"/>
      <c r="I278" s="277"/>
      <c r="J278" s="277"/>
      <c r="K278" s="277"/>
      <c r="L278" s="277"/>
      <c r="M278" s="277"/>
      <c r="N278" s="277"/>
      <c r="O278" s="277"/>
      <c r="P278" s="277"/>
    </row>
    <row r="279" spans="5:16">
      <c r="E279" s="277"/>
      <c r="F279" s="277"/>
      <c r="G279" s="277"/>
      <c r="H279" s="277"/>
      <c r="I279" s="277"/>
      <c r="J279" s="277"/>
      <c r="K279" s="277"/>
      <c r="L279" s="277"/>
      <c r="M279" s="277"/>
      <c r="N279" s="277"/>
      <c r="O279" s="277"/>
      <c r="P279" s="277"/>
    </row>
    <row r="280" spans="5:16">
      <c r="E280" s="277"/>
      <c r="F280" s="277"/>
      <c r="G280" s="277"/>
      <c r="H280" s="277"/>
      <c r="I280" s="277"/>
      <c r="J280" s="277"/>
      <c r="K280" s="277"/>
      <c r="L280" s="277"/>
      <c r="M280" s="277"/>
      <c r="N280" s="277"/>
      <c r="O280" s="277"/>
      <c r="P280" s="277"/>
    </row>
    <row r="281" spans="5:16">
      <c r="E281" s="277"/>
      <c r="F281" s="277"/>
      <c r="G281" s="277"/>
      <c r="H281" s="277"/>
      <c r="I281" s="277"/>
      <c r="J281" s="277"/>
      <c r="K281" s="277"/>
      <c r="L281" s="277"/>
      <c r="M281" s="277"/>
      <c r="N281" s="277"/>
      <c r="O281" s="277"/>
      <c r="P281" s="277"/>
    </row>
    <row r="282" spans="5:16">
      <c r="E282" s="277"/>
      <c r="F282" s="277"/>
      <c r="G282" s="277"/>
      <c r="H282" s="277"/>
      <c r="I282" s="277"/>
      <c r="J282" s="277"/>
      <c r="K282" s="277"/>
      <c r="L282" s="277"/>
      <c r="M282" s="277"/>
      <c r="N282" s="277"/>
      <c r="O282" s="277"/>
      <c r="P282" s="277"/>
    </row>
    <row r="283" spans="5:16">
      <c r="E283" s="277"/>
      <c r="F283" s="277"/>
      <c r="G283" s="277"/>
      <c r="H283" s="277"/>
      <c r="I283" s="277"/>
      <c r="J283" s="277"/>
      <c r="K283" s="277"/>
      <c r="L283" s="277"/>
      <c r="M283" s="277"/>
      <c r="N283" s="277"/>
      <c r="O283" s="277"/>
      <c r="P283" s="277"/>
    </row>
    <row r="284" spans="5:16">
      <c r="E284" s="277"/>
      <c r="F284" s="277"/>
      <c r="G284" s="277"/>
      <c r="H284" s="277"/>
      <c r="I284" s="277"/>
      <c r="J284" s="277"/>
      <c r="K284" s="277"/>
      <c r="L284" s="277"/>
      <c r="M284" s="277"/>
      <c r="N284" s="277"/>
      <c r="O284" s="277"/>
      <c r="P284" s="277"/>
    </row>
    <row r="285" spans="5:16">
      <c r="E285" s="277"/>
      <c r="F285" s="277"/>
      <c r="G285" s="277"/>
      <c r="H285" s="277"/>
      <c r="I285" s="277"/>
      <c r="J285" s="277"/>
      <c r="K285" s="277"/>
      <c r="L285" s="277"/>
      <c r="M285" s="277"/>
      <c r="N285" s="277"/>
      <c r="O285" s="277"/>
      <c r="P285" s="277"/>
    </row>
    <row r="286" spans="5:16">
      <c r="E286" s="277"/>
      <c r="F286" s="277"/>
      <c r="G286" s="277"/>
      <c r="H286" s="277"/>
      <c r="I286" s="277"/>
      <c r="J286" s="277"/>
      <c r="K286" s="277"/>
      <c r="L286" s="277"/>
      <c r="M286" s="277"/>
      <c r="N286" s="277"/>
      <c r="O286" s="277"/>
      <c r="P286" s="277"/>
    </row>
    <row r="287" spans="5:16">
      <c r="E287" s="277"/>
      <c r="F287" s="277"/>
      <c r="G287" s="277"/>
      <c r="H287" s="277"/>
      <c r="I287" s="277"/>
      <c r="J287" s="277"/>
      <c r="K287" s="277"/>
      <c r="L287" s="277"/>
      <c r="M287" s="277"/>
      <c r="N287" s="277"/>
      <c r="O287" s="277"/>
      <c r="P287" s="277"/>
    </row>
    <row r="288" spans="5:16">
      <c r="E288" s="277"/>
      <c r="F288" s="277"/>
      <c r="G288" s="277"/>
      <c r="H288" s="277"/>
      <c r="I288" s="277"/>
      <c r="J288" s="277"/>
      <c r="K288" s="277"/>
      <c r="L288" s="277"/>
      <c r="M288" s="277"/>
      <c r="N288" s="277"/>
      <c r="O288" s="277"/>
      <c r="P288" s="277"/>
    </row>
    <row r="289" spans="5:16">
      <c r="E289" s="277"/>
      <c r="F289" s="277"/>
      <c r="G289" s="277"/>
      <c r="H289" s="277"/>
      <c r="I289" s="277"/>
      <c r="J289" s="277"/>
      <c r="K289" s="277"/>
      <c r="L289" s="277"/>
      <c r="M289" s="277"/>
      <c r="N289" s="277"/>
      <c r="O289" s="277"/>
      <c r="P289" s="277"/>
    </row>
    <row r="290" spans="5:16">
      <c r="E290" s="277"/>
      <c r="F290" s="277"/>
      <c r="G290" s="277"/>
      <c r="H290" s="277"/>
      <c r="I290" s="277"/>
      <c r="J290" s="277"/>
      <c r="K290" s="277"/>
      <c r="L290" s="277"/>
      <c r="M290" s="277"/>
      <c r="N290" s="277"/>
      <c r="O290" s="277"/>
      <c r="P290" s="277"/>
    </row>
    <row r="291" spans="5:16">
      <c r="E291" s="277"/>
      <c r="F291" s="277"/>
      <c r="G291" s="277"/>
      <c r="H291" s="277"/>
      <c r="I291" s="277"/>
      <c r="J291" s="277"/>
      <c r="K291" s="277"/>
      <c r="L291" s="277"/>
      <c r="M291" s="277"/>
      <c r="N291" s="277"/>
      <c r="O291" s="277"/>
      <c r="P291" s="277"/>
    </row>
    <row r="292" spans="5:16">
      <c r="E292" s="277"/>
      <c r="F292" s="277"/>
      <c r="G292" s="277"/>
      <c r="H292" s="277"/>
      <c r="I292" s="277"/>
      <c r="J292" s="277"/>
      <c r="K292" s="277"/>
      <c r="L292" s="277"/>
      <c r="M292" s="277"/>
      <c r="N292" s="277"/>
      <c r="O292" s="277"/>
      <c r="P292" s="277"/>
    </row>
    <row r="293" spans="5:16">
      <c r="E293" s="277"/>
      <c r="F293" s="277"/>
      <c r="G293" s="277"/>
      <c r="H293" s="277"/>
      <c r="I293" s="277"/>
      <c r="J293" s="277"/>
      <c r="K293" s="277"/>
      <c r="L293" s="277"/>
      <c r="M293" s="277"/>
      <c r="N293" s="277"/>
      <c r="O293" s="277"/>
      <c r="P293" s="277"/>
    </row>
    <row r="294" spans="5:16">
      <c r="E294" s="277"/>
      <c r="F294" s="277"/>
      <c r="G294" s="277"/>
      <c r="H294" s="277"/>
      <c r="I294" s="277"/>
      <c r="J294" s="277"/>
      <c r="K294" s="277"/>
      <c r="L294" s="277"/>
      <c r="M294" s="277"/>
      <c r="N294" s="277"/>
      <c r="O294" s="277"/>
      <c r="P294" s="277"/>
    </row>
    <row r="295" spans="5:16">
      <c r="E295" s="277"/>
      <c r="F295" s="277"/>
      <c r="G295" s="277"/>
      <c r="H295" s="277"/>
      <c r="I295" s="277"/>
      <c r="J295" s="277"/>
      <c r="K295" s="277"/>
      <c r="L295" s="277"/>
      <c r="M295" s="277"/>
      <c r="N295" s="277"/>
      <c r="O295" s="277"/>
      <c r="P295" s="277"/>
    </row>
    <row r="296" spans="5:16">
      <c r="E296" s="277"/>
      <c r="F296" s="277"/>
      <c r="G296" s="277"/>
      <c r="H296" s="277"/>
      <c r="I296" s="277"/>
      <c r="J296" s="277"/>
      <c r="K296" s="277"/>
      <c r="L296" s="277"/>
      <c r="M296" s="277"/>
      <c r="N296" s="277"/>
      <c r="O296" s="277"/>
      <c r="P296" s="277"/>
    </row>
    <row r="297" spans="5:16">
      <c r="E297" s="277"/>
      <c r="F297" s="277"/>
      <c r="G297" s="277"/>
      <c r="H297" s="277"/>
      <c r="I297" s="277"/>
      <c r="J297" s="277"/>
      <c r="K297" s="277"/>
      <c r="L297" s="277"/>
      <c r="M297" s="277"/>
      <c r="N297" s="277"/>
      <c r="O297" s="277"/>
      <c r="P297" s="277"/>
    </row>
    <row r="298" spans="5:16">
      <c r="E298" s="277"/>
      <c r="F298" s="277"/>
      <c r="G298" s="277"/>
      <c r="H298" s="277"/>
      <c r="I298" s="277"/>
      <c r="J298" s="277"/>
      <c r="K298" s="277"/>
      <c r="L298" s="277"/>
      <c r="M298" s="277"/>
      <c r="N298" s="277"/>
      <c r="O298" s="277"/>
      <c r="P298" s="277"/>
    </row>
    <row r="299" spans="5:16">
      <c r="E299" s="277"/>
      <c r="F299" s="277"/>
      <c r="G299" s="277"/>
      <c r="H299" s="277"/>
      <c r="I299" s="277"/>
      <c r="J299" s="277"/>
      <c r="K299" s="277"/>
      <c r="L299" s="277"/>
      <c r="M299" s="277"/>
      <c r="N299" s="277"/>
      <c r="O299" s="277"/>
      <c r="P299" s="277"/>
    </row>
    <row r="300" spans="5:16">
      <c r="E300" s="277"/>
      <c r="F300" s="277"/>
      <c r="G300" s="277"/>
      <c r="H300" s="277"/>
      <c r="I300" s="277"/>
      <c r="J300" s="277"/>
      <c r="K300" s="277"/>
      <c r="L300" s="277"/>
      <c r="M300" s="277"/>
      <c r="N300" s="277"/>
      <c r="O300" s="277"/>
      <c r="P300" s="277"/>
    </row>
    <row r="301" spans="5:16">
      <c r="E301" s="277"/>
      <c r="F301" s="277"/>
      <c r="G301" s="277"/>
      <c r="H301" s="277"/>
      <c r="I301" s="277"/>
      <c r="J301" s="277"/>
      <c r="K301" s="277"/>
      <c r="L301" s="277"/>
      <c r="M301" s="277"/>
      <c r="N301" s="277"/>
      <c r="O301" s="277"/>
      <c r="P301" s="277"/>
    </row>
    <row r="302" spans="5:16">
      <c r="E302" s="277"/>
      <c r="F302" s="277"/>
      <c r="G302" s="277"/>
      <c r="H302" s="277"/>
      <c r="I302" s="277"/>
      <c r="J302" s="277"/>
      <c r="K302" s="277"/>
      <c r="L302" s="277"/>
      <c r="M302" s="277"/>
      <c r="N302" s="277"/>
      <c r="O302" s="277"/>
      <c r="P302" s="277"/>
    </row>
    <row r="303" spans="5:16">
      <c r="E303" s="277"/>
      <c r="F303" s="277"/>
      <c r="G303" s="277"/>
      <c r="H303" s="277"/>
      <c r="I303" s="277"/>
      <c r="J303" s="277"/>
      <c r="K303" s="277"/>
      <c r="L303" s="277"/>
      <c r="M303" s="277"/>
      <c r="N303" s="277"/>
      <c r="O303" s="277"/>
      <c r="P303" s="277"/>
    </row>
    <row r="304" spans="5:16">
      <c r="E304" s="277"/>
      <c r="F304" s="277"/>
      <c r="G304" s="277"/>
      <c r="H304" s="277"/>
      <c r="I304" s="277"/>
      <c r="J304" s="277"/>
      <c r="K304" s="277"/>
      <c r="L304" s="277"/>
      <c r="M304" s="277"/>
      <c r="N304" s="277"/>
      <c r="O304" s="277"/>
      <c r="P304" s="277"/>
    </row>
    <row r="305" spans="5:16">
      <c r="E305" s="277"/>
      <c r="F305" s="277"/>
      <c r="G305" s="277"/>
      <c r="H305" s="277"/>
      <c r="I305" s="277"/>
      <c r="J305" s="277"/>
      <c r="K305" s="277"/>
      <c r="L305" s="277"/>
      <c r="M305" s="277"/>
      <c r="N305" s="277"/>
      <c r="O305" s="277"/>
      <c r="P305" s="277"/>
    </row>
    <row r="306" spans="5:16">
      <c r="E306" s="277"/>
      <c r="F306" s="277"/>
      <c r="G306" s="277"/>
      <c r="H306" s="277"/>
      <c r="I306" s="277"/>
      <c r="J306" s="277"/>
      <c r="K306" s="277"/>
      <c r="L306" s="277"/>
      <c r="M306" s="277"/>
      <c r="N306" s="277"/>
      <c r="O306" s="277"/>
      <c r="P306" s="277"/>
    </row>
    <row r="307" spans="5:16">
      <c r="E307" s="277"/>
      <c r="F307" s="277"/>
      <c r="G307" s="277"/>
      <c r="H307" s="277"/>
      <c r="I307" s="277"/>
      <c r="J307" s="277"/>
      <c r="K307" s="277"/>
      <c r="L307" s="277"/>
      <c r="M307" s="277"/>
      <c r="N307" s="277"/>
      <c r="O307" s="277"/>
      <c r="P307" s="277"/>
    </row>
    <row r="308" spans="5:16">
      <c r="E308" s="277"/>
      <c r="F308" s="277"/>
      <c r="G308" s="277"/>
      <c r="H308" s="277"/>
      <c r="I308" s="277"/>
      <c r="J308" s="277"/>
      <c r="K308" s="277"/>
      <c r="L308" s="277"/>
      <c r="M308" s="277"/>
      <c r="N308" s="277"/>
      <c r="O308" s="277"/>
      <c r="P308" s="277"/>
    </row>
    <row r="309" spans="5:16">
      <c r="E309" s="277"/>
      <c r="F309" s="277"/>
      <c r="G309" s="277"/>
      <c r="H309" s="277"/>
      <c r="I309" s="277"/>
      <c r="J309" s="277"/>
      <c r="K309" s="277"/>
      <c r="L309" s="277"/>
      <c r="M309" s="277"/>
      <c r="N309" s="277"/>
      <c r="O309" s="277"/>
      <c r="P309" s="277"/>
    </row>
    <row r="310" spans="5:16">
      <c r="E310" s="277"/>
      <c r="F310" s="277"/>
      <c r="G310" s="277"/>
      <c r="H310" s="277"/>
      <c r="I310" s="277"/>
      <c r="J310" s="277"/>
      <c r="K310" s="277"/>
      <c r="L310" s="277"/>
      <c r="M310" s="277"/>
      <c r="N310" s="277"/>
      <c r="O310" s="277"/>
      <c r="P310" s="277"/>
    </row>
    <row r="311" spans="5:16">
      <c r="E311" s="277"/>
      <c r="F311" s="277"/>
      <c r="G311" s="277"/>
      <c r="H311" s="277"/>
      <c r="I311" s="277"/>
      <c r="J311" s="277"/>
      <c r="K311" s="277"/>
      <c r="L311" s="277"/>
      <c r="M311" s="277"/>
      <c r="N311" s="277"/>
      <c r="O311" s="277"/>
      <c r="P311" s="277"/>
    </row>
    <row r="312" spans="5:16">
      <c r="E312" s="277"/>
      <c r="F312" s="277"/>
      <c r="G312" s="277"/>
      <c r="H312" s="277"/>
      <c r="I312" s="277"/>
      <c r="J312" s="277"/>
      <c r="K312" s="277"/>
      <c r="L312" s="277"/>
      <c r="M312" s="277"/>
      <c r="N312" s="277"/>
      <c r="O312" s="277"/>
      <c r="P312" s="277"/>
    </row>
    <row r="313" spans="5:16">
      <c r="E313" s="277"/>
      <c r="F313" s="277"/>
      <c r="G313" s="277"/>
      <c r="H313" s="277"/>
      <c r="I313" s="277"/>
      <c r="J313" s="277"/>
      <c r="K313" s="277"/>
      <c r="L313" s="277"/>
      <c r="M313" s="277"/>
      <c r="N313" s="277"/>
      <c r="O313" s="277"/>
      <c r="P313" s="277"/>
    </row>
    <row r="314" spans="5:16">
      <c r="E314" s="277"/>
      <c r="F314" s="277"/>
      <c r="G314" s="277"/>
      <c r="H314" s="277"/>
      <c r="I314" s="277"/>
      <c r="J314" s="277"/>
      <c r="K314" s="277"/>
      <c r="L314" s="277"/>
      <c r="M314" s="277"/>
      <c r="N314" s="277"/>
      <c r="O314" s="277"/>
      <c r="P314" s="277"/>
    </row>
    <row r="315" spans="5:16">
      <c r="E315" s="277"/>
      <c r="F315" s="277"/>
      <c r="G315" s="277"/>
      <c r="H315" s="277"/>
      <c r="I315" s="277"/>
      <c r="J315" s="277"/>
      <c r="K315" s="277"/>
      <c r="L315" s="277"/>
      <c r="M315" s="277"/>
      <c r="N315" s="277"/>
      <c r="O315" s="277"/>
      <c r="P315" s="277"/>
    </row>
    <row r="316" spans="5:16">
      <c r="E316" s="277"/>
      <c r="F316" s="277"/>
      <c r="G316" s="277"/>
      <c r="H316" s="277"/>
      <c r="I316" s="277"/>
      <c r="J316" s="277"/>
      <c r="K316" s="277"/>
      <c r="L316" s="277"/>
      <c r="M316" s="277"/>
      <c r="N316" s="277"/>
      <c r="O316" s="277"/>
      <c r="P316" s="277"/>
    </row>
    <row r="317" spans="5:16">
      <c r="E317" s="277"/>
      <c r="F317" s="277"/>
      <c r="G317" s="277"/>
      <c r="H317" s="277"/>
      <c r="I317" s="277"/>
      <c r="J317" s="277"/>
      <c r="K317" s="277"/>
      <c r="L317" s="277"/>
      <c r="M317" s="277"/>
      <c r="N317" s="277"/>
      <c r="O317" s="277"/>
      <c r="P317" s="277"/>
    </row>
    <row r="318" spans="5:16">
      <c r="E318" s="277"/>
      <c r="F318" s="277"/>
      <c r="G318" s="277"/>
      <c r="H318" s="277"/>
      <c r="I318" s="277"/>
      <c r="J318" s="277"/>
      <c r="K318" s="277"/>
      <c r="L318" s="277"/>
      <c r="M318" s="277"/>
      <c r="N318" s="277"/>
      <c r="O318" s="277"/>
      <c r="P318" s="277"/>
    </row>
    <row r="319" spans="5:16">
      <c r="E319" s="277"/>
      <c r="F319" s="277"/>
      <c r="G319" s="277"/>
      <c r="H319" s="277"/>
      <c r="I319" s="277"/>
      <c r="J319" s="277"/>
      <c r="K319" s="277"/>
      <c r="L319" s="277"/>
      <c r="M319" s="277"/>
      <c r="N319" s="277"/>
      <c r="O319" s="277"/>
      <c r="P319" s="277"/>
    </row>
    <row r="320" spans="5:16">
      <c r="E320" s="277"/>
      <c r="F320" s="277"/>
      <c r="G320" s="277"/>
      <c r="H320" s="277"/>
      <c r="I320" s="277"/>
      <c r="J320" s="277"/>
      <c r="K320" s="277"/>
      <c r="L320" s="277"/>
      <c r="M320" s="277"/>
      <c r="N320" s="277"/>
      <c r="O320" s="277"/>
      <c r="P320" s="277"/>
    </row>
    <row r="321" spans="5:16">
      <c r="E321" s="277"/>
      <c r="F321" s="277"/>
      <c r="G321" s="277"/>
      <c r="H321" s="277"/>
      <c r="I321" s="277"/>
      <c r="J321" s="277"/>
      <c r="K321" s="277"/>
      <c r="L321" s="277"/>
      <c r="M321" s="277"/>
      <c r="N321" s="277"/>
      <c r="O321" s="277"/>
      <c r="P321" s="277"/>
    </row>
    <row r="322" spans="5:16">
      <c r="E322" s="277"/>
      <c r="F322" s="277"/>
      <c r="G322" s="277"/>
      <c r="H322" s="277"/>
      <c r="I322" s="277"/>
      <c r="J322" s="277"/>
      <c r="K322" s="277"/>
      <c r="L322" s="277"/>
      <c r="M322" s="277"/>
      <c r="N322" s="277"/>
      <c r="O322" s="277"/>
      <c r="P322" s="277"/>
    </row>
    <row r="323" spans="5:16">
      <c r="E323" s="277"/>
      <c r="F323" s="277"/>
      <c r="G323" s="277"/>
      <c r="H323" s="277"/>
      <c r="I323" s="277"/>
      <c r="J323" s="277"/>
      <c r="K323" s="277"/>
      <c r="L323" s="277"/>
      <c r="M323" s="277"/>
      <c r="N323" s="277"/>
      <c r="O323" s="277"/>
      <c r="P323" s="277"/>
    </row>
    <row r="324" spans="5:16">
      <c r="E324" s="277"/>
      <c r="F324" s="277"/>
      <c r="G324" s="277"/>
      <c r="H324" s="277"/>
      <c r="I324" s="277"/>
      <c r="J324" s="277"/>
      <c r="K324" s="277"/>
      <c r="L324" s="277"/>
      <c r="M324" s="277"/>
      <c r="N324" s="277"/>
      <c r="O324" s="277"/>
      <c r="P324" s="277"/>
    </row>
    <row r="325" spans="5:16">
      <c r="E325" s="277"/>
      <c r="F325" s="277"/>
      <c r="G325" s="277"/>
      <c r="H325" s="277"/>
      <c r="I325" s="277"/>
      <c r="J325" s="277"/>
      <c r="K325" s="277"/>
      <c r="L325" s="277"/>
      <c r="M325" s="277"/>
      <c r="N325" s="277"/>
      <c r="O325" s="277"/>
      <c r="P325" s="277"/>
    </row>
    <row r="326" spans="5:16">
      <c r="E326" s="277"/>
      <c r="F326" s="277"/>
      <c r="G326" s="277"/>
      <c r="H326" s="277"/>
      <c r="I326" s="277"/>
      <c r="J326" s="277"/>
      <c r="K326" s="277"/>
      <c r="L326" s="277"/>
      <c r="M326" s="277"/>
      <c r="N326" s="277"/>
      <c r="O326" s="277"/>
      <c r="P326" s="277"/>
    </row>
    <row r="327" spans="5:16">
      <c r="E327" s="277"/>
      <c r="F327" s="277"/>
      <c r="G327" s="277"/>
      <c r="H327" s="277"/>
      <c r="I327" s="277"/>
      <c r="J327" s="277"/>
      <c r="K327" s="277"/>
      <c r="L327" s="277"/>
      <c r="M327" s="277"/>
      <c r="N327" s="277"/>
      <c r="O327" s="277"/>
      <c r="P327" s="277"/>
    </row>
    <row r="328" spans="5:16">
      <c r="E328" s="277"/>
      <c r="F328" s="277"/>
      <c r="G328" s="277"/>
      <c r="H328" s="277"/>
      <c r="I328" s="277"/>
      <c r="J328" s="277"/>
      <c r="K328" s="277"/>
      <c r="L328" s="277"/>
      <c r="M328" s="277"/>
      <c r="N328" s="277"/>
      <c r="O328" s="277"/>
      <c r="P328" s="277"/>
    </row>
    <row r="329" spans="5:16">
      <c r="E329" s="277"/>
      <c r="F329" s="277"/>
      <c r="G329" s="277"/>
      <c r="H329" s="277"/>
      <c r="I329" s="277"/>
      <c r="J329" s="277"/>
      <c r="K329" s="277"/>
      <c r="L329" s="277"/>
      <c r="M329" s="277"/>
      <c r="N329" s="277"/>
      <c r="O329" s="277"/>
      <c r="P329" s="277"/>
    </row>
    <row r="330" spans="5:16">
      <c r="E330" s="277"/>
      <c r="F330" s="277"/>
      <c r="G330" s="277"/>
      <c r="H330" s="277"/>
      <c r="I330" s="277"/>
      <c r="J330" s="277"/>
      <c r="K330" s="277"/>
      <c r="L330" s="277"/>
      <c r="M330" s="277"/>
      <c r="N330" s="277"/>
      <c r="O330" s="277"/>
      <c r="P330" s="277"/>
    </row>
    <row r="331" spans="5:16">
      <c r="E331" s="277"/>
      <c r="F331" s="277"/>
      <c r="G331" s="277"/>
      <c r="H331" s="277"/>
      <c r="I331" s="277"/>
      <c r="J331" s="277"/>
      <c r="K331" s="277"/>
      <c r="L331" s="277"/>
      <c r="M331" s="277"/>
      <c r="N331" s="277"/>
      <c r="O331" s="277"/>
      <c r="P331" s="277"/>
    </row>
    <row r="332" spans="5:16">
      <c r="E332" s="277"/>
      <c r="F332" s="277"/>
      <c r="G332" s="277"/>
      <c r="H332" s="277"/>
      <c r="I332" s="277"/>
      <c r="J332" s="277"/>
      <c r="K332" s="277"/>
      <c r="L332" s="277"/>
      <c r="M332" s="277"/>
      <c r="N332" s="277"/>
      <c r="O332" s="277"/>
      <c r="P332" s="277"/>
    </row>
    <row r="333" spans="5:16">
      <c r="E333" s="277"/>
      <c r="F333" s="277"/>
      <c r="G333" s="277"/>
      <c r="H333" s="277"/>
      <c r="I333" s="277"/>
      <c r="J333" s="277"/>
      <c r="K333" s="277"/>
      <c r="L333" s="277"/>
      <c r="M333" s="277"/>
      <c r="N333" s="277"/>
      <c r="O333" s="277"/>
      <c r="P333" s="277"/>
    </row>
    <row r="334" spans="5:16">
      <c r="E334" s="277"/>
      <c r="F334" s="277"/>
      <c r="G334" s="277"/>
      <c r="H334" s="277"/>
      <c r="I334" s="277"/>
      <c r="J334" s="277"/>
      <c r="K334" s="277"/>
      <c r="L334" s="277"/>
      <c r="M334" s="277"/>
      <c r="N334" s="277"/>
      <c r="O334" s="277"/>
      <c r="P334" s="277"/>
    </row>
    <row r="335" spans="5:16">
      <c r="E335" s="277"/>
      <c r="F335" s="277"/>
      <c r="G335" s="277"/>
      <c r="H335" s="277"/>
      <c r="I335" s="277"/>
      <c r="J335" s="277"/>
      <c r="K335" s="277"/>
      <c r="L335" s="277"/>
      <c r="M335" s="277"/>
      <c r="N335" s="277"/>
      <c r="O335" s="277"/>
      <c r="P335" s="277"/>
    </row>
    <row r="336" spans="5:16">
      <c r="E336" s="277"/>
      <c r="F336" s="277"/>
      <c r="G336" s="277"/>
      <c r="H336" s="277"/>
      <c r="I336" s="277"/>
      <c r="J336" s="277"/>
      <c r="K336" s="277"/>
      <c r="L336" s="277"/>
      <c r="M336" s="277"/>
      <c r="N336" s="277"/>
      <c r="O336" s="277"/>
      <c r="P336" s="277"/>
    </row>
    <row r="337" spans="5:16">
      <c r="E337" s="277"/>
      <c r="F337" s="277"/>
      <c r="G337" s="277"/>
      <c r="H337" s="277"/>
      <c r="I337" s="277"/>
      <c r="J337" s="277"/>
      <c r="K337" s="277"/>
      <c r="L337" s="277"/>
      <c r="M337" s="277"/>
      <c r="N337" s="277"/>
      <c r="O337" s="277"/>
      <c r="P337" s="277"/>
    </row>
    <row r="338" spans="5:16">
      <c r="E338" s="277"/>
      <c r="F338" s="277"/>
      <c r="G338" s="277"/>
      <c r="H338" s="277"/>
      <c r="I338" s="277"/>
      <c r="J338" s="277"/>
      <c r="K338" s="277"/>
      <c r="L338" s="277"/>
      <c r="M338" s="277"/>
      <c r="N338" s="277"/>
      <c r="O338" s="277"/>
      <c r="P338" s="277"/>
    </row>
    <row r="339" spans="5:16">
      <c r="E339" s="277"/>
      <c r="F339" s="277"/>
      <c r="G339" s="277"/>
      <c r="H339" s="277"/>
      <c r="I339" s="277"/>
      <c r="J339" s="277"/>
      <c r="K339" s="277"/>
      <c r="L339" s="277"/>
      <c r="M339" s="277"/>
      <c r="N339" s="277"/>
      <c r="O339" s="277"/>
      <c r="P339" s="277"/>
    </row>
    <row r="340" spans="5:16">
      <c r="E340" s="277"/>
      <c r="F340" s="277"/>
      <c r="G340" s="277"/>
      <c r="H340" s="277"/>
      <c r="I340" s="277"/>
      <c r="J340" s="277"/>
      <c r="K340" s="277"/>
      <c r="L340" s="277"/>
      <c r="M340" s="277"/>
      <c r="N340" s="277"/>
      <c r="O340" s="277"/>
      <c r="P340" s="277"/>
    </row>
    <row r="341" spans="5:16">
      <c r="E341" s="277"/>
      <c r="F341" s="277"/>
      <c r="G341" s="277"/>
      <c r="H341" s="277"/>
      <c r="I341" s="277"/>
      <c r="J341" s="277"/>
      <c r="K341" s="277"/>
      <c r="L341" s="277"/>
      <c r="M341" s="277"/>
      <c r="N341" s="277"/>
      <c r="O341" s="277"/>
      <c r="P341" s="277"/>
    </row>
    <row r="342" spans="5:16">
      <c r="E342" s="277"/>
      <c r="F342" s="277"/>
      <c r="G342" s="277"/>
      <c r="H342" s="277"/>
      <c r="I342" s="277"/>
      <c r="J342" s="277"/>
      <c r="K342" s="277"/>
      <c r="L342" s="277"/>
      <c r="M342" s="277"/>
      <c r="N342" s="277"/>
      <c r="O342" s="277"/>
      <c r="P342" s="277"/>
    </row>
    <row r="343" spans="5:16">
      <c r="E343" s="277"/>
      <c r="F343" s="277"/>
      <c r="G343" s="277"/>
      <c r="H343" s="277"/>
      <c r="I343" s="277"/>
      <c r="J343" s="277"/>
      <c r="K343" s="277"/>
      <c r="L343" s="277"/>
      <c r="M343" s="277"/>
      <c r="N343" s="277"/>
      <c r="O343" s="277"/>
      <c r="P343" s="277"/>
    </row>
    <row r="344" spans="5:16">
      <c r="E344" s="277"/>
      <c r="F344" s="277"/>
      <c r="G344" s="277"/>
      <c r="H344" s="277"/>
      <c r="I344" s="277"/>
      <c r="J344" s="277"/>
      <c r="K344" s="277"/>
      <c r="L344" s="277"/>
      <c r="M344" s="277"/>
      <c r="N344" s="277"/>
      <c r="O344" s="277"/>
      <c r="P344" s="277"/>
    </row>
    <row r="345" spans="5:16">
      <c r="E345" s="277"/>
      <c r="F345" s="277"/>
      <c r="G345" s="277"/>
      <c r="H345" s="277"/>
      <c r="I345" s="277"/>
      <c r="J345" s="277"/>
      <c r="K345" s="277"/>
      <c r="L345" s="277"/>
      <c r="M345" s="277"/>
      <c r="N345" s="277"/>
      <c r="O345" s="277"/>
      <c r="P345" s="277"/>
    </row>
    <row r="346" spans="5:16">
      <c r="E346" s="277"/>
      <c r="F346" s="277"/>
      <c r="G346" s="277"/>
      <c r="H346" s="277"/>
      <c r="I346" s="277"/>
      <c r="J346" s="277"/>
      <c r="K346" s="277"/>
      <c r="L346" s="277"/>
      <c r="M346" s="277"/>
      <c r="N346" s="277"/>
      <c r="O346" s="277"/>
      <c r="P346" s="277"/>
    </row>
    <row r="347" spans="5:16">
      <c r="E347" s="277"/>
      <c r="F347" s="277"/>
      <c r="G347" s="277"/>
      <c r="H347" s="277"/>
      <c r="I347" s="277"/>
      <c r="J347" s="277"/>
      <c r="K347" s="277"/>
      <c r="L347" s="277"/>
      <c r="M347" s="277"/>
      <c r="N347" s="277"/>
      <c r="O347" s="277"/>
      <c r="P347" s="277"/>
    </row>
    <row r="348" spans="5:16">
      <c r="E348" s="277"/>
      <c r="F348" s="277"/>
      <c r="G348" s="277"/>
      <c r="H348" s="277"/>
      <c r="I348" s="277"/>
      <c r="J348" s="277"/>
      <c r="K348" s="277"/>
      <c r="L348" s="277"/>
      <c r="M348" s="277"/>
      <c r="N348" s="277"/>
      <c r="O348" s="277"/>
      <c r="P348" s="277"/>
    </row>
    <row r="349" spans="5:16">
      <c r="E349" s="277"/>
      <c r="F349" s="277"/>
      <c r="G349" s="277"/>
      <c r="H349" s="277"/>
      <c r="I349" s="277"/>
      <c r="J349" s="277"/>
      <c r="K349" s="277"/>
      <c r="L349" s="277"/>
      <c r="M349" s="277"/>
      <c r="N349" s="277"/>
      <c r="O349" s="277"/>
      <c r="P349" s="277"/>
    </row>
    <row r="350" spans="5:16">
      <c r="E350" s="277"/>
      <c r="F350" s="277"/>
      <c r="G350" s="277"/>
      <c r="H350" s="277"/>
      <c r="I350" s="277"/>
      <c r="J350" s="277"/>
      <c r="K350" s="277"/>
      <c r="L350" s="277"/>
      <c r="M350" s="277"/>
      <c r="N350" s="277"/>
      <c r="O350" s="277"/>
      <c r="P350" s="277"/>
    </row>
    <row r="351" spans="5:16">
      <c r="E351" s="277"/>
      <c r="F351" s="277"/>
      <c r="G351" s="277"/>
      <c r="H351" s="277"/>
      <c r="I351" s="277"/>
      <c r="J351" s="277"/>
      <c r="K351" s="277"/>
      <c r="L351" s="277"/>
      <c r="M351" s="277"/>
      <c r="N351" s="277"/>
      <c r="O351" s="277"/>
      <c r="P351" s="277"/>
    </row>
    <row r="352" spans="5:16">
      <c r="E352" s="277"/>
      <c r="F352" s="277"/>
      <c r="G352" s="277"/>
      <c r="H352" s="277"/>
      <c r="I352" s="277"/>
      <c r="J352" s="277"/>
      <c r="K352" s="277"/>
      <c r="L352" s="277"/>
      <c r="M352" s="277"/>
      <c r="N352" s="277"/>
      <c r="O352" s="277"/>
      <c r="P352" s="277"/>
    </row>
    <row r="353" spans="5:16">
      <c r="E353" s="277"/>
      <c r="F353" s="277"/>
      <c r="G353" s="277"/>
      <c r="H353" s="277"/>
      <c r="I353" s="277"/>
      <c r="J353" s="277"/>
      <c r="K353" s="277"/>
      <c r="L353" s="277"/>
      <c r="M353" s="277"/>
      <c r="N353" s="277"/>
      <c r="O353" s="277"/>
      <c r="P353" s="277"/>
    </row>
    <row r="354" spans="5:16">
      <c r="E354" s="277"/>
      <c r="F354" s="277"/>
      <c r="G354" s="277"/>
      <c r="H354" s="277"/>
      <c r="I354" s="277"/>
      <c r="J354" s="277"/>
      <c r="K354" s="277"/>
      <c r="L354" s="277"/>
      <c r="M354" s="277"/>
      <c r="N354" s="277"/>
      <c r="O354" s="277"/>
      <c r="P354" s="277"/>
    </row>
    <row r="355" spans="5:16">
      <c r="E355" s="277"/>
      <c r="F355" s="277"/>
      <c r="G355" s="277"/>
      <c r="H355" s="277"/>
      <c r="I355" s="277"/>
      <c r="J355" s="277"/>
      <c r="K355" s="277"/>
      <c r="L355" s="277"/>
      <c r="M355" s="277"/>
      <c r="N355" s="277"/>
      <c r="O355" s="277"/>
      <c r="P355" s="277"/>
    </row>
    <row r="356" spans="5:16">
      <c r="E356" s="277"/>
      <c r="F356" s="277"/>
      <c r="G356" s="277"/>
      <c r="H356" s="277"/>
      <c r="I356" s="277"/>
      <c r="J356" s="277"/>
      <c r="K356" s="277"/>
      <c r="L356" s="277"/>
      <c r="M356" s="277"/>
      <c r="N356" s="277"/>
      <c r="O356" s="277"/>
      <c r="P356" s="277"/>
    </row>
    <row r="357" spans="5:16">
      <c r="E357" s="277"/>
      <c r="F357" s="277"/>
      <c r="G357" s="277"/>
      <c r="H357" s="277"/>
      <c r="I357" s="277"/>
      <c r="J357" s="277"/>
      <c r="K357" s="277"/>
      <c r="L357" s="277"/>
      <c r="M357" s="277"/>
      <c r="N357" s="277"/>
      <c r="O357" s="277"/>
      <c r="P357" s="277"/>
    </row>
    <row r="358" spans="5:16">
      <c r="E358" s="277"/>
      <c r="F358" s="277"/>
      <c r="G358" s="277"/>
      <c r="H358" s="277"/>
      <c r="I358" s="277"/>
      <c r="J358" s="277"/>
      <c r="K358" s="277"/>
      <c r="L358" s="277"/>
      <c r="M358" s="277"/>
      <c r="N358" s="277"/>
      <c r="O358" s="277"/>
      <c r="P358" s="277"/>
    </row>
    <row r="359" spans="5:16">
      <c r="E359" s="277"/>
      <c r="F359" s="277"/>
      <c r="G359" s="277"/>
      <c r="H359" s="277"/>
      <c r="I359" s="277"/>
      <c r="J359" s="277"/>
      <c r="K359" s="277"/>
      <c r="L359" s="277"/>
      <c r="M359" s="277"/>
      <c r="N359" s="277"/>
      <c r="O359" s="277"/>
      <c r="P359" s="277"/>
    </row>
    <row r="360" spans="5:16">
      <c r="E360" s="277"/>
      <c r="F360" s="277"/>
      <c r="G360" s="277"/>
      <c r="H360" s="277"/>
      <c r="I360" s="277"/>
      <c r="J360" s="277"/>
      <c r="K360" s="277"/>
      <c r="L360" s="277"/>
      <c r="M360" s="277"/>
      <c r="N360" s="277"/>
      <c r="O360" s="277"/>
      <c r="P360" s="277"/>
    </row>
    <row r="361" spans="5:16">
      <c r="E361" s="277"/>
      <c r="F361" s="277"/>
      <c r="G361" s="277"/>
      <c r="H361" s="277"/>
      <c r="I361" s="277"/>
      <c r="J361" s="277"/>
      <c r="K361" s="277"/>
      <c r="L361" s="277"/>
      <c r="M361" s="277"/>
      <c r="N361" s="277"/>
      <c r="O361" s="277"/>
      <c r="P361" s="277"/>
    </row>
    <row r="362" spans="5:16">
      <c r="E362" s="277"/>
      <c r="F362" s="277"/>
      <c r="G362" s="277"/>
      <c r="H362" s="277"/>
      <c r="I362" s="277"/>
      <c r="J362" s="277"/>
      <c r="K362" s="277"/>
      <c r="L362" s="277"/>
      <c r="M362" s="277"/>
      <c r="N362" s="277"/>
      <c r="O362" s="277"/>
      <c r="P362" s="277"/>
    </row>
    <row r="363" spans="5:16">
      <c r="E363" s="277"/>
      <c r="F363" s="277"/>
      <c r="G363" s="277"/>
      <c r="H363" s="277"/>
      <c r="I363" s="277"/>
      <c r="J363" s="277"/>
      <c r="K363" s="277"/>
      <c r="L363" s="277"/>
      <c r="M363" s="277"/>
      <c r="N363" s="277"/>
      <c r="O363" s="277"/>
      <c r="P363" s="277"/>
    </row>
    <row r="364" spans="5:16">
      <c r="E364" s="277"/>
      <c r="F364" s="277"/>
      <c r="G364" s="277"/>
      <c r="H364" s="277"/>
      <c r="I364" s="277"/>
      <c r="J364" s="277"/>
      <c r="K364" s="277"/>
      <c r="L364" s="277"/>
      <c r="M364" s="277"/>
      <c r="N364" s="277"/>
      <c r="O364" s="277"/>
      <c r="P364" s="277"/>
    </row>
    <row r="365" spans="5:16">
      <c r="E365" s="277"/>
      <c r="F365" s="277"/>
      <c r="G365" s="277"/>
      <c r="H365" s="277"/>
      <c r="I365" s="277"/>
      <c r="J365" s="277"/>
      <c r="K365" s="277"/>
      <c r="L365" s="277"/>
      <c r="M365" s="277"/>
      <c r="N365" s="277"/>
      <c r="O365" s="277"/>
      <c r="P365" s="277"/>
    </row>
    <row r="366" spans="5:16">
      <c r="E366" s="277"/>
      <c r="F366" s="277"/>
      <c r="G366" s="277"/>
      <c r="H366" s="277"/>
      <c r="I366" s="277"/>
      <c r="J366" s="277"/>
      <c r="K366" s="277"/>
      <c r="L366" s="277"/>
      <c r="M366" s="277"/>
      <c r="N366" s="277"/>
      <c r="O366" s="277"/>
      <c r="P366" s="277"/>
    </row>
    <row r="367" spans="5:16">
      <c r="E367" s="277"/>
      <c r="F367" s="277"/>
      <c r="G367" s="277"/>
      <c r="H367" s="277"/>
      <c r="I367" s="277"/>
      <c r="J367" s="277"/>
      <c r="K367" s="277"/>
      <c r="L367" s="277"/>
      <c r="M367" s="277"/>
      <c r="N367" s="277"/>
      <c r="O367" s="277"/>
      <c r="P367" s="277"/>
    </row>
    <row r="368" spans="5:16">
      <c r="E368" s="277"/>
      <c r="F368" s="277"/>
      <c r="G368" s="277"/>
      <c r="H368" s="277"/>
      <c r="I368" s="277"/>
      <c r="J368" s="277"/>
      <c r="K368" s="277"/>
      <c r="L368" s="277"/>
      <c r="M368" s="277"/>
      <c r="N368" s="277"/>
      <c r="O368" s="277"/>
      <c r="P368" s="277"/>
    </row>
    <row r="369" spans="5:16">
      <c r="E369" s="277"/>
      <c r="F369" s="277"/>
      <c r="G369" s="277"/>
      <c r="H369" s="277"/>
      <c r="I369" s="277"/>
      <c r="J369" s="277"/>
      <c r="K369" s="277"/>
      <c r="L369" s="277"/>
      <c r="M369" s="277"/>
      <c r="N369" s="277"/>
      <c r="O369" s="277"/>
      <c r="P369" s="277"/>
    </row>
    <row r="370" spans="5:16">
      <c r="E370" s="277"/>
      <c r="F370" s="277"/>
      <c r="G370" s="277"/>
      <c r="H370" s="277"/>
      <c r="I370" s="277"/>
      <c r="J370" s="277"/>
      <c r="K370" s="277"/>
      <c r="L370" s="277"/>
      <c r="M370" s="277"/>
      <c r="N370" s="277"/>
      <c r="O370" s="277"/>
      <c r="P370" s="277"/>
    </row>
    <row r="371" spans="5:16">
      <c r="E371" s="277"/>
      <c r="F371" s="277"/>
      <c r="G371" s="277"/>
      <c r="H371" s="277"/>
      <c r="I371" s="277"/>
      <c r="J371" s="277"/>
      <c r="K371" s="277"/>
      <c r="L371" s="277"/>
      <c r="M371" s="277"/>
      <c r="N371" s="277"/>
      <c r="O371" s="277"/>
      <c r="P371" s="277"/>
    </row>
    <row r="372" spans="5:16">
      <c r="E372" s="277"/>
      <c r="F372" s="277"/>
      <c r="G372" s="277"/>
      <c r="H372" s="277"/>
      <c r="I372" s="277"/>
      <c r="J372" s="277"/>
      <c r="K372" s="277"/>
      <c r="L372" s="277"/>
      <c r="M372" s="277"/>
      <c r="N372" s="277"/>
      <c r="O372" s="277"/>
      <c r="P372" s="277"/>
    </row>
    <row r="373" spans="5:16">
      <c r="E373" s="277"/>
      <c r="F373" s="277"/>
      <c r="G373" s="277"/>
      <c r="H373" s="277"/>
      <c r="I373" s="277"/>
      <c r="J373" s="277"/>
      <c r="K373" s="277"/>
      <c r="L373" s="277"/>
      <c r="M373" s="277"/>
      <c r="N373" s="277"/>
      <c r="O373" s="277"/>
      <c r="P373" s="277"/>
    </row>
    <row r="374" spans="5:16">
      <c r="E374" s="277"/>
      <c r="F374" s="277"/>
      <c r="G374" s="277"/>
      <c r="H374" s="277"/>
      <c r="I374" s="277"/>
      <c r="J374" s="277"/>
      <c r="K374" s="277"/>
      <c r="L374" s="277"/>
      <c r="M374" s="277"/>
      <c r="N374" s="277"/>
      <c r="O374" s="277"/>
      <c r="P374" s="277"/>
    </row>
    <row r="375" spans="5:16">
      <c r="E375" s="277"/>
      <c r="F375" s="277"/>
      <c r="G375" s="277"/>
      <c r="H375" s="277"/>
      <c r="I375" s="277"/>
      <c r="J375" s="277"/>
      <c r="K375" s="277"/>
      <c r="L375" s="277"/>
      <c r="M375" s="277"/>
      <c r="N375" s="277"/>
      <c r="O375" s="277"/>
      <c r="P375" s="277"/>
    </row>
    <row r="376" spans="5:16">
      <c r="E376" s="277"/>
      <c r="F376" s="277"/>
      <c r="G376" s="277"/>
      <c r="H376" s="277"/>
      <c r="I376" s="277"/>
      <c r="J376" s="277"/>
      <c r="K376" s="277"/>
      <c r="L376" s="277"/>
      <c r="M376" s="277"/>
      <c r="N376" s="277"/>
      <c r="O376" s="277"/>
      <c r="P376" s="277"/>
    </row>
    <row r="377" spans="5:16">
      <c r="E377" s="277"/>
      <c r="F377" s="277"/>
      <c r="G377" s="277"/>
      <c r="H377" s="277"/>
      <c r="I377" s="277"/>
      <c r="J377" s="277"/>
      <c r="K377" s="277"/>
      <c r="L377" s="277"/>
      <c r="M377" s="277"/>
      <c r="N377" s="277"/>
      <c r="O377" s="277"/>
      <c r="P377" s="277"/>
    </row>
    <row r="378" spans="5:16">
      <c r="E378" s="277"/>
      <c r="F378" s="277"/>
      <c r="G378" s="277"/>
      <c r="H378" s="277"/>
      <c r="I378" s="277"/>
      <c r="J378" s="277"/>
      <c r="K378" s="277"/>
      <c r="L378" s="277"/>
      <c r="M378" s="277"/>
      <c r="N378" s="277"/>
      <c r="O378" s="277"/>
      <c r="P378" s="277"/>
    </row>
    <row r="379" spans="5:16">
      <c r="E379" s="277"/>
      <c r="F379" s="277"/>
      <c r="G379" s="277"/>
      <c r="H379" s="277"/>
      <c r="I379" s="277"/>
      <c r="J379" s="277"/>
      <c r="K379" s="277"/>
      <c r="L379" s="277"/>
      <c r="M379" s="277"/>
      <c r="N379" s="277"/>
      <c r="O379" s="277"/>
      <c r="P379" s="277"/>
    </row>
    <row r="380" spans="5:16">
      <c r="E380" s="277"/>
      <c r="F380" s="277"/>
      <c r="G380" s="277"/>
      <c r="H380" s="277"/>
      <c r="I380" s="277"/>
      <c r="J380" s="277"/>
      <c r="K380" s="277"/>
      <c r="L380" s="277"/>
      <c r="M380" s="277"/>
      <c r="N380" s="277"/>
      <c r="O380" s="277"/>
      <c r="P380" s="277"/>
    </row>
    <row r="381" spans="5:16">
      <c r="E381" s="277"/>
      <c r="F381" s="277"/>
      <c r="G381" s="277"/>
      <c r="H381" s="277"/>
      <c r="I381" s="277"/>
      <c r="J381" s="277"/>
      <c r="K381" s="277"/>
      <c r="L381" s="277"/>
      <c r="M381" s="277"/>
      <c r="N381" s="277"/>
      <c r="O381" s="277"/>
      <c r="P381" s="277"/>
    </row>
    <row r="382" spans="5:16">
      <c r="E382" s="277"/>
      <c r="F382" s="277"/>
      <c r="G382" s="277"/>
      <c r="H382" s="277"/>
      <c r="I382" s="277"/>
      <c r="J382" s="277"/>
      <c r="K382" s="277"/>
      <c r="L382" s="277"/>
      <c r="M382" s="277"/>
      <c r="N382" s="277"/>
      <c r="O382" s="277"/>
      <c r="P382" s="277"/>
    </row>
    <row r="383" spans="5:16">
      <c r="E383" s="277"/>
      <c r="F383" s="277"/>
      <c r="G383" s="277"/>
      <c r="H383" s="277"/>
      <c r="I383" s="277"/>
      <c r="J383" s="277"/>
      <c r="K383" s="277"/>
      <c r="L383" s="277"/>
      <c r="M383" s="277"/>
      <c r="N383" s="277"/>
      <c r="O383" s="277"/>
      <c r="P383" s="277"/>
    </row>
    <row r="384" spans="5:16">
      <c r="E384" s="277"/>
      <c r="F384" s="277"/>
      <c r="G384" s="277"/>
      <c r="H384" s="277"/>
      <c r="I384" s="277"/>
      <c r="J384" s="277"/>
      <c r="K384" s="277"/>
      <c r="L384" s="277"/>
      <c r="M384" s="277"/>
      <c r="N384" s="277"/>
      <c r="O384" s="277"/>
      <c r="P384" s="277"/>
    </row>
    <row r="385" spans="5:16">
      <c r="E385" s="277"/>
      <c r="F385" s="277"/>
      <c r="G385" s="277"/>
      <c r="H385" s="277"/>
      <c r="I385" s="277"/>
      <c r="J385" s="277"/>
      <c r="K385" s="277"/>
      <c r="L385" s="277"/>
      <c r="M385" s="277"/>
      <c r="N385" s="277"/>
      <c r="O385" s="277"/>
      <c r="P385" s="277"/>
    </row>
    <row r="386" spans="5:16">
      <c r="E386" s="277"/>
      <c r="F386" s="277"/>
      <c r="G386" s="277"/>
      <c r="H386" s="277"/>
      <c r="I386" s="277"/>
      <c r="J386" s="277"/>
      <c r="K386" s="277"/>
      <c r="L386" s="277"/>
      <c r="M386" s="277"/>
      <c r="N386" s="277"/>
      <c r="O386" s="277"/>
      <c r="P386" s="277"/>
    </row>
    <row r="387" spans="5:16">
      <c r="E387" s="277"/>
      <c r="F387" s="277"/>
      <c r="G387" s="277"/>
      <c r="H387" s="277"/>
      <c r="I387" s="277"/>
      <c r="J387" s="277"/>
      <c r="K387" s="277"/>
      <c r="L387" s="277"/>
      <c r="M387" s="277"/>
      <c r="N387" s="277"/>
      <c r="O387" s="277"/>
      <c r="P387" s="277"/>
    </row>
    <row r="388" spans="5:16">
      <c r="E388" s="277"/>
      <c r="F388" s="277"/>
      <c r="G388" s="277"/>
      <c r="H388" s="277"/>
      <c r="I388" s="277"/>
      <c r="J388" s="277"/>
      <c r="K388" s="277"/>
      <c r="L388" s="277"/>
      <c r="M388" s="277"/>
      <c r="N388" s="277"/>
      <c r="O388" s="277"/>
      <c r="P388" s="277"/>
    </row>
    <row r="389" spans="5:16">
      <c r="E389" s="277"/>
      <c r="F389" s="277"/>
      <c r="G389" s="277"/>
      <c r="H389" s="277"/>
      <c r="I389" s="277"/>
      <c r="J389" s="277"/>
      <c r="K389" s="277"/>
      <c r="L389" s="277"/>
      <c r="M389" s="277"/>
      <c r="N389" s="277"/>
      <c r="O389" s="277"/>
      <c r="P389" s="277"/>
    </row>
    <row r="390" spans="5:16">
      <c r="E390" s="277"/>
      <c r="F390" s="277"/>
      <c r="G390" s="277"/>
      <c r="H390" s="277"/>
      <c r="I390" s="277"/>
      <c r="J390" s="277"/>
      <c r="K390" s="277"/>
      <c r="L390" s="277"/>
      <c r="M390" s="277"/>
      <c r="N390" s="277"/>
      <c r="O390" s="277"/>
      <c r="P390" s="277"/>
    </row>
    <row r="391" spans="5:16">
      <c r="E391" s="277"/>
      <c r="F391" s="277"/>
      <c r="G391" s="277"/>
      <c r="H391" s="277"/>
      <c r="I391" s="277"/>
      <c r="J391" s="277"/>
      <c r="K391" s="277"/>
      <c r="L391" s="277"/>
      <c r="M391" s="277"/>
      <c r="N391" s="277"/>
      <c r="O391" s="277"/>
      <c r="P391" s="277"/>
    </row>
    <row r="392" spans="5:16">
      <c r="E392" s="277"/>
      <c r="F392" s="277"/>
      <c r="G392" s="277"/>
      <c r="H392" s="277"/>
      <c r="I392" s="277"/>
      <c r="J392" s="277"/>
      <c r="K392" s="277"/>
      <c r="L392" s="277"/>
      <c r="M392" s="277"/>
      <c r="N392" s="277"/>
      <c r="O392" s="277"/>
      <c r="P392" s="277"/>
    </row>
    <row r="393" spans="5:16">
      <c r="E393" s="277"/>
      <c r="F393" s="277"/>
      <c r="G393" s="277"/>
      <c r="H393" s="277"/>
      <c r="I393" s="277"/>
      <c r="J393" s="277"/>
      <c r="K393" s="277"/>
      <c r="L393" s="277"/>
      <c r="M393" s="277"/>
      <c r="N393" s="277"/>
      <c r="O393" s="277"/>
      <c r="P393" s="277"/>
    </row>
    <row r="394" spans="5:16">
      <c r="E394" s="277"/>
      <c r="F394" s="277"/>
      <c r="G394" s="277"/>
      <c r="H394" s="277"/>
      <c r="I394" s="277"/>
      <c r="J394" s="277"/>
      <c r="K394" s="277"/>
      <c r="L394" s="277"/>
      <c r="M394" s="277"/>
      <c r="N394" s="277"/>
      <c r="O394" s="277"/>
      <c r="P394" s="277"/>
    </row>
    <row r="395" spans="5:16">
      <c r="E395" s="277"/>
      <c r="F395" s="277"/>
      <c r="G395" s="277"/>
      <c r="H395" s="277"/>
      <c r="I395" s="277"/>
      <c r="J395" s="277"/>
      <c r="K395" s="277"/>
      <c r="L395" s="277"/>
      <c r="M395" s="277"/>
      <c r="N395" s="277"/>
      <c r="O395" s="277"/>
      <c r="P395" s="277"/>
    </row>
    <row r="396" spans="5:16">
      <c r="E396" s="277"/>
      <c r="F396" s="277"/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</row>
    <row r="397" spans="5:16">
      <c r="E397" s="277"/>
      <c r="F397" s="277"/>
      <c r="G397" s="277"/>
      <c r="H397" s="277"/>
      <c r="I397" s="277"/>
      <c r="J397" s="277"/>
      <c r="K397" s="277"/>
      <c r="L397" s="277"/>
      <c r="M397" s="277"/>
      <c r="N397" s="277"/>
      <c r="O397" s="277"/>
      <c r="P397" s="277"/>
    </row>
    <row r="398" spans="5:16">
      <c r="E398" s="277"/>
      <c r="F398" s="277"/>
      <c r="G398" s="277"/>
      <c r="H398" s="277"/>
      <c r="I398" s="277"/>
      <c r="J398" s="277"/>
      <c r="K398" s="277"/>
      <c r="L398" s="277"/>
      <c r="M398" s="277"/>
      <c r="N398" s="277"/>
      <c r="O398" s="277"/>
      <c r="P398" s="277"/>
    </row>
    <row r="399" spans="5:16">
      <c r="E399" s="277"/>
      <c r="F399" s="277"/>
      <c r="G399" s="277"/>
      <c r="H399" s="277"/>
      <c r="I399" s="277"/>
      <c r="J399" s="277"/>
      <c r="K399" s="277"/>
      <c r="L399" s="277"/>
      <c r="M399" s="277"/>
      <c r="N399" s="277"/>
      <c r="O399" s="277"/>
      <c r="P399" s="277"/>
    </row>
    <row r="400" spans="5:16">
      <c r="E400" s="277"/>
      <c r="F400" s="277"/>
      <c r="G400" s="277"/>
      <c r="H400" s="277"/>
      <c r="I400" s="277"/>
      <c r="J400" s="277"/>
      <c r="K400" s="277"/>
      <c r="L400" s="277"/>
      <c r="M400" s="277"/>
      <c r="N400" s="277"/>
      <c r="O400" s="277"/>
      <c r="P400" s="277"/>
    </row>
    <row r="401" spans="5:16">
      <c r="E401" s="277"/>
      <c r="F401" s="277"/>
      <c r="G401" s="277"/>
      <c r="H401" s="277"/>
      <c r="I401" s="277"/>
      <c r="J401" s="277"/>
      <c r="K401" s="277"/>
      <c r="L401" s="277"/>
      <c r="M401" s="277"/>
      <c r="N401" s="277"/>
      <c r="O401" s="277"/>
      <c r="P401" s="277"/>
    </row>
    <row r="402" spans="5:16">
      <c r="E402" s="277"/>
      <c r="F402" s="277"/>
      <c r="G402" s="277"/>
      <c r="H402" s="277"/>
      <c r="I402" s="277"/>
      <c r="J402" s="277"/>
      <c r="K402" s="277"/>
      <c r="L402" s="277"/>
      <c r="M402" s="277"/>
      <c r="N402" s="277"/>
      <c r="O402" s="277"/>
      <c r="P402" s="277"/>
    </row>
    <row r="403" spans="5:16">
      <c r="E403" s="277"/>
      <c r="F403" s="277"/>
      <c r="G403" s="277"/>
      <c r="H403" s="277"/>
      <c r="I403" s="277"/>
      <c r="J403" s="277"/>
      <c r="K403" s="277"/>
      <c r="L403" s="277"/>
      <c r="M403" s="277"/>
      <c r="N403" s="277"/>
      <c r="O403" s="277"/>
      <c r="P403" s="277"/>
    </row>
    <row r="404" spans="5:16">
      <c r="E404" s="277"/>
      <c r="F404" s="277"/>
      <c r="G404" s="277"/>
      <c r="H404" s="277"/>
      <c r="I404" s="277"/>
      <c r="J404" s="277"/>
      <c r="K404" s="277"/>
      <c r="L404" s="277"/>
      <c r="M404" s="277"/>
      <c r="N404" s="277"/>
      <c r="O404" s="277"/>
      <c r="P404" s="277"/>
    </row>
    <row r="405" spans="5:16">
      <c r="E405" s="277"/>
      <c r="F405" s="277"/>
      <c r="G405" s="277"/>
      <c r="H405" s="277"/>
      <c r="I405" s="277"/>
      <c r="J405" s="277"/>
      <c r="K405" s="277"/>
      <c r="L405" s="277"/>
      <c r="M405" s="277"/>
      <c r="N405" s="277"/>
      <c r="O405" s="277"/>
      <c r="P405" s="277"/>
    </row>
    <row r="406" spans="5:16">
      <c r="E406" s="277"/>
      <c r="F406" s="277"/>
      <c r="G406" s="277"/>
      <c r="H406" s="277"/>
      <c r="I406" s="277"/>
      <c r="J406" s="277"/>
      <c r="K406" s="277"/>
      <c r="L406" s="277"/>
      <c r="M406" s="277"/>
      <c r="N406" s="277"/>
      <c r="O406" s="277"/>
      <c r="P406" s="277"/>
    </row>
    <row r="407" spans="5:16">
      <c r="E407" s="277"/>
      <c r="F407" s="277"/>
      <c r="G407" s="277"/>
      <c r="H407" s="277"/>
      <c r="I407" s="277"/>
      <c r="J407" s="277"/>
      <c r="K407" s="277"/>
      <c r="L407" s="277"/>
      <c r="M407" s="277"/>
      <c r="N407" s="277"/>
      <c r="O407" s="277"/>
      <c r="P407" s="277"/>
    </row>
    <row r="408" spans="5:16">
      <c r="E408" s="277"/>
      <c r="F408" s="277"/>
      <c r="G408" s="277"/>
      <c r="H408" s="277"/>
      <c r="I408" s="277"/>
      <c r="J408" s="277"/>
      <c r="K408" s="277"/>
      <c r="L408" s="277"/>
      <c r="M408" s="277"/>
      <c r="N408" s="277"/>
      <c r="O408" s="277"/>
      <c r="P408" s="277"/>
    </row>
    <row r="409" spans="5:16">
      <c r="E409" s="277"/>
      <c r="F409" s="277"/>
      <c r="G409" s="277"/>
      <c r="H409" s="277"/>
      <c r="I409" s="277"/>
      <c r="J409" s="277"/>
      <c r="K409" s="277"/>
      <c r="L409" s="277"/>
      <c r="M409" s="277"/>
      <c r="N409" s="277"/>
      <c r="O409" s="277"/>
      <c r="P409" s="277"/>
    </row>
    <row r="410" spans="5:16">
      <c r="E410" s="277"/>
      <c r="F410" s="277"/>
      <c r="G410" s="277"/>
      <c r="H410" s="277"/>
      <c r="I410" s="277"/>
      <c r="J410" s="277"/>
      <c r="K410" s="277"/>
      <c r="L410" s="277"/>
      <c r="M410" s="277"/>
      <c r="N410" s="277"/>
      <c r="O410" s="277"/>
      <c r="P410" s="277"/>
    </row>
    <row r="411" spans="5:16">
      <c r="E411" s="277"/>
      <c r="F411" s="277"/>
      <c r="G411" s="277"/>
      <c r="H411" s="277"/>
      <c r="I411" s="277"/>
      <c r="J411" s="277"/>
      <c r="K411" s="277"/>
      <c r="L411" s="277"/>
      <c r="M411" s="277"/>
      <c r="N411" s="277"/>
      <c r="O411" s="277"/>
      <c r="P411" s="277"/>
    </row>
    <row r="412" spans="5:16">
      <c r="E412" s="277"/>
      <c r="F412" s="277"/>
      <c r="G412" s="277"/>
      <c r="H412" s="277"/>
      <c r="I412" s="277"/>
      <c r="J412" s="277"/>
      <c r="K412" s="277"/>
      <c r="L412" s="277"/>
      <c r="M412" s="277"/>
      <c r="N412" s="277"/>
      <c r="O412" s="277"/>
      <c r="P412" s="277"/>
    </row>
    <row r="413" spans="5:16">
      <c r="E413" s="277"/>
      <c r="F413" s="277"/>
      <c r="G413" s="277"/>
      <c r="H413" s="277"/>
      <c r="I413" s="277"/>
      <c r="J413" s="277"/>
      <c r="K413" s="277"/>
      <c r="L413" s="277"/>
      <c r="M413" s="277"/>
      <c r="N413" s="277"/>
      <c r="O413" s="277"/>
      <c r="P413" s="277"/>
    </row>
    <row r="414" spans="5:16">
      <c r="E414" s="277"/>
      <c r="F414" s="277"/>
      <c r="G414" s="277"/>
      <c r="H414" s="277"/>
      <c r="I414" s="277"/>
      <c r="J414" s="277"/>
      <c r="K414" s="277"/>
      <c r="L414" s="277"/>
      <c r="M414" s="277"/>
      <c r="N414" s="277"/>
      <c r="O414" s="277"/>
      <c r="P414" s="277"/>
    </row>
    <row r="415" spans="5:16">
      <c r="E415" s="277"/>
      <c r="F415" s="277"/>
      <c r="G415" s="277"/>
      <c r="H415" s="277"/>
      <c r="I415" s="277"/>
      <c r="J415" s="277"/>
      <c r="K415" s="277"/>
      <c r="L415" s="277"/>
      <c r="M415" s="277"/>
      <c r="N415" s="277"/>
      <c r="O415" s="277"/>
      <c r="P415" s="277"/>
    </row>
    <row r="416" spans="5:16">
      <c r="E416" s="277"/>
      <c r="F416" s="277"/>
      <c r="G416" s="277"/>
      <c r="H416" s="277"/>
      <c r="I416" s="277"/>
      <c r="J416" s="277"/>
      <c r="K416" s="277"/>
      <c r="L416" s="277"/>
      <c r="M416" s="277"/>
      <c r="N416" s="277"/>
      <c r="O416" s="277"/>
      <c r="P416" s="277"/>
    </row>
    <row r="417" spans="5:16">
      <c r="E417" s="277"/>
      <c r="F417" s="277"/>
      <c r="G417" s="277"/>
      <c r="H417" s="277"/>
      <c r="I417" s="277"/>
      <c r="J417" s="277"/>
      <c r="K417" s="277"/>
      <c r="L417" s="277"/>
      <c r="M417" s="277"/>
      <c r="N417" s="277"/>
      <c r="O417" s="277"/>
      <c r="P417" s="277"/>
    </row>
    <row r="418" spans="5:16">
      <c r="E418" s="277"/>
      <c r="F418" s="277"/>
      <c r="G418" s="277"/>
      <c r="H418" s="277"/>
      <c r="I418" s="277"/>
      <c r="J418" s="277"/>
      <c r="K418" s="277"/>
      <c r="L418" s="277"/>
      <c r="M418" s="277"/>
      <c r="N418" s="277"/>
      <c r="O418" s="277"/>
      <c r="P418" s="277"/>
    </row>
    <row r="419" spans="5:16">
      <c r="E419" s="277"/>
      <c r="F419" s="277"/>
      <c r="G419" s="277"/>
      <c r="H419" s="277"/>
      <c r="I419" s="277"/>
      <c r="J419" s="277"/>
      <c r="K419" s="277"/>
      <c r="L419" s="277"/>
      <c r="M419" s="277"/>
      <c r="N419" s="277"/>
      <c r="O419" s="277"/>
      <c r="P419" s="277"/>
    </row>
    <row r="420" spans="5:16">
      <c r="E420" s="277"/>
      <c r="F420" s="277"/>
      <c r="G420" s="277"/>
      <c r="H420" s="277"/>
      <c r="I420" s="277"/>
      <c r="J420" s="277"/>
      <c r="K420" s="277"/>
      <c r="L420" s="277"/>
      <c r="M420" s="277"/>
      <c r="N420" s="277"/>
      <c r="O420" s="277"/>
      <c r="P420" s="277"/>
    </row>
    <row r="421" spans="5:16">
      <c r="E421" s="277"/>
      <c r="F421" s="277"/>
      <c r="G421" s="277"/>
      <c r="H421" s="277"/>
      <c r="I421" s="277"/>
      <c r="J421" s="277"/>
      <c r="K421" s="277"/>
      <c r="L421" s="277"/>
      <c r="M421" s="277"/>
      <c r="N421" s="277"/>
      <c r="O421" s="277"/>
      <c r="P421" s="277"/>
    </row>
    <row r="422" spans="5:16">
      <c r="E422" s="277"/>
      <c r="F422" s="277"/>
      <c r="G422" s="277"/>
      <c r="H422" s="277"/>
      <c r="I422" s="277"/>
      <c r="J422" s="277"/>
      <c r="K422" s="277"/>
      <c r="L422" s="277"/>
      <c r="M422" s="277"/>
      <c r="N422" s="277"/>
      <c r="O422" s="277"/>
      <c r="P422" s="277"/>
    </row>
    <row r="423" spans="5:16">
      <c r="E423" s="277"/>
      <c r="F423" s="277"/>
      <c r="G423" s="277"/>
      <c r="H423" s="277"/>
      <c r="I423" s="277"/>
      <c r="J423" s="277"/>
      <c r="K423" s="277"/>
      <c r="L423" s="277"/>
      <c r="M423" s="277"/>
      <c r="N423" s="277"/>
      <c r="O423" s="277"/>
      <c r="P423" s="277"/>
    </row>
    <row r="424" spans="5:16">
      <c r="E424" s="277"/>
      <c r="F424" s="277"/>
      <c r="G424" s="277"/>
      <c r="H424" s="277"/>
      <c r="I424" s="277"/>
      <c r="J424" s="277"/>
      <c r="K424" s="277"/>
      <c r="L424" s="277"/>
      <c r="M424" s="277"/>
      <c r="N424" s="277"/>
      <c r="O424" s="277"/>
      <c r="P424" s="277"/>
    </row>
    <row r="425" spans="5:16">
      <c r="E425" s="277"/>
      <c r="F425" s="277"/>
      <c r="G425" s="277"/>
      <c r="H425" s="277"/>
      <c r="I425" s="277"/>
      <c r="J425" s="277"/>
      <c r="K425" s="277"/>
      <c r="L425" s="277"/>
      <c r="M425" s="277"/>
      <c r="N425" s="277"/>
      <c r="O425" s="277"/>
      <c r="P425" s="277"/>
    </row>
    <row r="426" spans="5:16">
      <c r="E426" s="277"/>
      <c r="F426" s="277"/>
      <c r="G426" s="277"/>
      <c r="H426" s="277"/>
      <c r="I426" s="277"/>
      <c r="J426" s="277"/>
      <c r="K426" s="277"/>
      <c r="L426" s="277"/>
      <c r="M426" s="277"/>
      <c r="N426" s="277"/>
      <c r="O426" s="277"/>
      <c r="P426" s="277"/>
    </row>
    <row r="427" spans="5:16">
      <c r="E427" s="277"/>
      <c r="F427" s="277"/>
      <c r="G427" s="277"/>
      <c r="H427" s="277"/>
      <c r="I427" s="277"/>
      <c r="J427" s="277"/>
      <c r="K427" s="277"/>
      <c r="L427" s="277"/>
      <c r="M427" s="277"/>
      <c r="N427" s="277"/>
      <c r="O427" s="277"/>
      <c r="P427" s="277"/>
    </row>
    <row r="428" spans="5:16">
      <c r="E428" s="277"/>
      <c r="F428" s="277"/>
      <c r="G428" s="277"/>
      <c r="H428" s="277"/>
      <c r="I428" s="277"/>
      <c r="J428" s="277"/>
      <c r="K428" s="277"/>
      <c r="L428" s="277"/>
      <c r="M428" s="277"/>
      <c r="N428" s="277"/>
      <c r="O428" s="277"/>
      <c r="P428" s="277"/>
    </row>
    <row r="429" spans="5:16">
      <c r="E429" s="277"/>
      <c r="F429" s="277"/>
      <c r="G429" s="277"/>
      <c r="H429" s="277"/>
      <c r="I429" s="277"/>
      <c r="J429" s="277"/>
      <c r="K429" s="277"/>
      <c r="L429" s="277"/>
      <c r="M429" s="277"/>
      <c r="N429" s="277"/>
      <c r="O429" s="277"/>
      <c r="P429" s="277"/>
    </row>
    <row r="430" spans="5:16">
      <c r="E430" s="277"/>
      <c r="F430" s="277"/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</row>
    <row r="431" spans="5:16">
      <c r="E431" s="277"/>
      <c r="F431" s="277"/>
      <c r="G431" s="277"/>
      <c r="H431" s="277"/>
      <c r="I431" s="277"/>
      <c r="J431" s="277"/>
      <c r="K431" s="277"/>
      <c r="L431" s="277"/>
      <c r="M431" s="277"/>
      <c r="N431" s="277"/>
      <c r="O431" s="277"/>
      <c r="P431" s="277"/>
    </row>
    <row r="432" spans="5:16">
      <c r="E432" s="277"/>
      <c r="F432" s="277"/>
      <c r="G432" s="277"/>
      <c r="H432" s="277"/>
      <c r="I432" s="277"/>
      <c r="J432" s="277"/>
      <c r="K432" s="277"/>
      <c r="L432" s="277"/>
      <c r="M432" s="277"/>
      <c r="N432" s="277"/>
      <c r="O432" s="277"/>
      <c r="P432" s="277"/>
    </row>
    <row r="433" spans="5:16">
      <c r="E433" s="277"/>
      <c r="F433" s="277"/>
      <c r="G433" s="277"/>
      <c r="H433" s="277"/>
      <c r="I433" s="277"/>
      <c r="J433" s="277"/>
      <c r="K433" s="277"/>
      <c r="L433" s="277"/>
      <c r="M433" s="277"/>
      <c r="N433" s="277"/>
      <c r="O433" s="277"/>
      <c r="P433" s="277"/>
    </row>
    <row r="434" spans="5:16">
      <c r="E434" s="277"/>
      <c r="F434" s="277"/>
      <c r="G434" s="277"/>
      <c r="H434" s="277"/>
      <c r="I434" s="277"/>
      <c r="J434" s="277"/>
      <c r="K434" s="277"/>
      <c r="L434" s="277"/>
      <c r="M434" s="277"/>
      <c r="N434" s="277"/>
      <c r="O434" s="277"/>
      <c r="P434" s="277"/>
    </row>
    <row r="435" spans="5:16">
      <c r="E435" s="277"/>
      <c r="F435" s="277"/>
      <c r="G435" s="277"/>
      <c r="H435" s="277"/>
      <c r="I435" s="277"/>
      <c r="J435" s="277"/>
      <c r="K435" s="277"/>
      <c r="L435" s="277"/>
      <c r="M435" s="277"/>
      <c r="N435" s="277"/>
      <c r="O435" s="277"/>
      <c r="P435" s="277"/>
    </row>
    <row r="436" spans="5:16">
      <c r="E436" s="277"/>
      <c r="F436" s="277"/>
      <c r="G436" s="277"/>
      <c r="H436" s="277"/>
      <c r="I436" s="277"/>
      <c r="J436" s="277"/>
      <c r="K436" s="277"/>
      <c r="L436" s="277"/>
      <c r="M436" s="277"/>
      <c r="N436" s="277"/>
      <c r="O436" s="277"/>
      <c r="P436" s="277"/>
    </row>
    <row r="437" spans="5:16">
      <c r="E437" s="277"/>
      <c r="F437" s="277"/>
      <c r="G437" s="277"/>
      <c r="H437" s="277"/>
      <c r="I437" s="277"/>
      <c r="J437" s="277"/>
      <c r="K437" s="277"/>
      <c r="L437" s="277"/>
      <c r="M437" s="277"/>
      <c r="N437" s="277"/>
      <c r="O437" s="277"/>
      <c r="P437" s="277"/>
    </row>
    <row r="438" spans="5:16">
      <c r="E438" s="277"/>
      <c r="F438" s="277"/>
      <c r="G438" s="277"/>
      <c r="H438" s="277"/>
      <c r="I438" s="277"/>
      <c r="J438" s="277"/>
      <c r="K438" s="277"/>
      <c r="L438" s="277"/>
      <c r="M438" s="277"/>
      <c r="N438" s="277"/>
      <c r="O438" s="277"/>
      <c r="P438" s="277"/>
    </row>
    <row r="439" spans="5:16">
      <c r="E439" s="277"/>
      <c r="F439" s="277"/>
      <c r="G439" s="277"/>
      <c r="H439" s="277"/>
      <c r="I439" s="277"/>
      <c r="J439" s="277"/>
      <c r="K439" s="277"/>
      <c r="L439" s="277"/>
      <c r="M439" s="277"/>
      <c r="N439" s="277"/>
      <c r="O439" s="277"/>
      <c r="P439" s="277"/>
    </row>
    <row r="440" spans="5:16">
      <c r="E440" s="277"/>
      <c r="F440" s="277"/>
      <c r="G440" s="277"/>
      <c r="H440" s="277"/>
      <c r="I440" s="277"/>
      <c r="J440" s="277"/>
      <c r="K440" s="277"/>
      <c r="L440" s="277"/>
      <c r="M440" s="277"/>
      <c r="N440" s="277"/>
      <c r="O440" s="277"/>
      <c r="P440" s="277"/>
    </row>
    <row r="441" spans="5:16">
      <c r="E441" s="277"/>
      <c r="F441" s="277"/>
      <c r="G441" s="277"/>
      <c r="H441" s="277"/>
      <c r="I441" s="277"/>
      <c r="J441" s="277"/>
      <c r="K441" s="277"/>
      <c r="L441" s="277"/>
      <c r="M441" s="277"/>
      <c r="N441" s="277"/>
      <c r="O441" s="277"/>
      <c r="P441" s="277"/>
    </row>
    <row r="442" spans="5:16">
      <c r="E442" s="277"/>
      <c r="F442" s="277"/>
      <c r="G442" s="277"/>
      <c r="H442" s="277"/>
      <c r="I442" s="277"/>
      <c r="J442" s="277"/>
      <c r="K442" s="277"/>
      <c r="L442" s="277"/>
      <c r="M442" s="277"/>
      <c r="N442" s="277"/>
      <c r="O442" s="277"/>
      <c r="P442" s="277"/>
    </row>
    <row r="443" spans="5:16">
      <c r="E443" s="277"/>
      <c r="F443" s="277"/>
      <c r="G443" s="277"/>
      <c r="H443" s="277"/>
      <c r="I443" s="277"/>
      <c r="J443" s="277"/>
      <c r="K443" s="277"/>
      <c r="L443" s="277"/>
      <c r="M443" s="277"/>
      <c r="N443" s="277"/>
      <c r="O443" s="277"/>
      <c r="P443" s="277"/>
    </row>
    <row r="444" spans="5:16">
      <c r="E444" s="277"/>
      <c r="F444" s="277"/>
      <c r="G444" s="277"/>
      <c r="H444" s="277"/>
      <c r="I444" s="277"/>
      <c r="J444" s="277"/>
      <c r="K444" s="277"/>
      <c r="L444" s="277"/>
      <c r="M444" s="277"/>
      <c r="N444" s="277"/>
      <c r="O444" s="277"/>
      <c r="P444" s="277"/>
    </row>
    <row r="445" spans="5:16">
      <c r="E445" s="277"/>
      <c r="F445" s="277"/>
      <c r="G445" s="277"/>
      <c r="H445" s="277"/>
      <c r="I445" s="277"/>
      <c r="J445" s="277"/>
      <c r="K445" s="277"/>
      <c r="L445" s="277"/>
      <c r="M445" s="277"/>
      <c r="N445" s="277"/>
      <c r="O445" s="277"/>
      <c r="P445" s="277"/>
    </row>
    <row r="446" spans="5:16">
      <c r="E446" s="277"/>
      <c r="F446" s="277"/>
      <c r="G446" s="277"/>
      <c r="H446" s="277"/>
      <c r="I446" s="277"/>
      <c r="J446" s="277"/>
      <c r="K446" s="277"/>
      <c r="L446" s="277"/>
      <c r="M446" s="277"/>
      <c r="N446" s="277"/>
      <c r="O446" s="277"/>
      <c r="P446" s="277"/>
    </row>
    <row r="447" spans="5:16">
      <c r="E447" s="277"/>
      <c r="F447" s="277"/>
      <c r="G447" s="277"/>
      <c r="H447" s="277"/>
      <c r="I447" s="277"/>
      <c r="J447" s="277"/>
      <c r="K447" s="277"/>
      <c r="L447" s="277"/>
      <c r="M447" s="277"/>
      <c r="N447" s="277"/>
      <c r="O447" s="277"/>
      <c r="P447" s="277"/>
    </row>
    <row r="448" spans="5:16">
      <c r="E448" s="277"/>
      <c r="F448" s="277"/>
      <c r="G448" s="277"/>
      <c r="H448" s="277"/>
      <c r="I448" s="277"/>
      <c r="J448" s="277"/>
      <c r="K448" s="277"/>
      <c r="L448" s="277"/>
      <c r="M448" s="277"/>
      <c r="N448" s="277"/>
      <c r="O448" s="277"/>
      <c r="P448" s="277"/>
    </row>
    <row r="449" spans="5:16">
      <c r="E449" s="277"/>
      <c r="F449" s="277"/>
      <c r="G449" s="277"/>
      <c r="H449" s="277"/>
      <c r="I449" s="277"/>
      <c r="J449" s="277"/>
      <c r="K449" s="277"/>
      <c r="L449" s="277"/>
      <c r="M449" s="277"/>
      <c r="N449" s="277"/>
      <c r="O449" s="277"/>
      <c r="P449" s="277"/>
    </row>
    <row r="450" spans="5:16">
      <c r="E450" s="277"/>
      <c r="F450" s="277"/>
      <c r="G450" s="277"/>
      <c r="H450" s="277"/>
      <c r="I450" s="277"/>
      <c r="J450" s="277"/>
      <c r="K450" s="277"/>
      <c r="L450" s="277"/>
      <c r="M450" s="277"/>
      <c r="N450" s="277"/>
      <c r="O450" s="277"/>
      <c r="P450" s="277"/>
    </row>
    <row r="451" spans="5:16">
      <c r="E451" s="277"/>
      <c r="F451" s="277"/>
      <c r="G451" s="277"/>
      <c r="H451" s="277"/>
      <c r="I451" s="277"/>
      <c r="J451" s="277"/>
      <c r="K451" s="277"/>
      <c r="L451" s="277"/>
      <c r="M451" s="277"/>
      <c r="N451" s="277"/>
      <c r="O451" s="277"/>
      <c r="P451" s="277"/>
    </row>
    <row r="452" spans="5:16">
      <c r="E452" s="277"/>
      <c r="F452" s="277"/>
      <c r="G452" s="277"/>
      <c r="H452" s="277"/>
      <c r="I452" s="277"/>
      <c r="J452" s="277"/>
      <c r="K452" s="277"/>
      <c r="L452" s="277"/>
      <c r="M452" s="277"/>
      <c r="N452" s="277"/>
      <c r="O452" s="277"/>
      <c r="P452" s="277"/>
    </row>
    <row r="453" spans="5:16">
      <c r="E453" s="277"/>
      <c r="F453" s="277"/>
      <c r="G453" s="277"/>
      <c r="H453" s="277"/>
      <c r="I453" s="277"/>
      <c r="J453" s="277"/>
      <c r="K453" s="277"/>
      <c r="L453" s="277"/>
      <c r="M453" s="277"/>
      <c r="N453" s="277"/>
      <c r="O453" s="277"/>
      <c r="P453" s="277"/>
    </row>
    <row r="454" spans="5:16">
      <c r="E454" s="277"/>
      <c r="F454" s="277"/>
      <c r="G454" s="277"/>
      <c r="H454" s="277"/>
      <c r="I454" s="277"/>
      <c r="J454" s="277"/>
      <c r="K454" s="277"/>
      <c r="L454" s="277"/>
      <c r="M454" s="277"/>
      <c r="N454" s="277"/>
      <c r="O454" s="277"/>
      <c r="P454" s="277"/>
    </row>
    <row r="455" spans="5:16">
      <c r="E455" s="277"/>
      <c r="F455" s="277"/>
      <c r="G455" s="277"/>
      <c r="H455" s="277"/>
      <c r="I455" s="277"/>
      <c r="J455" s="277"/>
      <c r="K455" s="277"/>
      <c r="L455" s="277"/>
      <c r="M455" s="277"/>
      <c r="N455" s="277"/>
      <c r="O455" s="277"/>
      <c r="P455" s="277"/>
    </row>
    <row r="456" spans="5:16">
      <c r="E456" s="277"/>
      <c r="F456" s="277"/>
      <c r="G456" s="277"/>
      <c r="H456" s="277"/>
      <c r="I456" s="277"/>
      <c r="J456" s="277"/>
      <c r="K456" s="277"/>
      <c r="L456" s="277"/>
      <c r="M456" s="277"/>
      <c r="N456" s="277"/>
      <c r="O456" s="277"/>
      <c r="P456" s="277"/>
    </row>
    <row r="457" spans="5:16">
      <c r="E457" s="277"/>
      <c r="F457" s="277"/>
      <c r="G457" s="277"/>
      <c r="H457" s="277"/>
      <c r="I457" s="277"/>
      <c r="J457" s="277"/>
      <c r="K457" s="277"/>
      <c r="L457" s="277"/>
      <c r="M457" s="277"/>
      <c r="N457" s="277"/>
      <c r="O457" s="277"/>
      <c r="P457" s="277"/>
    </row>
    <row r="458" spans="5:16">
      <c r="E458" s="277"/>
      <c r="F458" s="277"/>
      <c r="G458" s="277"/>
      <c r="H458" s="277"/>
      <c r="I458" s="277"/>
      <c r="J458" s="277"/>
      <c r="K458" s="277"/>
      <c r="L458" s="277"/>
      <c r="M458" s="277"/>
      <c r="N458" s="277"/>
      <c r="O458" s="277"/>
      <c r="P458" s="277"/>
    </row>
    <row r="459" spans="5:16">
      <c r="E459" s="277"/>
      <c r="F459" s="277"/>
      <c r="G459" s="277"/>
      <c r="H459" s="277"/>
      <c r="I459" s="277"/>
      <c r="J459" s="277"/>
      <c r="K459" s="277"/>
      <c r="L459" s="277"/>
      <c r="M459" s="277"/>
      <c r="N459" s="277"/>
      <c r="O459" s="277"/>
      <c r="P459" s="277"/>
    </row>
    <row r="460" spans="5:16">
      <c r="E460" s="277"/>
      <c r="F460" s="277"/>
      <c r="G460" s="277"/>
      <c r="H460" s="277"/>
      <c r="I460" s="277"/>
      <c r="J460" s="277"/>
      <c r="K460" s="277"/>
      <c r="L460" s="277"/>
      <c r="M460" s="277"/>
      <c r="N460" s="277"/>
      <c r="O460" s="277"/>
      <c r="P460" s="277"/>
    </row>
    <row r="461" spans="5:16">
      <c r="E461" s="277"/>
      <c r="F461" s="277"/>
      <c r="G461" s="277"/>
      <c r="H461" s="277"/>
      <c r="I461" s="277"/>
      <c r="J461" s="277"/>
      <c r="K461" s="277"/>
      <c r="L461" s="277"/>
      <c r="M461" s="277"/>
      <c r="N461" s="277"/>
      <c r="O461" s="277"/>
      <c r="P461" s="277"/>
    </row>
    <row r="462" spans="5:16">
      <c r="E462" s="277"/>
      <c r="F462" s="277"/>
      <c r="G462" s="277"/>
      <c r="H462" s="277"/>
      <c r="I462" s="277"/>
      <c r="J462" s="277"/>
      <c r="K462" s="277"/>
      <c r="L462" s="277"/>
      <c r="M462" s="277"/>
      <c r="N462" s="277"/>
      <c r="O462" s="277"/>
      <c r="P462" s="277"/>
    </row>
    <row r="463" spans="5:16">
      <c r="E463" s="277"/>
      <c r="F463" s="277"/>
      <c r="G463" s="277"/>
      <c r="H463" s="277"/>
      <c r="I463" s="277"/>
      <c r="J463" s="277"/>
      <c r="K463" s="277"/>
      <c r="L463" s="277"/>
      <c r="M463" s="277"/>
      <c r="N463" s="277"/>
      <c r="O463" s="277"/>
      <c r="P463" s="277"/>
    </row>
    <row r="464" spans="5:16">
      <c r="E464" s="277"/>
      <c r="F464" s="277"/>
      <c r="G464" s="277"/>
      <c r="H464" s="277"/>
      <c r="I464" s="277"/>
      <c r="J464" s="277"/>
      <c r="K464" s="277"/>
      <c r="L464" s="277"/>
      <c r="M464" s="277"/>
      <c r="N464" s="277"/>
      <c r="O464" s="277"/>
      <c r="P464" s="277"/>
    </row>
    <row r="465" spans="5:16">
      <c r="E465" s="277"/>
      <c r="F465" s="277"/>
      <c r="G465" s="277"/>
      <c r="H465" s="277"/>
      <c r="I465" s="277"/>
      <c r="J465" s="277"/>
      <c r="K465" s="277"/>
      <c r="L465" s="277"/>
      <c r="M465" s="277"/>
      <c r="N465" s="277"/>
      <c r="O465" s="277"/>
      <c r="P465" s="277"/>
    </row>
  </sheetData>
  <printOptions horizontalCentered="1"/>
  <pageMargins left="0.45" right="0.45" top="0.75" bottom="0.75" header="0.3" footer="0.3"/>
  <pageSetup scale="89" orientation="portrait" r:id="rId1"/>
  <headerFooter>
    <oddFooter xml:space="preserve">&amp;CSchedule 8
</oddFooter>
  </headerFooter>
  <customProperties>
    <customPr name="_pios_id" r:id="rId2"/>
    <customPr name="EpmWorksheetKeyString_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0129-6EB6-4936-A19F-04EC07512295}">
  <sheetPr>
    <pageSetUpPr fitToPage="1"/>
  </sheetPr>
  <dimension ref="A1:V142"/>
  <sheetViews>
    <sheetView view="pageBreakPreview" zoomScale="60" zoomScaleNormal="100" workbookViewId="0">
      <selection activeCell="J36" sqref="J36"/>
    </sheetView>
  </sheetViews>
  <sheetFormatPr defaultColWidth="9.140625" defaultRowHeight="15.75"/>
  <cols>
    <col min="1" max="1" width="4.85546875" style="3" customWidth="1"/>
    <col min="2" max="2" width="23.42578125" style="3" customWidth="1"/>
    <col min="3" max="3" width="10.7109375" style="3" customWidth="1"/>
    <col min="4" max="4" width="15" style="3" customWidth="1"/>
    <col min="5" max="5" width="21" style="3" customWidth="1"/>
    <col min="6" max="6" width="17.7109375" style="3" customWidth="1"/>
    <col min="7" max="7" width="11.28515625" style="3" customWidth="1"/>
    <col min="8" max="8" width="13.5703125" style="3" customWidth="1"/>
    <col min="9" max="9" width="18" style="3" customWidth="1"/>
    <col min="10" max="10" width="16" style="3" customWidth="1"/>
    <col min="11" max="11" width="13.140625" style="3" customWidth="1"/>
    <col min="12" max="12" width="15.42578125" style="3" customWidth="1"/>
    <col min="13" max="15" width="13.140625" style="3" customWidth="1"/>
    <col min="16" max="16" width="19.5703125" style="3" customWidth="1"/>
    <col min="17" max="17" width="16.5703125" style="3" customWidth="1"/>
    <col min="18" max="18" width="21.85546875" style="3" customWidth="1"/>
    <col min="19" max="19" width="14.85546875" style="3" customWidth="1"/>
    <col min="20" max="20" width="18.42578125" style="3" customWidth="1"/>
    <col min="21" max="21" width="11.85546875" style="3" customWidth="1"/>
    <col min="22" max="22" width="20.7109375" style="695" customWidth="1"/>
    <col min="23" max="23" width="11.5703125" style="3" customWidth="1"/>
    <col min="24" max="24" width="9.140625" style="3"/>
    <col min="25" max="25" width="13" style="3" customWidth="1"/>
    <col min="26" max="16384" width="9.140625" style="3"/>
  </cols>
  <sheetData>
    <row r="1" spans="1:22" ht="18.75">
      <c r="A1" s="87" t="s">
        <v>59</v>
      </c>
      <c r="C1" s="48"/>
      <c r="D1" s="48"/>
      <c r="K1" s="48"/>
      <c r="L1" s="5"/>
      <c r="M1" s="48"/>
      <c r="N1" s="48"/>
      <c r="O1" s="48"/>
      <c r="P1" s="643"/>
      <c r="Q1" s="644"/>
      <c r="R1" s="48"/>
      <c r="S1" s="48"/>
      <c r="T1" s="48"/>
      <c r="U1" s="48"/>
      <c r="V1" s="645"/>
    </row>
    <row r="2" spans="1:22" ht="18.75">
      <c r="A2" s="19" t="s">
        <v>1884</v>
      </c>
      <c r="C2" s="646"/>
      <c r="D2" s="646"/>
      <c r="E2" s="646"/>
      <c r="F2" s="646"/>
      <c r="G2" s="646"/>
      <c r="H2" s="646"/>
      <c r="I2" s="646"/>
      <c r="J2" s="646"/>
      <c r="K2" s="48"/>
      <c r="L2" s="48"/>
      <c r="M2" s="48"/>
      <c r="N2" s="48"/>
      <c r="O2" s="48"/>
      <c r="P2" s="643" t="s">
        <v>1863</v>
      </c>
      <c r="Q2" s="644">
        <v>21431</v>
      </c>
      <c r="R2" s="647"/>
      <c r="S2" s="648"/>
      <c r="T2" s="48"/>
      <c r="U2" s="48"/>
      <c r="V2" s="645"/>
    </row>
    <row r="3" spans="1:22" ht="18.75">
      <c r="A3" s="649" t="s">
        <v>60</v>
      </c>
      <c r="C3" s="650"/>
      <c r="D3" s="650"/>
      <c r="E3" s="651"/>
      <c r="F3" s="651"/>
      <c r="G3" s="651"/>
      <c r="H3" s="651"/>
      <c r="I3" s="651"/>
      <c r="J3" s="651"/>
      <c r="K3" s="48"/>
      <c r="L3" s="143"/>
      <c r="M3" s="48"/>
      <c r="N3" s="48"/>
      <c r="O3" s="48"/>
      <c r="P3" s="643" t="s">
        <v>1862</v>
      </c>
      <c r="Q3" s="652">
        <f>P51</f>
        <v>21869.563769785826</v>
      </c>
      <c r="S3" s="648"/>
      <c r="T3" s="48"/>
      <c r="U3" s="48"/>
      <c r="V3" s="653"/>
    </row>
    <row r="4" spans="1:22">
      <c r="B4" s="650"/>
      <c r="C4" s="650"/>
      <c r="D4" s="650"/>
      <c r="E4" s="654"/>
      <c r="F4" s="654"/>
      <c r="G4" s="654"/>
      <c r="H4" s="654"/>
      <c r="I4" s="654"/>
      <c r="J4" s="654"/>
      <c r="K4" s="751" t="s">
        <v>1891</v>
      </c>
      <c r="L4" s="50" t="s">
        <v>1859</v>
      </c>
      <c r="M4" s="655"/>
      <c r="N4" s="50">
        <v>2024</v>
      </c>
      <c r="O4" s="50">
        <v>2024</v>
      </c>
      <c r="P4" s="643"/>
      <c r="Q4" s="644"/>
      <c r="R4" s="11"/>
      <c r="S4" s="656"/>
      <c r="T4" s="48"/>
      <c r="U4" s="48"/>
      <c r="V4" s="657"/>
    </row>
    <row r="5" spans="1:22">
      <c r="B5" s="650"/>
      <c r="C5" s="650" t="s">
        <v>14</v>
      </c>
      <c r="D5" s="658" t="s">
        <v>1877</v>
      </c>
      <c r="E5" s="737">
        <v>2022</v>
      </c>
      <c r="F5" s="738">
        <v>2022</v>
      </c>
      <c r="G5" s="9">
        <v>2021</v>
      </c>
      <c r="H5" s="738">
        <v>2022</v>
      </c>
      <c r="I5" s="738" t="s">
        <v>1890</v>
      </c>
      <c r="J5" s="738" t="s">
        <v>1892</v>
      </c>
      <c r="K5" s="746" t="s">
        <v>1828</v>
      </c>
      <c r="L5" s="9" t="s">
        <v>175</v>
      </c>
      <c r="M5" s="9" t="s">
        <v>1791</v>
      </c>
      <c r="N5" s="659" t="s">
        <v>1797</v>
      </c>
      <c r="O5" s="659" t="s">
        <v>174</v>
      </c>
      <c r="P5" s="9" t="s">
        <v>1861</v>
      </c>
      <c r="Q5" s="48"/>
      <c r="R5" s="11"/>
      <c r="S5" s="9" t="s">
        <v>1893</v>
      </c>
      <c r="T5" s="3" t="s">
        <v>1893</v>
      </c>
      <c r="U5" s="48"/>
      <c r="V5" s="657"/>
    </row>
    <row r="6" spans="1:22">
      <c r="B6" s="660" t="s">
        <v>138</v>
      </c>
      <c r="C6" s="4"/>
      <c r="D6" s="4" t="s">
        <v>1765</v>
      </c>
      <c r="E6" s="739" t="s">
        <v>1840</v>
      </c>
      <c r="F6" s="740" t="s">
        <v>1839</v>
      </c>
      <c r="G6" s="4" t="s">
        <v>1835</v>
      </c>
      <c r="H6" s="740" t="s">
        <v>1842</v>
      </c>
      <c r="I6" s="740" t="s">
        <v>1841</v>
      </c>
      <c r="J6" s="740" t="s">
        <v>1843</v>
      </c>
      <c r="K6" s="747" t="s">
        <v>1829</v>
      </c>
      <c r="L6" s="661" t="s">
        <v>1806</v>
      </c>
      <c r="M6" s="662" t="s">
        <v>1860</v>
      </c>
      <c r="N6" s="661" t="s">
        <v>1806</v>
      </c>
      <c r="O6" s="661" t="s">
        <v>139</v>
      </c>
      <c r="P6" s="4" t="s">
        <v>1250</v>
      </c>
      <c r="Q6" s="48"/>
      <c r="R6" s="11"/>
      <c r="S6" s="4" t="s">
        <v>1804</v>
      </c>
      <c r="T6" s="663" t="s">
        <v>1805</v>
      </c>
      <c r="U6" s="48"/>
      <c r="V6" s="657"/>
    </row>
    <row r="7" spans="1:22">
      <c r="B7" s="664" t="s">
        <v>140</v>
      </c>
      <c r="C7" s="664"/>
      <c r="D7" s="7">
        <f>Valuation!J37</f>
        <v>1379617.0229953353</v>
      </c>
      <c r="E7" s="741">
        <f>SUM(E9:E50)</f>
        <v>1043416.987632827</v>
      </c>
      <c r="F7" s="741">
        <f>SUM(F9:F50)</f>
        <v>1051941</v>
      </c>
      <c r="G7" s="7"/>
      <c r="H7" s="741"/>
      <c r="I7" s="741"/>
      <c r="J7" s="741"/>
      <c r="K7" s="748"/>
      <c r="L7" s="665">
        <f>SUM(L9:L50)</f>
        <v>1361565.8144162735</v>
      </c>
      <c r="M7" s="665">
        <f>SUM(M9:M50)</f>
        <v>21348.679536826279</v>
      </c>
      <c r="N7" s="665"/>
      <c r="O7" s="665">
        <f>SUM(O9:O50)</f>
        <v>520.88423295954374</v>
      </c>
      <c r="P7" s="654">
        <f>SUM(P9:P50)</f>
        <v>21869.563769785826</v>
      </c>
      <c r="Q7" s="654"/>
      <c r="R7" s="11"/>
      <c r="T7" s="48"/>
      <c r="U7" s="48"/>
      <c r="V7" s="653"/>
    </row>
    <row r="8" spans="1:22" ht="17.25" customHeight="1">
      <c r="B8" s="666"/>
      <c r="C8" s="666"/>
      <c r="D8" s="666"/>
      <c r="E8" s="742"/>
      <c r="F8" s="742"/>
      <c r="H8" s="742"/>
      <c r="I8" s="742"/>
      <c r="J8" s="742"/>
      <c r="K8" s="749"/>
      <c r="L8" s="668"/>
      <c r="M8" s="667"/>
      <c r="N8" s="667"/>
      <c r="O8" s="667"/>
      <c r="P8" s="669"/>
      <c r="Q8" s="48"/>
      <c r="R8" s="11"/>
      <c r="S8" s="48"/>
      <c r="T8" s="48"/>
      <c r="U8" s="48"/>
      <c r="V8" s="657"/>
    </row>
    <row r="9" spans="1:22">
      <c r="A9" s="50" t="s">
        <v>103</v>
      </c>
      <c r="B9" s="3" t="s">
        <v>161</v>
      </c>
      <c r="C9" s="670">
        <f>'Alloc. Factors'!C8</f>
        <v>1.1189574519956675E-3</v>
      </c>
      <c r="D9" s="671">
        <f t="shared" ref="D9:D50" si="0">C9*$D$7</f>
        <v>1543.7327487807086</v>
      </c>
      <c r="E9" s="743">
        <v>1188.3193896467988</v>
      </c>
      <c r="F9" s="743">
        <v>1255</v>
      </c>
      <c r="G9" s="672">
        <v>1095</v>
      </c>
      <c r="H9" s="743">
        <v>0</v>
      </c>
      <c r="I9" s="743">
        <v>17</v>
      </c>
      <c r="J9" s="743">
        <v>0</v>
      </c>
      <c r="K9" s="750">
        <f t="shared" ref="K9:K51" si="1">(F9-E9)/E9</f>
        <v>5.6113374008834913E-2</v>
      </c>
      <c r="L9" s="674">
        <f t="shared" ref="L9:L50" si="2">D9*(1+K9)</f>
        <v>1630.3568018827273</v>
      </c>
      <c r="M9" s="665">
        <f>L9*(S9*0.98)</f>
        <v>21.886981723905102</v>
      </c>
      <c r="N9" s="665">
        <f>H9*1.06</f>
        <v>0</v>
      </c>
      <c r="O9" s="674">
        <f>N9*T9</f>
        <v>0</v>
      </c>
      <c r="P9" s="675">
        <f>M9+O9</f>
        <v>21.886981723905102</v>
      </c>
      <c r="Q9" s="3" t="s">
        <v>161</v>
      </c>
      <c r="R9" s="11"/>
      <c r="S9" s="676">
        <v>1.3698630136986301E-2</v>
      </c>
      <c r="T9" s="677"/>
      <c r="U9" s="48"/>
      <c r="V9" s="678"/>
    </row>
    <row r="10" spans="1:22">
      <c r="A10" s="50" t="s">
        <v>104</v>
      </c>
      <c r="B10" s="3" t="s">
        <v>141</v>
      </c>
      <c r="C10" s="670">
        <f>'Alloc. Factors'!C9</f>
        <v>3.7652171638876693E-2</v>
      </c>
      <c r="D10" s="671">
        <f t="shared" si="0"/>
        <v>51945.576945736459</v>
      </c>
      <c r="E10" s="743">
        <v>39986.154559306422</v>
      </c>
      <c r="F10" s="743">
        <v>40072</v>
      </c>
      <c r="G10" s="672">
        <v>20162</v>
      </c>
      <c r="H10" s="743">
        <v>974</v>
      </c>
      <c r="I10" s="743">
        <v>466</v>
      </c>
      <c r="J10" s="743">
        <v>15</v>
      </c>
      <c r="K10" s="750">
        <f t="shared" si="1"/>
        <v>2.1468791295310547E-3</v>
      </c>
      <c r="L10" s="674">
        <f t="shared" si="2"/>
        <v>52057.097820752715</v>
      </c>
      <c r="M10" s="665">
        <f t="shared" ref="M10:M50" si="3">L10*(S10*0.98)</f>
        <v>609.80286495910013</v>
      </c>
      <c r="N10" s="665">
        <f>H10*1.06</f>
        <v>1032.44</v>
      </c>
      <c r="O10" s="674">
        <f t="shared" ref="O10:O50" si="4">N10*T10</f>
        <v>16.113890746934228</v>
      </c>
      <c r="P10" s="679">
        <f t="shared" ref="P10:P50" si="5">M10+O10</f>
        <v>625.91675570603434</v>
      </c>
      <c r="Q10" s="3" t="s">
        <v>141</v>
      </c>
      <c r="R10" s="11"/>
      <c r="S10" s="676">
        <v>1.1953179248090468E-2</v>
      </c>
      <c r="T10" s="677">
        <v>1.560758082497213E-2</v>
      </c>
      <c r="U10" s="48"/>
      <c r="V10" s="678"/>
    </row>
    <row r="11" spans="1:22">
      <c r="A11" s="50" t="s">
        <v>105</v>
      </c>
      <c r="B11" s="3" t="s">
        <v>142</v>
      </c>
      <c r="C11" s="670">
        <f>'Alloc. Factors'!C10</f>
        <v>7.2245213244018908E-4</v>
      </c>
      <c r="D11" s="671">
        <f t="shared" si="0"/>
        <v>996.70726021376538</v>
      </c>
      <c r="E11" s="743">
        <v>767.23549723826113</v>
      </c>
      <c r="F11" s="743">
        <v>793</v>
      </c>
      <c r="G11" s="672">
        <v>729</v>
      </c>
      <c r="H11" s="743">
        <v>22</v>
      </c>
      <c r="I11" s="743">
        <v>12</v>
      </c>
      <c r="J11" s="743">
        <v>1</v>
      </c>
      <c r="K11" s="750">
        <f t="shared" si="1"/>
        <v>3.3580957677897733E-2</v>
      </c>
      <c r="L11" s="674">
        <f t="shared" si="2"/>
        <v>1030.1776445362573</v>
      </c>
      <c r="M11" s="665">
        <f t="shared" si="3"/>
        <v>15.774595181961439</v>
      </c>
      <c r="N11" s="665">
        <f t="shared" ref="N11:N50" si="6">H11*1.06</f>
        <v>23.32</v>
      </c>
      <c r="O11" s="674">
        <f t="shared" si="4"/>
        <v>1.1660000000000001</v>
      </c>
      <c r="P11" s="679">
        <f t="shared" si="5"/>
        <v>16.940595181961438</v>
      </c>
      <c r="Q11" s="3" t="s">
        <v>142</v>
      </c>
      <c r="R11" s="11"/>
      <c r="S11" s="676">
        <v>1.5625E-2</v>
      </c>
      <c r="T11" s="677">
        <v>0.05</v>
      </c>
      <c r="U11" s="48"/>
      <c r="V11" s="678"/>
    </row>
    <row r="12" spans="1:22">
      <c r="A12" s="50" t="s">
        <v>106</v>
      </c>
      <c r="B12" s="3" t="s">
        <v>1159</v>
      </c>
      <c r="C12" s="670">
        <f>'Alloc. Factors'!C11</f>
        <v>1.2555240803641052E-3</v>
      </c>
      <c r="D12" s="671">
        <f t="shared" si="0"/>
        <v>1732.1423940508828</v>
      </c>
      <c r="E12" s="744">
        <v>1333.3515105549416</v>
      </c>
      <c r="F12" s="744">
        <v>1305</v>
      </c>
      <c r="G12" s="645">
        <v>1160</v>
      </c>
      <c r="H12" s="744">
        <v>0</v>
      </c>
      <c r="I12" s="743">
        <v>21</v>
      </c>
      <c r="J12" s="743">
        <v>0</v>
      </c>
      <c r="K12" s="750">
        <f t="shared" si="1"/>
        <v>-2.1263343034832322E-2</v>
      </c>
      <c r="L12" s="674">
        <f t="shared" si="2"/>
        <v>1695.311256141003</v>
      </c>
      <c r="M12" s="665">
        <f t="shared" si="3"/>
        <v>27.81206659854227</v>
      </c>
      <c r="N12" s="665">
        <f t="shared" si="6"/>
        <v>0</v>
      </c>
      <c r="O12" s="674">
        <f t="shared" si="4"/>
        <v>0</v>
      </c>
      <c r="P12" s="679">
        <f t="shared" si="5"/>
        <v>27.81206659854227</v>
      </c>
      <c r="Q12" s="3" t="s">
        <v>1159</v>
      </c>
      <c r="R12" s="11"/>
      <c r="S12" s="676">
        <v>1.6740088105726872E-2</v>
      </c>
      <c r="T12" s="677"/>
      <c r="U12" s="48"/>
      <c r="V12" s="678"/>
    </row>
    <row r="13" spans="1:22">
      <c r="A13" s="50" t="s">
        <v>107</v>
      </c>
      <c r="B13" s="3" t="s">
        <v>162</v>
      </c>
      <c r="C13" s="670">
        <f>'Alloc. Factors'!C12</f>
        <v>6.1582982961650642E-2</v>
      </c>
      <c r="D13" s="671">
        <f t="shared" si="0"/>
        <v>84960.931620724921</v>
      </c>
      <c r="E13" s="743">
        <v>65400.38908101507</v>
      </c>
      <c r="F13" s="743">
        <v>68397</v>
      </c>
      <c r="G13" s="672">
        <v>59363</v>
      </c>
      <c r="H13" s="743">
        <v>302</v>
      </c>
      <c r="I13" s="743">
        <v>1282</v>
      </c>
      <c r="J13" s="743">
        <v>5</v>
      </c>
      <c r="K13" s="750">
        <f t="shared" si="1"/>
        <v>4.5819466230894487E-2</v>
      </c>
      <c r="L13" s="674">
        <f t="shared" si="2"/>
        <v>88853.796158066049</v>
      </c>
      <c r="M13" s="665">
        <f t="shared" si="3"/>
        <v>1644.3408079667167</v>
      </c>
      <c r="N13" s="665">
        <f t="shared" si="6"/>
        <v>320.12</v>
      </c>
      <c r="O13" s="674">
        <f t="shared" si="4"/>
        <v>5.3353333333333337</v>
      </c>
      <c r="P13" s="679">
        <f t="shared" si="5"/>
        <v>1649.6761413000502</v>
      </c>
      <c r="Q13" s="3" t="s">
        <v>162</v>
      </c>
      <c r="R13" s="11"/>
      <c r="S13" s="676">
        <v>1.888381651870694E-2</v>
      </c>
      <c r="T13" s="677">
        <v>1.6666666666666666E-2</v>
      </c>
      <c r="U13" s="48"/>
      <c r="V13" s="678"/>
    </row>
    <row r="14" spans="1:22">
      <c r="A14" s="50" t="s">
        <v>108</v>
      </c>
      <c r="B14" s="3" t="s">
        <v>143</v>
      </c>
      <c r="C14" s="670">
        <f>'Alloc. Factors'!C13</f>
        <v>1.0081044244635465E-2</v>
      </c>
      <c r="D14" s="671">
        <f t="shared" si="0"/>
        <v>13907.980249468239</v>
      </c>
      <c r="E14" s="743">
        <v>10705.948043352388</v>
      </c>
      <c r="F14" s="743">
        <v>10654</v>
      </c>
      <c r="G14" s="672">
        <v>8672</v>
      </c>
      <c r="H14" s="743">
        <v>0</v>
      </c>
      <c r="I14" s="743">
        <v>166</v>
      </c>
      <c r="J14" s="743">
        <v>0</v>
      </c>
      <c r="K14" s="750">
        <f t="shared" si="1"/>
        <v>-4.8522599906174243E-3</v>
      </c>
      <c r="L14" s="674">
        <f t="shared" si="2"/>
        <v>13840.495113353447</v>
      </c>
      <c r="M14" s="665">
        <f t="shared" si="3"/>
        <v>218.97093283580409</v>
      </c>
      <c r="N14" s="665">
        <f t="shared" si="6"/>
        <v>0</v>
      </c>
      <c r="O14" s="674">
        <f t="shared" si="4"/>
        <v>0</v>
      </c>
      <c r="P14" s="679">
        <f t="shared" si="5"/>
        <v>218.97093283580409</v>
      </c>
      <c r="Q14" s="3" t="s">
        <v>143</v>
      </c>
      <c r="R14" s="11"/>
      <c r="S14" s="676">
        <v>1.6143911439114391E-2</v>
      </c>
      <c r="T14" s="677"/>
      <c r="U14" s="48"/>
      <c r="V14" s="678"/>
    </row>
    <row r="15" spans="1:22">
      <c r="A15" s="50" t="s">
        <v>109</v>
      </c>
      <c r="B15" s="3" t="s">
        <v>2</v>
      </c>
      <c r="C15" s="670">
        <f>'Alloc. Factors'!C14</f>
        <v>1.0691172086841276E-2</v>
      </c>
      <c r="D15" s="671">
        <f t="shared" si="0"/>
        <v>14749.723006778788</v>
      </c>
      <c r="E15" s="743">
        <v>11353.896491940346</v>
      </c>
      <c r="F15" s="743">
        <v>11419</v>
      </c>
      <c r="G15" s="672">
        <v>9579</v>
      </c>
      <c r="H15" s="743">
        <v>183</v>
      </c>
      <c r="I15" s="743">
        <v>167</v>
      </c>
      <c r="J15" s="743">
        <v>3</v>
      </c>
      <c r="K15" s="750">
        <f t="shared" si="1"/>
        <v>5.7340233906366988E-3</v>
      </c>
      <c r="L15" s="674">
        <f t="shared" si="2"/>
        <v>14834.298263505068</v>
      </c>
      <c r="M15" s="665">
        <f t="shared" si="3"/>
        <v>217.02459115227063</v>
      </c>
      <c r="N15" s="665">
        <f t="shared" si="6"/>
        <v>193.98000000000002</v>
      </c>
      <c r="O15" s="674">
        <f t="shared" si="4"/>
        <v>3.2510614525139667</v>
      </c>
      <c r="P15" s="679">
        <f t="shared" si="5"/>
        <v>220.2756526047846</v>
      </c>
      <c r="Q15" s="3" t="s">
        <v>2</v>
      </c>
      <c r="R15" s="11"/>
      <c r="S15" s="676">
        <v>1.4928489403904375E-2</v>
      </c>
      <c r="T15" s="677">
        <v>1.6759776536312849E-2</v>
      </c>
      <c r="U15" s="48"/>
      <c r="V15" s="678"/>
    </row>
    <row r="16" spans="1:22">
      <c r="A16" s="50" t="s">
        <v>110</v>
      </c>
      <c r="B16" s="3" t="s">
        <v>3</v>
      </c>
      <c r="C16" s="670">
        <f>'Alloc. Factors'!C15</f>
        <v>4.1555177595910583E-2</v>
      </c>
      <c r="D16" s="671">
        <f t="shared" si="0"/>
        <v>57330.230404912611</v>
      </c>
      <c r="E16" s="743">
        <v>44131.100060476645</v>
      </c>
      <c r="F16" s="743">
        <v>47168</v>
      </c>
      <c r="G16" s="672">
        <v>38477</v>
      </c>
      <c r="H16" s="743">
        <v>0</v>
      </c>
      <c r="I16" s="743">
        <v>478</v>
      </c>
      <c r="J16" s="743">
        <v>0</v>
      </c>
      <c r="K16" s="750">
        <f t="shared" si="1"/>
        <v>6.8815414421159446E-2</v>
      </c>
      <c r="L16" s="674">
        <f t="shared" si="2"/>
        <v>61275.433969087229</v>
      </c>
      <c r="M16" s="665">
        <f t="shared" si="3"/>
        <v>633.6158237855509</v>
      </c>
      <c r="N16" s="665">
        <f t="shared" si="6"/>
        <v>0</v>
      </c>
      <c r="O16" s="674">
        <f t="shared" si="4"/>
        <v>0</v>
      </c>
      <c r="P16" s="679">
        <f t="shared" si="5"/>
        <v>633.6158237855509</v>
      </c>
      <c r="Q16" s="3" t="s">
        <v>3</v>
      </c>
      <c r="R16" s="11"/>
      <c r="S16" s="676">
        <v>1.0551483964863039E-2</v>
      </c>
      <c r="T16" s="677"/>
      <c r="U16" s="48"/>
      <c r="V16" s="678"/>
    </row>
    <row r="17" spans="1:22">
      <c r="A17" s="50" t="s">
        <v>111</v>
      </c>
      <c r="B17" s="3" t="s">
        <v>0</v>
      </c>
      <c r="C17" s="670">
        <f>'Alloc. Factors'!C16</f>
        <v>1.066885886584081E-4</v>
      </c>
      <c r="D17" s="671">
        <f t="shared" si="0"/>
        <v>147.18939307248687</v>
      </c>
      <c r="E17" s="743">
        <v>113.3020011893435</v>
      </c>
      <c r="F17" s="743">
        <v>101</v>
      </c>
      <c r="G17" s="672">
        <v>82</v>
      </c>
      <c r="H17" s="743">
        <v>0</v>
      </c>
      <c r="I17" s="743">
        <v>1</v>
      </c>
      <c r="J17" s="743">
        <v>0</v>
      </c>
      <c r="K17" s="750">
        <f t="shared" si="1"/>
        <v>-0.10857708654929346</v>
      </c>
      <c r="L17" s="674">
        <f t="shared" si="2"/>
        <v>131.20799760171749</v>
      </c>
      <c r="M17" s="665">
        <f t="shared" si="3"/>
        <v>1.568095581093697</v>
      </c>
      <c r="N17" s="665">
        <f t="shared" si="6"/>
        <v>0</v>
      </c>
      <c r="O17" s="674">
        <f t="shared" si="4"/>
        <v>0</v>
      </c>
      <c r="P17" s="679">
        <f t="shared" si="5"/>
        <v>1.568095581093697</v>
      </c>
      <c r="Q17" s="3" t="s">
        <v>0</v>
      </c>
      <c r="R17" s="11"/>
      <c r="S17" s="676">
        <v>1.2195121951219513E-2</v>
      </c>
      <c r="T17" s="677"/>
      <c r="U17" s="48"/>
      <c r="V17" s="678"/>
    </row>
    <row r="18" spans="1:22">
      <c r="A18" s="50" t="s">
        <v>112</v>
      </c>
      <c r="B18" s="3" t="s">
        <v>163</v>
      </c>
      <c r="C18" s="670">
        <f>'Alloc. Factors'!C17</f>
        <v>7.3836272620513108E-2</v>
      </c>
      <c r="D18" s="671">
        <f t="shared" si="0"/>
        <v>101865.77862178428</v>
      </c>
      <c r="E18" s="743">
        <v>78413.235693382288</v>
      </c>
      <c r="F18" s="743">
        <v>83578</v>
      </c>
      <c r="G18" s="672">
        <v>65399</v>
      </c>
      <c r="H18" s="743">
        <v>16193</v>
      </c>
      <c r="I18" s="743">
        <v>1571</v>
      </c>
      <c r="J18" s="743">
        <v>126</v>
      </c>
      <c r="K18" s="750">
        <f t="shared" si="1"/>
        <v>6.5865976081045635E-2</v>
      </c>
      <c r="L18" s="674">
        <f t="shared" si="2"/>
        <v>108575.26755996382</v>
      </c>
      <c r="M18" s="665">
        <f t="shared" si="3"/>
        <v>2059.7740478645833</v>
      </c>
      <c r="N18" s="665">
        <f t="shared" si="6"/>
        <v>17164.580000000002</v>
      </c>
      <c r="O18" s="674">
        <f t="shared" si="4"/>
        <v>144.85459733161872</v>
      </c>
      <c r="P18" s="679">
        <f t="shared" si="5"/>
        <v>2204.6286451962019</v>
      </c>
      <c r="Q18" s="3" t="s">
        <v>163</v>
      </c>
      <c r="R18" s="11"/>
      <c r="S18" s="676">
        <v>1.9358094160461168E-2</v>
      </c>
      <c r="T18" s="677">
        <v>8.4391576916894393E-3</v>
      </c>
      <c r="U18" s="48"/>
      <c r="V18" s="678"/>
    </row>
    <row r="19" spans="1:22">
      <c r="A19" s="50" t="s">
        <v>113</v>
      </c>
      <c r="B19" s="3" t="s">
        <v>164</v>
      </c>
      <c r="C19" s="670">
        <f>'Alloc. Factors'!C18</f>
        <v>9.8034035426183247E-2</v>
      </c>
      <c r="D19" s="671">
        <f t="shared" si="0"/>
        <v>135249.42410689016</v>
      </c>
      <c r="E19" s="743">
        <v>104110.96948725249</v>
      </c>
      <c r="F19" s="743">
        <v>108579</v>
      </c>
      <c r="G19" s="672">
        <v>68718</v>
      </c>
      <c r="H19" s="743">
        <v>3790</v>
      </c>
      <c r="I19" s="743">
        <v>1775</v>
      </c>
      <c r="J19" s="743">
        <v>67</v>
      </c>
      <c r="K19" s="750">
        <f t="shared" si="1"/>
        <v>4.2916039825127053E-2</v>
      </c>
      <c r="L19" s="674">
        <f t="shared" si="2"/>
        <v>141053.79377818698</v>
      </c>
      <c r="M19" s="665">
        <f t="shared" si="3"/>
        <v>2322.2243381367421</v>
      </c>
      <c r="N19" s="665">
        <f t="shared" si="6"/>
        <v>4017.4</v>
      </c>
      <c r="O19" s="674">
        <f t="shared" si="4"/>
        <v>71.455731225296446</v>
      </c>
      <c r="P19" s="679">
        <f t="shared" si="5"/>
        <v>2393.6800693620385</v>
      </c>
      <c r="Q19" s="3" t="s">
        <v>164</v>
      </c>
      <c r="R19" s="11"/>
      <c r="S19" s="676">
        <v>1.6799382760980013E-2</v>
      </c>
      <c r="T19" s="677">
        <v>1.7786561264822136E-2</v>
      </c>
      <c r="U19" s="48"/>
      <c r="V19" s="678"/>
    </row>
    <row r="20" spans="1:22">
      <c r="A20" s="50" t="s">
        <v>114</v>
      </c>
      <c r="B20" s="3" t="s">
        <v>144</v>
      </c>
      <c r="C20" s="670">
        <f>'Alloc. Factors'!C19</f>
        <v>3.9726465484377733E-3</v>
      </c>
      <c r="D20" s="671">
        <f t="shared" si="0"/>
        <v>5480.7308045684149</v>
      </c>
      <c r="E20" s="743">
        <v>4218.9029737480269</v>
      </c>
      <c r="F20" s="743">
        <v>4183</v>
      </c>
      <c r="G20" s="672">
        <v>3162</v>
      </c>
      <c r="H20" s="743">
        <v>0</v>
      </c>
      <c r="I20" s="743">
        <v>85</v>
      </c>
      <c r="J20" s="743">
        <v>0</v>
      </c>
      <c r="K20" s="750">
        <f t="shared" si="1"/>
        <v>-8.5100259407319447E-3</v>
      </c>
      <c r="L20" s="674">
        <f t="shared" si="2"/>
        <v>5434.0896432473692</v>
      </c>
      <c r="M20" s="665">
        <f t="shared" si="3"/>
        <v>109.47233089021424</v>
      </c>
      <c r="N20" s="665">
        <f t="shared" si="6"/>
        <v>0</v>
      </c>
      <c r="O20" s="674">
        <f t="shared" si="4"/>
        <v>0</v>
      </c>
      <c r="P20" s="679">
        <f t="shared" si="5"/>
        <v>109.47233089021424</v>
      </c>
      <c r="Q20" s="3" t="s">
        <v>144</v>
      </c>
      <c r="R20" s="11"/>
      <c r="S20" s="676">
        <v>2.0556609740670462E-2</v>
      </c>
      <c r="T20" s="677"/>
      <c r="U20" s="48"/>
      <c r="V20" s="678"/>
    </row>
    <row r="21" spans="1:22">
      <c r="A21" s="50" t="s">
        <v>115</v>
      </c>
      <c r="B21" s="3" t="s">
        <v>4</v>
      </c>
      <c r="C21" s="670">
        <f>'Alloc. Factors'!C20</f>
        <v>1.2901441768295755E-3</v>
      </c>
      <c r="D21" s="671">
        <f t="shared" si="0"/>
        <v>1779.9048684723864</v>
      </c>
      <c r="E21" s="743">
        <v>1370.1176376565468</v>
      </c>
      <c r="F21" s="743">
        <v>1846</v>
      </c>
      <c r="G21" s="672">
        <v>1257</v>
      </c>
      <c r="H21" s="743">
        <v>0</v>
      </c>
      <c r="I21" s="743">
        <v>26</v>
      </c>
      <c r="J21" s="743">
        <v>0</v>
      </c>
      <c r="K21" s="750">
        <f t="shared" si="1"/>
        <v>0.34732956445798613</v>
      </c>
      <c r="L21" s="674">
        <f t="shared" si="2"/>
        <v>2398.1184512155496</v>
      </c>
      <c r="M21" s="665">
        <f t="shared" si="3"/>
        <v>33.034322440439098</v>
      </c>
      <c r="N21" s="665">
        <f t="shared" si="6"/>
        <v>0</v>
      </c>
      <c r="O21" s="674">
        <f t="shared" si="4"/>
        <v>0</v>
      </c>
      <c r="P21" s="679">
        <f t="shared" si="5"/>
        <v>33.034322440439098</v>
      </c>
      <c r="Q21" s="3" t="s">
        <v>4</v>
      </c>
      <c r="R21" s="11"/>
      <c r="S21" s="676">
        <v>1.4056224899598393E-2</v>
      </c>
      <c r="T21" s="677"/>
      <c r="U21" s="48"/>
      <c r="V21" s="678"/>
    </row>
    <row r="22" spans="1:22">
      <c r="A22" s="50" t="s">
        <v>116</v>
      </c>
      <c r="B22" s="3" t="s">
        <v>1163</v>
      </c>
      <c r="C22" s="670">
        <f>'Alloc. Factors'!C21</f>
        <v>4.9996650961656815E-4</v>
      </c>
      <c r="D22" s="671">
        <f t="shared" si="0"/>
        <v>689.76230759457837</v>
      </c>
      <c r="E22" s="743">
        <v>530.95843500732235</v>
      </c>
      <c r="F22" s="743">
        <v>538</v>
      </c>
      <c r="G22" s="672">
        <v>419</v>
      </c>
      <c r="H22" s="743">
        <v>0</v>
      </c>
      <c r="I22" s="743">
        <v>8</v>
      </c>
      <c r="J22" s="743">
        <v>0</v>
      </c>
      <c r="K22" s="750">
        <f t="shared" si="1"/>
        <v>1.326198912835906E-2</v>
      </c>
      <c r="L22" s="674">
        <f t="shared" si="2"/>
        <v>698.90992781904947</v>
      </c>
      <c r="M22" s="665">
        <f t="shared" si="3"/>
        <v>11.442773519901381</v>
      </c>
      <c r="N22" s="665">
        <f t="shared" si="6"/>
        <v>0</v>
      </c>
      <c r="O22" s="674">
        <f t="shared" si="4"/>
        <v>0</v>
      </c>
      <c r="P22" s="679">
        <f t="shared" si="5"/>
        <v>11.442773519901381</v>
      </c>
      <c r="Q22" s="3" t="s">
        <v>1163</v>
      </c>
      <c r="R22" s="11"/>
      <c r="S22" s="676">
        <v>1.6706443914081145E-2</v>
      </c>
      <c r="T22" s="677"/>
      <c r="U22" s="48"/>
      <c r="V22" s="678"/>
    </row>
    <row r="23" spans="1:22">
      <c r="A23" s="50" t="s">
        <v>117</v>
      </c>
      <c r="B23" s="3" t="s">
        <v>5</v>
      </c>
      <c r="C23" s="670">
        <f>'Alloc. Factors'!C22</f>
        <v>4.9593594580939031E-3</v>
      </c>
      <c r="D23" s="671">
        <f t="shared" si="0"/>
        <v>6842.01673153927</v>
      </c>
      <c r="E23" s="743">
        <v>5266.7802459963814</v>
      </c>
      <c r="F23" s="743">
        <v>5381</v>
      </c>
      <c r="G23" s="672">
        <v>4973</v>
      </c>
      <c r="H23" s="743">
        <v>0</v>
      </c>
      <c r="I23" s="743">
        <v>83</v>
      </c>
      <c r="J23" s="743">
        <v>0</v>
      </c>
      <c r="K23" s="750">
        <f t="shared" si="1"/>
        <v>2.1686827372462407E-2</v>
      </c>
      <c r="L23" s="674">
        <f t="shared" si="2"/>
        <v>6990.3983672756613</v>
      </c>
      <c r="M23" s="665">
        <f t="shared" si="3"/>
        <v>110.20455097414273</v>
      </c>
      <c r="N23" s="665">
        <f t="shared" si="6"/>
        <v>0</v>
      </c>
      <c r="O23" s="674">
        <f t="shared" si="4"/>
        <v>0</v>
      </c>
      <c r="P23" s="679">
        <f t="shared" si="5"/>
        <v>110.20455097414273</v>
      </c>
      <c r="Q23" s="3" t="s">
        <v>5</v>
      </c>
      <c r="R23" s="11"/>
      <c r="S23" s="676">
        <v>1.6086869093102755E-2</v>
      </c>
      <c r="T23" s="677"/>
      <c r="U23" s="48"/>
      <c r="V23" s="678"/>
    </row>
    <row r="24" spans="1:22">
      <c r="A24" s="50" t="s">
        <v>118</v>
      </c>
      <c r="B24" s="3" t="s">
        <v>165</v>
      </c>
      <c r="C24" s="670">
        <f>'Alloc. Factors'!C23</f>
        <v>1.4581614318254674E-3</v>
      </c>
      <c r="D24" s="671">
        <f t="shared" si="0"/>
        <v>2011.704333621667</v>
      </c>
      <c r="E24" s="743">
        <v>1548.5499467231314</v>
      </c>
      <c r="F24" s="743">
        <v>1653</v>
      </c>
      <c r="G24" s="672">
        <v>1433</v>
      </c>
      <c r="H24" s="743">
        <v>0</v>
      </c>
      <c r="I24" s="743">
        <v>25</v>
      </c>
      <c r="J24" s="743">
        <v>0</v>
      </c>
      <c r="K24" s="750">
        <f t="shared" si="1"/>
        <v>6.745023206897148E-2</v>
      </c>
      <c r="L24" s="674">
        <f t="shared" si="2"/>
        <v>2147.3942577786038</v>
      </c>
      <c r="M24" s="665">
        <f t="shared" si="3"/>
        <v>30.83975842643661</v>
      </c>
      <c r="N24" s="665">
        <f t="shared" si="6"/>
        <v>0</v>
      </c>
      <c r="O24" s="674">
        <f>N24*T24</f>
        <v>0</v>
      </c>
      <c r="P24" s="679">
        <f t="shared" si="5"/>
        <v>30.83975842643661</v>
      </c>
      <c r="Q24" s="3" t="s">
        <v>165</v>
      </c>
      <c r="R24" s="11"/>
      <c r="S24" s="676">
        <v>1.465457083042568E-2</v>
      </c>
      <c r="T24" s="677"/>
      <c r="U24" s="48"/>
      <c r="V24" s="678"/>
    </row>
    <row r="25" spans="1:22">
      <c r="A25" s="50" t="s">
        <v>119</v>
      </c>
      <c r="B25" s="3" t="s">
        <v>166</v>
      </c>
      <c r="C25" s="670">
        <f>'Alloc. Factors'!C24</f>
        <v>0.15196124130344316</v>
      </c>
      <c r="D25" s="671">
        <v>180521.02847481391</v>
      </c>
      <c r="E25" s="743">
        <v>142810</v>
      </c>
      <c r="F25" s="743">
        <v>142735</v>
      </c>
      <c r="G25" s="672">
        <v>105268</v>
      </c>
      <c r="H25" s="743">
        <v>5123</v>
      </c>
      <c r="I25" s="743">
        <v>2493</v>
      </c>
      <c r="J25" s="743">
        <v>92</v>
      </c>
      <c r="K25" s="750">
        <f t="shared" si="1"/>
        <v>-5.2517330719137312E-4</v>
      </c>
      <c r="L25" s="674">
        <f t="shared" si="2"/>
        <v>180426.2236492722</v>
      </c>
      <c r="M25" s="665">
        <f t="shared" si="3"/>
        <v>3157.8188476214909</v>
      </c>
      <c r="N25" s="665">
        <f t="shared" si="6"/>
        <v>5430.38</v>
      </c>
      <c r="O25" s="674">
        <f t="shared" si="4"/>
        <v>99.190479753521132</v>
      </c>
      <c r="P25" s="679">
        <f t="shared" si="5"/>
        <v>3257.0093273750122</v>
      </c>
      <c r="Q25" s="3" t="s">
        <v>166</v>
      </c>
      <c r="R25" s="11"/>
      <c r="S25" s="676">
        <v>1.7859178477790023E-2</v>
      </c>
      <c r="T25" s="677">
        <v>1.8265845070422535E-2</v>
      </c>
      <c r="U25" s="48"/>
      <c r="V25" s="678"/>
    </row>
    <row r="26" spans="1:22">
      <c r="A26" s="50" t="s">
        <v>120</v>
      </c>
      <c r="B26" s="3" t="s">
        <v>207</v>
      </c>
      <c r="C26" s="670">
        <f>'Alloc. Factors'!C25</f>
        <v>9.717123426240904E-5</v>
      </c>
      <c r="D26" s="671">
        <f t="shared" si="0"/>
        <v>134.0590889338871</v>
      </c>
      <c r="E26" s="743">
        <v>103.19468500253494</v>
      </c>
      <c r="F26" s="743">
        <v>122</v>
      </c>
      <c r="G26" s="672">
        <v>121</v>
      </c>
      <c r="H26" s="743">
        <v>0</v>
      </c>
      <c r="I26" s="743">
        <v>1</v>
      </c>
      <c r="J26" s="743">
        <v>0</v>
      </c>
      <c r="K26" s="750">
        <f t="shared" si="1"/>
        <v>0.18223142981640106</v>
      </c>
      <c r="L26" s="674">
        <f t="shared" si="2"/>
        <v>158.4888683901934</v>
      </c>
      <c r="M26" s="665">
        <f t="shared" si="3"/>
        <v>1.2836288514247067</v>
      </c>
      <c r="N26" s="665">
        <f t="shared" si="6"/>
        <v>0</v>
      </c>
      <c r="O26" s="688">
        <f>N26*T26</f>
        <v>0</v>
      </c>
      <c r="P26" s="679">
        <f>M26+O26</f>
        <v>1.2836288514247067</v>
      </c>
      <c r="Q26" s="3" t="s">
        <v>207</v>
      </c>
      <c r="R26" s="11"/>
      <c r="S26" s="676">
        <v>8.2644628099173556E-3</v>
      </c>
      <c r="T26" s="677">
        <v>8.3333333333333329E-2</v>
      </c>
      <c r="U26" s="48"/>
      <c r="V26" s="678"/>
    </row>
    <row r="27" spans="1:22">
      <c r="A27" s="50" t="s">
        <v>121</v>
      </c>
      <c r="B27" s="3" t="s">
        <v>8</v>
      </c>
      <c r="C27" s="670">
        <f>'Alloc. Factors'!C26</f>
        <v>5.5225701166257753E-5</v>
      </c>
      <c r="D27" s="671">
        <f t="shared" si="0"/>
        <v>76.190317435822536</v>
      </c>
      <c r="E27" s="743">
        <v>58.649032083981339</v>
      </c>
      <c r="F27" s="743">
        <v>27</v>
      </c>
      <c r="G27" s="672">
        <v>27</v>
      </c>
      <c r="H27" s="743">
        <v>0</v>
      </c>
      <c r="I27" s="743">
        <v>0</v>
      </c>
      <c r="J27" s="743">
        <v>0</v>
      </c>
      <c r="K27" s="750">
        <f t="shared" si="1"/>
        <v>-0.5396343462013512</v>
      </c>
      <c r="L27" s="674">
        <f t="shared" si="2"/>
        <v>35.075405299469033</v>
      </c>
      <c r="M27" s="665">
        <f t="shared" si="3"/>
        <v>1.2731073034622091</v>
      </c>
      <c r="N27" s="665">
        <f t="shared" si="6"/>
        <v>0</v>
      </c>
      <c r="O27" s="674">
        <f t="shared" si="4"/>
        <v>0</v>
      </c>
      <c r="P27" s="679">
        <f t="shared" si="5"/>
        <v>1.2731073034622091</v>
      </c>
      <c r="Q27" s="3" t="s">
        <v>8</v>
      </c>
      <c r="R27" s="11"/>
      <c r="S27" s="676">
        <v>3.7037037037037035E-2</v>
      </c>
      <c r="T27" s="677"/>
      <c r="U27" s="48"/>
      <c r="V27" s="678"/>
    </row>
    <row r="28" spans="1:22">
      <c r="A28" s="50" t="s">
        <v>122</v>
      </c>
      <c r="B28" s="3" t="s">
        <v>145</v>
      </c>
      <c r="C28" s="670">
        <f>'Alloc. Factors'!C27</f>
        <v>1.7893648110754477E-2</v>
      </c>
      <c r="D28" s="671">
        <f t="shared" si="0"/>
        <v>24686.381537085195</v>
      </c>
      <c r="E28" s="743">
        <v>19002.839619686169</v>
      </c>
      <c r="F28" s="743">
        <v>18991</v>
      </c>
      <c r="G28" s="672">
        <v>15299</v>
      </c>
      <c r="H28" s="743">
        <v>471</v>
      </c>
      <c r="I28" s="743">
        <v>269</v>
      </c>
      <c r="J28" s="743">
        <v>9</v>
      </c>
      <c r="K28" s="750">
        <f t="shared" si="1"/>
        <v>-6.2304476189459733E-4</v>
      </c>
      <c r="L28" s="674">
        <f t="shared" si="2"/>
        <v>24671.000816378382</v>
      </c>
      <c r="M28" s="665">
        <f t="shared" si="3"/>
        <v>341.35286311595371</v>
      </c>
      <c r="N28" s="665">
        <f t="shared" si="6"/>
        <v>499.26000000000005</v>
      </c>
      <c r="O28" s="674">
        <f t="shared" si="4"/>
        <v>8.9353020134228203</v>
      </c>
      <c r="P28" s="679">
        <f t="shared" si="5"/>
        <v>350.28816512937652</v>
      </c>
      <c r="Q28" s="3" t="s">
        <v>145</v>
      </c>
      <c r="R28" s="11"/>
      <c r="S28" s="676">
        <v>1.4118569841166089E-2</v>
      </c>
      <c r="T28" s="677">
        <v>1.7897091722595078E-2</v>
      </c>
      <c r="U28" s="48"/>
      <c r="V28" s="678"/>
    </row>
    <row r="29" spans="1:22">
      <c r="A29" s="50" t="s">
        <v>123</v>
      </c>
      <c r="B29" s="3" t="s">
        <v>9</v>
      </c>
      <c r="C29" s="670">
        <f>'Alloc. Factors'!C28</f>
        <v>4.1848645968377514E-2</v>
      </c>
      <c r="D29" s="671">
        <f t="shared" si="0"/>
        <v>57735.104367278727</v>
      </c>
      <c r="E29" s="743">
        <v>44442.7599512335</v>
      </c>
      <c r="F29" s="743">
        <v>47621</v>
      </c>
      <c r="G29" s="672">
        <v>39481</v>
      </c>
      <c r="H29" s="743">
        <v>540</v>
      </c>
      <c r="I29" s="743">
        <v>671</v>
      </c>
      <c r="J29" s="743">
        <v>10</v>
      </c>
      <c r="K29" s="750">
        <f t="shared" si="1"/>
        <v>7.1513111522640449E-2</v>
      </c>
      <c r="L29" s="674">
        <f t="shared" si="2"/>
        <v>61863.921324667215</v>
      </c>
      <c r="M29" s="665">
        <f t="shared" si="3"/>
        <v>892.17799761503045</v>
      </c>
      <c r="N29" s="665">
        <f t="shared" si="6"/>
        <v>572.4</v>
      </c>
      <c r="O29" s="674">
        <f t="shared" si="4"/>
        <v>9.9837209302325576</v>
      </c>
      <c r="P29" s="679">
        <f t="shared" si="5"/>
        <v>902.16171854526306</v>
      </c>
      <c r="Q29" s="3" t="s">
        <v>9</v>
      </c>
      <c r="R29" s="11"/>
      <c r="S29" s="676">
        <v>1.4715939312580735E-2</v>
      </c>
      <c r="T29" s="677">
        <v>1.7441860465116279E-2</v>
      </c>
      <c r="U29" s="48"/>
      <c r="V29" s="678"/>
    </row>
    <row r="30" spans="1:22">
      <c r="A30" s="50" t="s">
        <v>124</v>
      </c>
      <c r="B30" s="3" t="s">
        <v>146</v>
      </c>
      <c r="C30" s="670">
        <f>'Alloc. Factors'!C29</f>
        <v>1.3433614964297497E-4</v>
      </c>
      <c r="D30" s="671">
        <f t="shared" si="0"/>
        <v>185.33243885109701</v>
      </c>
      <c r="E30" s="743">
        <v>142.66337926123319</v>
      </c>
      <c r="F30" s="743">
        <v>86</v>
      </c>
      <c r="G30" s="672">
        <v>85</v>
      </c>
      <c r="H30" s="743">
        <v>0</v>
      </c>
      <c r="I30" s="743">
        <v>2</v>
      </c>
      <c r="J30" s="743">
        <v>0</v>
      </c>
      <c r="K30" s="750">
        <f t="shared" si="1"/>
        <v>-0.39718237121998889</v>
      </c>
      <c r="L30" s="674">
        <f t="shared" si="2"/>
        <v>111.7216613242347</v>
      </c>
      <c r="M30" s="665">
        <f t="shared" si="3"/>
        <v>2.5761700728882353</v>
      </c>
      <c r="N30" s="665">
        <f t="shared" si="6"/>
        <v>0</v>
      </c>
      <c r="O30" s="674">
        <f t="shared" si="4"/>
        <v>0</v>
      </c>
      <c r="P30" s="679">
        <f t="shared" si="5"/>
        <v>2.5761700728882353</v>
      </c>
      <c r="Q30" s="3" t="s">
        <v>146</v>
      </c>
      <c r="R30" s="11"/>
      <c r="S30" s="676">
        <v>2.3529411764705882E-2</v>
      </c>
      <c r="T30" s="677"/>
      <c r="U30" s="48"/>
      <c r="V30" s="678"/>
    </row>
    <row r="31" spans="1:22">
      <c r="A31" s="50" t="s">
        <v>125</v>
      </c>
      <c r="B31" s="3" t="s">
        <v>147</v>
      </c>
      <c r="C31" s="670">
        <f>'Alloc. Factors'!C30</f>
        <v>2.6152066171157931E-4</v>
      </c>
      <c r="D31" s="671">
        <f t="shared" si="0"/>
        <v>360.79835676229919</v>
      </c>
      <c r="E31" s="743">
        <v>277.73180521821496</v>
      </c>
      <c r="F31" s="743">
        <v>268</v>
      </c>
      <c r="G31" s="672">
        <v>230</v>
      </c>
      <c r="H31" s="743">
        <v>31</v>
      </c>
      <c r="I31" s="743">
        <v>4</v>
      </c>
      <c r="J31" s="743">
        <v>1</v>
      </c>
      <c r="K31" s="750">
        <f t="shared" si="1"/>
        <v>-3.5040297997446283E-2</v>
      </c>
      <c r="L31" s="674">
        <f t="shared" si="2"/>
        <v>348.15587482435933</v>
      </c>
      <c r="M31" s="665">
        <f t="shared" si="3"/>
        <v>4.4503403129722443</v>
      </c>
      <c r="N31" s="665">
        <f t="shared" si="6"/>
        <v>32.86</v>
      </c>
      <c r="O31" s="674">
        <f t="shared" si="4"/>
        <v>0.93885714285714283</v>
      </c>
      <c r="P31" s="679">
        <f t="shared" si="5"/>
        <v>5.3891974558293869</v>
      </c>
      <c r="Q31" s="3" t="s">
        <v>147</v>
      </c>
      <c r="R31" s="11"/>
      <c r="S31" s="676">
        <v>1.3043478260869565E-2</v>
      </c>
      <c r="T31" s="677">
        <v>2.8571428571428571E-2</v>
      </c>
      <c r="U31" s="48"/>
      <c r="V31" s="678"/>
    </row>
    <row r="32" spans="1:22">
      <c r="A32" s="50" t="s">
        <v>126</v>
      </c>
      <c r="B32" s="3" t="s">
        <v>148</v>
      </c>
      <c r="C32" s="670">
        <f>'Alloc. Factors'!C31</f>
        <v>6.5957003827052626E-5</v>
      </c>
      <c r="D32" s="671">
        <f t="shared" si="0"/>
        <v>90.995405265570284</v>
      </c>
      <c r="E32" s="743">
        <v>70.045546764005309</v>
      </c>
      <c r="F32" s="743">
        <v>55</v>
      </c>
      <c r="G32" s="672">
        <v>37</v>
      </c>
      <c r="H32" s="743">
        <v>0</v>
      </c>
      <c r="I32" s="743">
        <v>1</v>
      </c>
      <c r="J32" s="743">
        <v>0</v>
      </c>
      <c r="K32" s="750">
        <f t="shared" si="1"/>
        <v>-0.21479662104282191</v>
      </c>
      <c r="L32" s="674">
        <f t="shared" si="2"/>
        <v>71.449899684103585</v>
      </c>
      <c r="M32" s="665">
        <f t="shared" si="3"/>
        <v>1.8924568024438246</v>
      </c>
      <c r="N32" s="665">
        <f t="shared" si="6"/>
        <v>0</v>
      </c>
      <c r="O32" s="674">
        <f t="shared" si="4"/>
        <v>0</v>
      </c>
      <c r="P32" s="679">
        <f t="shared" si="5"/>
        <v>1.8924568024438246</v>
      </c>
      <c r="Q32" s="3" t="s">
        <v>148</v>
      </c>
      <c r="R32" s="11"/>
      <c r="S32" s="676">
        <v>2.7027027027027029E-2</v>
      </c>
      <c r="T32" s="677"/>
      <c r="U32" s="48"/>
      <c r="V32" s="678"/>
    </row>
    <row r="33" spans="1:22">
      <c r="A33" s="50" t="s">
        <v>127</v>
      </c>
      <c r="B33" s="3" t="s">
        <v>167</v>
      </c>
      <c r="C33" s="670">
        <f>'Alloc. Factors'!C32</f>
        <v>3.9725085842823464E-2</v>
      </c>
      <c r="D33" s="671">
        <f t="shared" si="0"/>
        <v>54805.404668710245</v>
      </c>
      <c r="E33" s="743">
        <v>42187.564574701493</v>
      </c>
      <c r="F33" s="743">
        <v>44740</v>
      </c>
      <c r="G33" s="672">
        <v>35871</v>
      </c>
      <c r="H33" s="743">
        <v>27</v>
      </c>
      <c r="I33" s="743">
        <v>610</v>
      </c>
      <c r="J33" s="743">
        <v>0</v>
      </c>
      <c r="K33" s="750">
        <f t="shared" si="1"/>
        <v>6.0502080436023058E-2</v>
      </c>
      <c r="L33" s="674">
        <f t="shared" si="2"/>
        <v>58121.245670305347</v>
      </c>
      <c r="M33" s="665">
        <f t="shared" si="3"/>
        <v>808.23059756521172</v>
      </c>
      <c r="N33" s="665">
        <f t="shared" si="6"/>
        <v>28.62</v>
      </c>
      <c r="O33" s="674">
        <f t="shared" si="4"/>
        <v>0.77351351351351361</v>
      </c>
      <c r="P33" s="679">
        <f t="shared" si="5"/>
        <v>809.00411107872526</v>
      </c>
      <c r="Q33" s="3" t="s">
        <v>167</v>
      </c>
      <c r="R33" s="11"/>
      <c r="S33" s="676">
        <v>1.4189735440885394E-2</v>
      </c>
      <c r="T33" s="677">
        <v>2.7027027027027029E-2</v>
      </c>
      <c r="U33" s="48"/>
      <c r="V33" s="678"/>
    </row>
    <row r="34" spans="1:22">
      <c r="A34" s="50" t="s">
        <v>128</v>
      </c>
      <c r="B34" s="3" t="s">
        <v>168</v>
      </c>
      <c r="C34" s="670">
        <f>'Alloc. Factors'!C33</f>
        <v>2.867502635044555E-2</v>
      </c>
      <c r="D34" s="671">
        <f t="shared" si="0"/>
        <v>39560.554487914487</v>
      </c>
      <c r="E34" s="743">
        <v>30452.533963730431</v>
      </c>
      <c r="F34" s="743">
        <v>30522</v>
      </c>
      <c r="G34" s="672">
        <v>25110</v>
      </c>
      <c r="H34" s="743">
        <v>497</v>
      </c>
      <c r="I34" s="743">
        <v>485</v>
      </c>
      <c r="J34" s="743">
        <v>9</v>
      </c>
      <c r="K34" s="750">
        <f t="shared" si="1"/>
        <v>2.281124991184773E-3</v>
      </c>
      <c r="L34" s="674">
        <f t="shared" si="2"/>
        <v>39650.797057421994</v>
      </c>
      <c r="M34" s="665">
        <f t="shared" si="3"/>
        <v>639.11842297972839</v>
      </c>
      <c r="N34" s="665">
        <f t="shared" si="6"/>
        <v>526.82000000000005</v>
      </c>
      <c r="O34" s="674">
        <f t="shared" si="4"/>
        <v>10.109552238805971</v>
      </c>
      <c r="P34" s="679">
        <f t="shared" si="5"/>
        <v>649.22797521853431</v>
      </c>
      <c r="Q34" s="3" t="s">
        <v>168</v>
      </c>
      <c r="R34" s="11"/>
      <c r="S34" s="676">
        <v>1.644763042612505E-2</v>
      </c>
      <c r="T34" s="677">
        <v>1.9189765458422176E-2</v>
      </c>
      <c r="U34" s="48"/>
      <c r="V34" s="678"/>
    </row>
    <row r="35" spans="1:22">
      <c r="A35" s="50" t="s">
        <v>129</v>
      </c>
      <c r="B35" s="3" t="s">
        <v>10</v>
      </c>
      <c r="C35" s="670">
        <f>'Alloc. Factors'!C34</f>
        <v>3.7080786636081767E-3</v>
      </c>
      <c r="D35" s="671">
        <f t="shared" si="0"/>
        <v>5115.7284469196338</v>
      </c>
      <c r="E35" s="743">
        <v>3937.9350541366671</v>
      </c>
      <c r="F35" s="743">
        <v>4155</v>
      </c>
      <c r="G35" s="672">
        <v>4500</v>
      </c>
      <c r="H35" s="743">
        <v>0</v>
      </c>
      <c r="I35" s="743">
        <v>68</v>
      </c>
      <c r="J35" s="743">
        <v>0</v>
      </c>
      <c r="K35" s="750">
        <f t="shared" si="1"/>
        <v>5.5121514925776535E-2</v>
      </c>
      <c r="L35" s="674">
        <f t="shared" si="2"/>
        <v>5397.7151488627333</v>
      </c>
      <c r="M35" s="665">
        <f t="shared" si="3"/>
        <v>89.003267176985048</v>
      </c>
      <c r="N35" s="665">
        <f t="shared" si="6"/>
        <v>0</v>
      </c>
      <c r="O35" s="674">
        <f t="shared" si="4"/>
        <v>0</v>
      </c>
      <c r="P35" s="679">
        <f t="shared" si="5"/>
        <v>89.003267176985048</v>
      </c>
      <c r="Q35" s="3" t="s">
        <v>10</v>
      </c>
      <c r="R35" s="11"/>
      <c r="S35" s="676">
        <v>1.6825574873808188E-2</v>
      </c>
      <c r="T35" s="677"/>
      <c r="U35" s="48"/>
      <c r="V35" s="678"/>
    </row>
    <row r="36" spans="1:22">
      <c r="A36" s="50" t="s">
        <v>130</v>
      </c>
      <c r="B36" s="3" t="s">
        <v>11</v>
      </c>
      <c r="C36" s="670">
        <f>'Alloc. Factors'!C35</f>
        <v>1.6797155516805683E-2</v>
      </c>
      <c r="D36" s="671">
        <f t="shared" si="0"/>
        <v>23173.641688885127</v>
      </c>
      <c r="E36" s="743">
        <v>17838.377639769427</v>
      </c>
      <c r="F36" s="743">
        <v>11689</v>
      </c>
      <c r="G36" s="672">
        <v>9010</v>
      </c>
      <c r="H36" s="743">
        <v>128</v>
      </c>
      <c r="I36" s="743">
        <v>206</v>
      </c>
      <c r="J36" s="743">
        <v>2</v>
      </c>
      <c r="K36" s="750">
        <f t="shared" si="1"/>
        <v>-0.3447274053700834</v>
      </c>
      <c r="L36" s="674">
        <f t="shared" si="2"/>
        <v>15185.052316499759</v>
      </c>
      <c r="M36" s="665">
        <f t="shared" si="3"/>
        <v>270.87032278666385</v>
      </c>
      <c r="N36" s="665">
        <f t="shared" si="6"/>
        <v>135.68</v>
      </c>
      <c r="O36" s="674">
        <f t="shared" si="4"/>
        <v>2.1035658914728681</v>
      </c>
      <c r="P36" s="679">
        <f t="shared" si="5"/>
        <v>272.97388867813669</v>
      </c>
      <c r="Q36" s="3" t="s">
        <v>11</v>
      </c>
      <c r="R36" s="11"/>
      <c r="S36" s="676">
        <v>1.8201997780244172E-2</v>
      </c>
      <c r="T36" s="677">
        <v>1.5503875968992248E-2</v>
      </c>
      <c r="U36" s="48"/>
      <c r="V36" s="678"/>
    </row>
    <row r="37" spans="1:22">
      <c r="A37" s="50" t="s">
        <v>131</v>
      </c>
      <c r="B37" s="3" t="s">
        <v>6</v>
      </c>
      <c r="C37" s="670">
        <f>'Alloc. Factors'!C36</f>
        <v>9.0106911940230988E-2</v>
      </c>
      <c r="D37" s="671">
        <f t="shared" si="0"/>
        <v>124313.02960228431</v>
      </c>
      <c r="E37" s="743">
        <v>95692.459448572234</v>
      </c>
      <c r="F37" s="743">
        <v>74892</v>
      </c>
      <c r="G37" s="672">
        <v>77502</v>
      </c>
      <c r="H37" s="743">
        <v>1463</v>
      </c>
      <c r="I37" s="743">
        <v>1179</v>
      </c>
      <c r="J37" s="743">
        <v>30</v>
      </c>
      <c r="K37" s="750">
        <f t="shared" si="1"/>
        <v>-0.21736780064421873</v>
      </c>
      <c r="L37" s="674">
        <f t="shared" si="2"/>
        <v>97291.379766216109</v>
      </c>
      <c r="M37" s="665">
        <f t="shared" si="3"/>
        <v>1529.1801675881718</v>
      </c>
      <c r="N37" s="665">
        <f t="shared" si="6"/>
        <v>1550.78</v>
      </c>
      <c r="O37" s="674">
        <f t="shared" si="4"/>
        <v>31.648571428571426</v>
      </c>
      <c r="P37" s="679">
        <f t="shared" si="5"/>
        <v>1560.8287390167432</v>
      </c>
      <c r="Q37" s="3" t="s">
        <v>6</v>
      </c>
      <c r="R37" s="11"/>
      <c r="S37" s="676">
        <v>1.6038295785915202E-2</v>
      </c>
      <c r="T37" s="677">
        <v>2.0408163265306121E-2</v>
      </c>
      <c r="U37" s="48"/>
      <c r="V37" s="678"/>
    </row>
    <row r="38" spans="1:22">
      <c r="A38" s="50" t="s">
        <v>132</v>
      </c>
      <c r="B38" s="3" t="s">
        <v>169</v>
      </c>
      <c r="C38" s="670">
        <f>'Alloc. Factors'!C37</f>
        <v>2.0436630769369551E-2</v>
      </c>
      <c r="D38" s="671">
        <f t="shared" si="0"/>
        <v>28194.723702092488</v>
      </c>
      <c r="E38" s="743">
        <v>21703.456694426881</v>
      </c>
      <c r="F38" s="743">
        <v>21535</v>
      </c>
      <c r="G38" s="672">
        <v>21535</v>
      </c>
      <c r="H38" s="743">
        <v>0</v>
      </c>
      <c r="I38" s="743">
        <v>312</v>
      </c>
      <c r="J38" s="743">
        <v>0</v>
      </c>
      <c r="K38" s="750">
        <f t="shared" si="1"/>
        <v>-7.7617449053697506E-3</v>
      </c>
      <c r="L38" s="674">
        <f t="shared" si="2"/>
        <v>27975.883449039466</v>
      </c>
      <c r="M38" s="665">
        <f t="shared" si="3"/>
        <v>408.66744441136922</v>
      </c>
      <c r="N38" s="665">
        <f t="shared" si="6"/>
        <v>0</v>
      </c>
      <c r="O38" s="674">
        <f t="shared" si="4"/>
        <v>0</v>
      </c>
      <c r="P38" s="679">
        <f t="shared" si="5"/>
        <v>408.66744441136922</v>
      </c>
      <c r="Q38" s="3" t="s">
        <v>169</v>
      </c>
      <c r="R38" s="11"/>
      <c r="S38" s="676">
        <v>1.4905967030415603E-2</v>
      </c>
      <c r="T38" s="677"/>
      <c r="U38" s="48"/>
      <c r="V38" s="678"/>
    </row>
    <row r="39" spans="1:22">
      <c r="A39" s="50" t="s">
        <v>133</v>
      </c>
      <c r="B39" s="3" t="s">
        <v>170</v>
      </c>
      <c r="C39" s="670">
        <f>'Alloc. Factors'!C38</f>
        <v>1.4151653436414943E-2</v>
      </c>
      <c r="D39" s="671">
        <f t="shared" si="0"/>
        <v>19523.86198440849</v>
      </c>
      <c r="E39" s="743">
        <v>15028.886169050456</v>
      </c>
      <c r="F39" s="743">
        <v>19803</v>
      </c>
      <c r="G39" s="672">
        <v>15966</v>
      </c>
      <c r="H39" s="743">
        <v>1095</v>
      </c>
      <c r="I39" s="743">
        <v>351</v>
      </c>
      <c r="J39" s="743">
        <v>21</v>
      </c>
      <c r="K39" s="750">
        <f t="shared" si="1"/>
        <v>0.31766251851591326</v>
      </c>
      <c r="L39" s="674">
        <f t="shared" si="2"/>
        <v>25725.861153532784</v>
      </c>
      <c r="M39" s="665">
        <f t="shared" si="3"/>
        <v>462.66590076571487</v>
      </c>
      <c r="N39" s="665">
        <f t="shared" si="6"/>
        <v>1160.7</v>
      </c>
      <c r="O39" s="674">
        <f t="shared" si="4"/>
        <v>22.141867469879521</v>
      </c>
      <c r="P39" s="679">
        <f t="shared" si="5"/>
        <v>484.80776823559438</v>
      </c>
      <c r="Q39" s="3" t="s">
        <v>170</v>
      </c>
      <c r="R39" s="11"/>
      <c r="S39" s="676">
        <v>1.8351496930978328E-2</v>
      </c>
      <c r="T39" s="677">
        <v>1.9076305220883535E-2</v>
      </c>
      <c r="U39" s="48"/>
      <c r="V39" s="678"/>
    </row>
    <row r="40" spans="1:22">
      <c r="A40" s="50" t="s">
        <v>134</v>
      </c>
      <c r="B40" s="3" t="s">
        <v>171</v>
      </c>
      <c r="C40" s="670">
        <f>'Alloc. Factors'!C39</f>
        <v>1.9452422426659739E-2</v>
      </c>
      <c r="D40" s="671">
        <f t="shared" si="0"/>
        <v>26836.893118316006</v>
      </c>
      <c r="E40" s="743">
        <v>20658.239242227686</v>
      </c>
      <c r="F40" s="743">
        <v>21890</v>
      </c>
      <c r="G40" s="672">
        <v>18000</v>
      </c>
      <c r="H40" s="743">
        <v>87</v>
      </c>
      <c r="I40" s="743">
        <v>336</v>
      </c>
      <c r="J40" s="743">
        <v>1</v>
      </c>
      <c r="K40" s="750">
        <f t="shared" si="1"/>
        <v>5.9625641049526668E-2</v>
      </c>
      <c r="L40" s="674">
        <f t="shared" si="2"/>
        <v>28437.060074273228</v>
      </c>
      <c r="M40" s="665">
        <f t="shared" si="3"/>
        <v>434.52433710206202</v>
      </c>
      <c r="N40" s="665">
        <f t="shared" si="6"/>
        <v>92.22</v>
      </c>
      <c r="O40" s="674">
        <f t="shared" si="4"/>
        <v>1.06</v>
      </c>
      <c r="P40" s="679">
        <f t="shared" si="5"/>
        <v>435.58433710206202</v>
      </c>
      <c r="Q40" s="3" t="s">
        <v>171</v>
      </c>
      <c r="R40" s="11"/>
      <c r="S40" s="676">
        <v>1.5592054156031517E-2</v>
      </c>
      <c r="T40" s="677">
        <v>1.1494252873563218E-2</v>
      </c>
      <c r="U40" s="48"/>
      <c r="V40" s="678"/>
    </row>
    <row r="41" spans="1:22">
      <c r="A41" s="50" t="s">
        <v>135</v>
      </c>
      <c r="B41" s="3" t="s">
        <v>172</v>
      </c>
      <c r="C41" s="670">
        <f>'Alloc. Factors'!C40</f>
        <v>4.9307113439116215E-2</v>
      </c>
      <c r="D41" s="671">
        <f t="shared" si="0"/>
        <v>68024.933055366797</v>
      </c>
      <c r="E41" s="743">
        <v>52363.562924323698</v>
      </c>
      <c r="F41" s="743">
        <v>52341</v>
      </c>
      <c r="G41" s="672">
        <v>42814</v>
      </c>
      <c r="H41" s="743">
        <v>2041</v>
      </c>
      <c r="I41" s="743">
        <v>910</v>
      </c>
      <c r="J41" s="743">
        <v>41</v>
      </c>
      <c r="K41" s="750">
        <f t="shared" si="1"/>
        <v>-4.3088978411011191E-4</v>
      </c>
      <c r="L41" s="674">
        <f t="shared" si="2"/>
        <v>67995.621806648473</v>
      </c>
      <c r="M41" s="665">
        <f t="shared" si="3"/>
        <v>1215.5483958138134</v>
      </c>
      <c r="N41" s="665">
        <f t="shared" si="6"/>
        <v>2163.46</v>
      </c>
      <c r="O41" s="674">
        <f t="shared" si="4"/>
        <v>45.460635775862073</v>
      </c>
      <c r="P41" s="679">
        <f t="shared" si="5"/>
        <v>1261.0090315896755</v>
      </c>
      <c r="Q41" s="3" t="s">
        <v>172</v>
      </c>
      <c r="R41" s="11"/>
      <c r="S41" s="676">
        <v>1.8241696641285561E-2</v>
      </c>
      <c r="T41" s="677">
        <v>2.1012931034482759E-2</v>
      </c>
      <c r="U41" s="48"/>
      <c r="V41" s="678"/>
    </row>
    <row r="42" spans="1:22">
      <c r="A42" s="50" t="s">
        <v>154</v>
      </c>
      <c r="B42" s="3" t="s">
        <v>173</v>
      </c>
      <c r="C42" s="670">
        <f>'Alloc. Factors'!C41</f>
        <v>1.8128679995381449E-2</v>
      </c>
      <c r="D42" s="671">
        <f t="shared" si="0"/>
        <v>25010.635526063244</v>
      </c>
      <c r="E42" s="743">
        <v>19252.440661432072</v>
      </c>
      <c r="F42" s="743">
        <v>19220</v>
      </c>
      <c r="G42" s="672">
        <v>16097</v>
      </c>
      <c r="H42" s="743">
        <v>582</v>
      </c>
      <c r="I42" s="743">
        <v>281</v>
      </c>
      <c r="J42" s="743">
        <v>10</v>
      </c>
      <c r="K42" s="750">
        <f t="shared" si="1"/>
        <v>-1.6850155262163687E-3</v>
      </c>
      <c r="L42" s="674">
        <f t="shared" si="2"/>
        <v>24968.492216881288</v>
      </c>
      <c r="M42" s="665">
        <f t="shared" si="3"/>
        <v>358.74466546066373</v>
      </c>
      <c r="N42" s="665">
        <f t="shared" si="6"/>
        <v>616.92000000000007</v>
      </c>
      <c r="O42" s="674">
        <f t="shared" si="4"/>
        <v>11.662003780718338</v>
      </c>
      <c r="P42" s="679">
        <f t="shared" si="5"/>
        <v>370.40666924138208</v>
      </c>
      <c r="Q42" s="3" t="s">
        <v>173</v>
      </c>
      <c r="R42" s="11"/>
      <c r="S42" s="676">
        <v>1.4661116978318942E-2</v>
      </c>
      <c r="T42" s="677">
        <v>1.890359168241966E-2</v>
      </c>
      <c r="U42" s="48"/>
      <c r="V42" s="678"/>
    </row>
    <row r="43" spans="1:22">
      <c r="A43" s="50" t="s">
        <v>155</v>
      </c>
      <c r="B43" s="3" t="s">
        <v>149</v>
      </c>
      <c r="C43" s="670">
        <f>'Alloc. Factors'!C42</f>
        <v>2.0399897972717112E-3</v>
      </c>
      <c r="D43" s="671">
        <f t="shared" si="0"/>
        <v>2814.4046510528556</v>
      </c>
      <c r="E43" s="744">
        <v>2166.4446905073228</v>
      </c>
      <c r="F43" s="744">
        <v>2200</v>
      </c>
      <c r="G43" s="645">
        <v>1893</v>
      </c>
      <c r="H43" s="744">
        <v>17</v>
      </c>
      <c r="I43" s="743">
        <v>34</v>
      </c>
      <c r="J43" s="743">
        <v>0</v>
      </c>
      <c r="K43" s="750">
        <f t="shared" si="1"/>
        <v>1.5488652740458136E-2</v>
      </c>
      <c r="L43" s="674">
        <f t="shared" si="2"/>
        <v>2857.9959873641433</v>
      </c>
      <c r="M43" s="665">
        <f t="shared" si="3"/>
        <v>1.4795753130569786</v>
      </c>
      <c r="N43" s="665">
        <f t="shared" si="6"/>
        <v>18.02</v>
      </c>
      <c r="O43" s="674">
        <f t="shared" si="4"/>
        <v>1.06</v>
      </c>
      <c r="P43" s="679">
        <f t="shared" si="5"/>
        <v>2.5395753130569787</v>
      </c>
      <c r="Q43" s="3" t="s">
        <v>149</v>
      </c>
      <c r="R43" s="11"/>
      <c r="S43" s="676">
        <v>5.2826201796090863E-4</v>
      </c>
      <c r="T43" s="677">
        <v>5.8823529411764705E-2</v>
      </c>
      <c r="U43" s="48"/>
      <c r="V43" s="678"/>
    </row>
    <row r="44" spans="1:22">
      <c r="A44" s="50" t="s">
        <v>156</v>
      </c>
      <c r="B44" s="3" t="s">
        <v>137</v>
      </c>
      <c r="C44" s="670">
        <f>'Alloc. Factors'!C43</f>
        <v>3.3636609676571207E-2</v>
      </c>
      <c r="D44" s="671">
        <f t="shared" si="0"/>
        <v>46405.639305647259</v>
      </c>
      <c r="E44" s="743">
        <v>35721.675930896316</v>
      </c>
      <c r="F44" s="743">
        <v>37770</v>
      </c>
      <c r="G44" s="672">
        <v>31296</v>
      </c>
      <c r="H44" s="743">
        <v>1122</v>
      </c>
      <c r="I44" s="743">
        <v>487</v>
      </c>
      <c r="J44" s="743">
        <v>17</v>
      </c>
      <c r="K44" s="750">
        <f t="shared" si="1"/>
        <v>5.7341208544251204E-2</v>
      </c>
      <c r="L44" s="674">
        <f t="shared" si="2"/>
        <v>49066.594746701681</v>
      </c>
      <c r="M44" s="665">
        <f t="shared" si="3"/>
        <v>645.31602753522532</v>
      </c>
      <c r="N44" s="665">
        <f t="shared" si="6"/>
        <v>1189.3200000000002</v>
      </c>
      <c r="O44" s="674">
        <f t="shared" si="4"/>
        <v>17.610858835143141</v>
      </c>
      <c r="P44" s="679">
        <f t="shared" si="5"/>
        <v>662.92688637036849</v>
      </c>
      <c r="Q44" s="3" t="s">
        <v>137</v>
      </c>
      <c r="R44" s="11"/>
      <c r="S44" s="676">
        <v>1.3420245398773007E-2</v>
      </c>
      <c r="T44" s="677">
        <v>1.4807502467917079E-2</v>
      </c>
      <c r="U44" s="48"/>
      <c r="V44" s="678"/>
    </row>
    <row r="45" spans="1:22">
      <c r="A45" s="50" t="s">
        <v>157</v>
      </c>
      <c r="B45" s="3" t="s">
        <v>7</v>
      </c>
      <c r="C45" s="670">
        <f>'Alloc. Factors'!C44</f>
        <v>1.7066071892103806E-2</v>
      </c>
      <c r="D45" s="671">
        <f t="shared" si="0"/>
        <v>23544.643298008621</v>
      </c>
      <c r="E45" s="743">
        <v>18123.963604088589</v>
      </c>
      <c r="F45" s="743">
        <v>18628</v>
      </c>
      <c r="G45" s="672">
        <v>13422</v>
      </c>
      <c r="H45" s="743">
        <v>0</v>
      </c>
      <c r="I45" s="743">
        <v>248</v>
      </c>
      <c r="J45" s="743">
        <v>0</v>
      </c>
      <c r="K45" s="750">
        <f t="shared" si="1"/>
        <v>2.7810494819008873E-2</v>
      </c>
      <c r="L45" s="674">
        <f t="shared" si="2"/>
        <v>24199.431478463299</v>
      </c>
      <c r="M45" s="665">
        <f t="shared" si="3"/>
        <v>325.11112235110278</v>
      </c>
      <c r="N45" s="665">
        <f t="shared" si="6"/>
        <v>0</v>
      </c>
      <c r="O45" s="674">
        <f t="shared" si="4"/>
        <v>0</v>
      </c>
      <c r="P45" s="679">
        <f t="shared" si="5"/>
        <v>325.11112235110278</v>
      </c>
      <c r="Q45" s="3" t="s">
        <v>7</v>
      </c>
      <c r="R45" s="11"/>
      <c r="S45" s="676">
        <v>1.3708836239010579E-2</v>
      </c>
      <c r="T45" s="677"/>
      <c r="U45" s="48"/>
      <c r="V45" s="678"/>
    </row>
    <row r="46" spans="1:22">
      <c r="A46" s="50" t="s">
        <v>158</v>
      </c>
      <c r="B46" s="3" t="s">
        <v>1</v>
      </c>
      <c r="C46" s="670">
        <f>'Alloc. Factors'!C45</f>
        <v>4.2306973200618068E-2</v>
      </c>
      <c r="D46" s="671">
        <f t="shared" si="0"/>
        <v>58367.420418980131</v>
      </c>
      <c r="E46" s="743">
        <v>44929.497973222838</v>
      </c>
      <c r="F46" s="743">
        <v>47647</v>
      </c>
      <c r="G46" s="672">
        <v>35775</v>
      </c>
      <c r="H46" s="743">
        <v>100</v>
      </c>
      <c r="I46" s="743">
        <v>601</v>
      </c>
      <c r="J46" s="743">
        <v>1</v>
      </c>
      <c r="K46" s="750">
        <f t="shared" si="1"/>
        <v>6.0483694440493042E-2</v>
      </c>
      <c r="L46" s="674">
        <f t="shared" si="2"/>
        <v>61897.697640881517</v>
      </c>
      <c r="M46" s="665">
        <f t="shared" si="3"/>
        <v>785.05831803140688</v>
      </c>
      <c r="N46" s="665">
        <f t="shared" si="6"/>
        <v>106</v>
      </c>
      <c r="O46" s="674">
        <f t="shared" si="4"/>
        <v>1.06</v>
      </c>
      <c r="P46" s="679">
        <f t="shared" si="5"/>
        <v>786.11831803140683</v>
      </c>
      <c r="Q46" s="3" t="s">
        <v>1</v>
      </c>
      <c r="R46" s="11"/>
      <c r="S46" s="676">
        <v>1.2941998602375961E-2</v>
      </c>
      <c r="T46" s="677">
        <v>0.01</v>
      </c>
      <c r="U46" s="48"/>
      <c r="V46" s="678"/>
    </row>
    <row r="47" spans="1:22">
      <c r="A47" s="50" t="s">
        <v>159</v>
      </c>
      <c r="B47" s="3" t="s">
        <v>150</v>
      </c>
      <c r="C47" s="670">
        <f>'Alloc. Factors'!C46</f>
        <v>1.2822360492912601E-3</v>
      </c>
      <c r="D47" s="671">
        <f t="shared" si="0"/>
        <v>1768.9946811005082</v>
      </c>
      <c r="E47" s="743">
        <v>1361.7193010863584</v>
      </c>
      <c r="F47" s="743">
        <v>1835</v>
      </c>
      <c r="G47" s="672">
        <v>1501</v>
      </c>
      <c r="H47" s="743">
        <v>0</v>
      </c>
      <c r="I47" s="743">
        <v>43</v>
      </c>
      <c r="J47" s="743">
        <v>0</v>
      </c>
      <c r="K47" s="750">
        <f t="shared" si="1"/>
        <v>0.3475611299157364</v>
      </c>
      <c r="L47" s="674">
        <f t="shared" si="2"/>
        <v>2383.8284712787286</v>
      </c>
      <c r="M47" s="665">
        <f t="shared" si="3"/>
        <v>57.548349113559716</v>
      </c>
      <c r="N47" s="665">
        <f t="shared" si="6"/>
        <v>0</v>
      </c>
      <c r="O47" s="674">
        <f t="shared" si="4"/>
        <v>0</v>
      </c>
      <c r="P47" s="679">
        <f t="shared" si="5"/>
        <v>57.548349113559716</v>
      </c>
      <c r="Q47" s="3" t="s">
        <v>150</v>
      </c>
      <c r="R47" s="11"/>
      <c r="S47" s="676">
        <v>2.4633821571238348E-2</v>
      </c>
      <c r="T47" s="677"/>
      <c r="U47" s="48"/>
      <c r="V47" s="678"/>
    </row>
    <row r="48" spans="1:22">
      <c r="A48" s="50" t="s">
        <v>160</v>
      </c>
      <c r="B48" s="3" t="s">
        <v>12</v>
      </c>
      <c r="C48" s="670">
        <f>'Alloc. Factors'!C47</f>
        <v>2.4213416349084613E-2</v>
      </c>
      <c r="D48" s="671">
        <f t="shared" si="0"/>
        <v>33405.241380070693</v>
      </c>
      <c r="E48" s="743">
        <v>25714.357669177447</v>
      </c>
      <c r="F48" s="743">
        <v>25626</v>
      </c>
      <c r="G48" s="672">
        <v>19990</v>
      </c>
      <c r="H48" s="743">
        <v>13</v>
      </c>
      <c r="I48" s="743">
        <v>256</v>
      </c>
      <c r="J48" s="743">
        <v>0</v>
      </c>
      <c r="K48" s="750">
        <f t="shared" si="1"/>
        <v>-3.4361219640091185E-3</v>
      </c>
      <c r="L48" s="674">
        <f t="shared" si="2"/>
        <v>33290.456896451607</v>
      </c>
      <c r="M48" s="665">
        <f t="shared" si="3"/>
        <v>362.31474749334728</v>
      </c>
      <c r="N48" s="665">
        <f t="shared" si="6"/>
        <v>13.780000000000001</v>
      </c>
      <c r="O48" s="674">
        <f t="shared" si="4"/>
        <v>0</v>
      </c>
      <c r="P48" s="679">
        <f t="shared" si="5"/>
        <v>362.31474749334728</v>
      </c>
      <c r="Q48" s="3" t="s">
        <v>12</v>
      </c>
      <c r="R48" s="11"/>
      <c r="S48" s="676">
        <v>1.1105552776388194E-2</v>
      </c>
      <c r="T48" s="677"/>
      <c r="U48" s="48"/>
      <c r="V48" s="678"/>
    </row>
    <row r="49" spans="1:22">
      <c r="A49" s="50" t="s">
        <v>206</v>
      </c>
      <c r="B49" s="680" t="s">
        <v>152</v>
      </c>
      <c r="C49" s="670">
        <f>'Alloc. Factors'!C48</f>
        <v>1.7752717236146874E-2</v>
      </c>
      <c r="D49" s="671">
        <f t="shared" si="0"/>
        <v>24491.950903410929</v>
      </c>
      <c r="E49" s="743">
        <v>18853.172721630832</v>
      </c>
      <c r="F49" s="743">
        <v>20555</v>
      </c>
      <c r="G49" s="672">
        <v>15707</v>
      </c>
      <c r="H49" s="743">
        <v>680</v>
      </c>
      <c r="I49" s="743">
        <v>357</v>
      </c>
      <c r="J49" s="743">
        <v>13</v>
      </c>
      <c r="K49" s="750">
        <f t="shared" si="1"/>
        <v>9.0267420953323615E-2</v>
      </c>
      <c r="L49" s="674">
        <f t="shared" si="2"/>
        <v>26702.77614557726</v>
      </c>
      <c r="M49" s="665">
        <f t="shared" si="3"/>
        <v>483.1558528409663</v>
      </c>
      <c r="N49" s="665">
        <f t="shared" si="6"/>
        <v>720.80000000000007</v>
      </c>
      <c r="O49" s="674">
        <f t="shared" si="4"/>
        <v>14.968690095846647</v>
      </c>
      <c r="P49" s="679">
        <f t="shared" si="5"/>
        <v>498.12454293681293</v>
      </c>
      <c r="Q49" s="680" t="s">
        <v>152</v>
      </c>
      <c r="R49" s="11"/>
      <c r="S49" s="676">
        <v>1.8463105621697333E-2</v>
      </c>
      <c r="T49" s="677">
        <v>2.0766773162939296E-2</v>
      </c>
      <c r="U49" s="48"/>
      <c r="V49" s="678"/>
    </row>
    <row r="50" spans="1:22">
      <c r="A50" s="50" t="s">
        <v>1162</v>
      </c>
      <c r="B50" s="681" t="s">
        <v>153</v>
      </c>
      <c r="C50" s="670">
        <f>'Alloc. Factors'!C49</f>
        <v>7.8724331998627809E-5</v>
      </c>
      <c r="D50" s="682">
        <f t="shared" si="0"/>
        <v>108.6094285492433</v>
      </c>
      <c r="E50" s="743">
        <v>83.604296109843119</v>
      </c>
      <c r="F50" s="743">
        <v>66</v>
      </c>
      <c r="G50" s="672">
        <v>55</v>
      </c>
      <c r="H50" s="743">
        <v>0</v>
      </c>
      <c r="I50" s="743">
        <v>1</v>
      </c>
      <c r="J50" s="743">
        <v>0</v>
      </c>
      <c r="K50" s="750">
        <f t="shared" si="1"/>
        <v>-0.21056688386819017</v>
      </c>
      <c r="L50" s="674">
        <f t="shared" si="2"/>
        <v>85.739879620924285</v>
      </c>
      <c r="M50" s="665">
        <f t="shared" si="3"/>
        <v>1.5277287641546506</v>
      </c>
      <c r="N50" s="665">
        <f t="shared" si="6"/>
        <v>0</v>
      </c>
      <c r="O50" s="674">
        <f t="shared" si="4"/>
        <v>0</v>
      </c>
      <c r="P50" s="679">
        <f t="shared" si="5"/>
        <v>1.5277287641546506</v>
      </c>
      <c r="Q50" s="681" t="s">
        <v>153</v>
      </c>
      <c r="R50" s="11"/>
      <c r="S50" s="676">
        <v>1.8181818181818181E-2</v>
      </c>
      <c r="T50" s="677"/>
      <c r="U50" s="48"/>
      <c r="V50" s="678"/>
    </row>
    <row r="51" spans="1:22">
      <c r="A51" s="50" t="s">
        <v>1169</v>
      </c>
      <c r="B51" s="666"/>
      <c r="C51" s="683">
        <f t="shared" ref="C51" si="7">SUM(C9:C50)</f>
        <v>1.0000000000000002</v>
      </c>
      <c r="D51" s="671">
        <f>SUM(D9:D50)</f>
        <v>1350489.7361324173</v>
      </c>
      <c r="E51" s="745">
        <f>SUM(E9:E50)</f>
        <v>1043416.987632827</v>
      </c>
      <c r="F51" s="745">
        <v>1051941</v>
      </c>
      <c r="G51" s="684">
        <f t="shared" ref="G51:I51" si="8">SUM(G9:G50)</f>
        <v>831272</v>
      </c>
      <c r="H51" s="745">
        <f t="shared" si="8"/>
        <v>35481</v>
      </c>
      <c r="I51" s="745">
        <f t="shared" si="8"/>
        <v>16389</v>
      </c>
      <c r="J51" s="745">
        <f>SUM(J9:J50)</f>
        <v>474</v>
      </c>
      <c r="K51" s="750">
        <f t="shared" si="1"/>
        <v>8.1693248894779708E-3</v>
      </c>
      <c r="L51" s="685">
        <f t="shared" ref="L51:M51" si="9">SUM(L9:L50)</f>
        <v>1361565.8144162735</v>
      </c>
      <c r="M51" s="685">
        <f t="shared" si="9"/>
        <v>21348.679536826279</v>
      </c>
      <c r="N51" s="685">
        <f>SUM(N9:N50)</f>
        <v>37609.86</v>
      </c>
      <c r="O51" s="685">
        <f>SUM(O9:O50)</f>
        <v>520.88423295954374</v>
      </c>
      <c r="P51" s="684">
        <f>SUM(P9:P50)</f>
        <v>21869.563769785826</v>
      </c>
      <c r="Q51" s="48"/>
      <c r="R51" s="11"/>
      <c r="S51" s="732"/>
      <c r="T51" s="48"/>
      <c r="U51" s="48"/>
      <c r="V51" s="653"/>
    </row>
    <row r="52" spans="1:22">
      <c r="B52" s="48"/>
      <c r="C52" s="48"/>
      <c r="D52" s="48"/>
      <c r="E52" s="686"/>
      <c r="F52" s="686"/>
      <c r="G52" s="686"/>
      <c r="H52" s="686"/>
      <c r="I52" s="686"/>
      <c r="J52" s="686"/>
      <c r="K52" s="673"/>
      <c r="L52" s="48"/>
      <c r="M52" s="687"/>
      <c r="N52" s="687"/>
      <c r="O52" s="688"/>
      <c r="P52" s="689"/>
      <c r="Q52" s="48"/>
      <c r="R52" s="11"/>
      <c r="S52" s="733"/>
      <c r="T52" s="48"/>
      <c r="U52" s="48"/>
      <c r="V52" s="657"/>
    </row>
    <row r="53" spans="1:22">
      <c r="B53" s="48"/>
      <c r="C53" s="48"/>
      <c r="D53" s="48"/>
      <c r="E53" s="690"/>
      <c r="F53" s="690"/>
      <c r="G53" s="690"/>
      <c r="H53" s="690"/>
      <c r="I53" s="690"/>
      <c r="J53" s="690"/>
      <c r="K53" s="691"/>
      <c r="M53" s="687"/>
      <c r="N53" s="687"/>
      <c r="O53" s="691"/>
      <c r="Q53" s="734" t="s">
        <v>1888</v>
      </c>
      <c r="R53" s="11"/>
      <c r="S53" s="676">
        <v>1.5706981144898456E-2</v>
      </c>
      <c r="T53" s="48"/>
      <c r="U53" s="48"/>
      <c r="V53" s="657"/>
    </row>
    <row r="54" spans="1:22">
      <c r="B54" s="5"/>
      <c r="C54" s="48"/>
      <c r="D54" s="48"/>
      <c r="E54" s="690"/>
      <c r="F54" s="690"/>
      <c r="G54" s="690"/>
      <c r="H54" s="690"/>
      <c r="I54" s="736"/>
      <c r="J54" s="690"/>
      <c r="K54" s="693"/>
      <c r="L54" s="340"/>
      <c r="O54" s="691"/>
      <c r="P54" s="692"/>
      <c r="Q54" s="735" t="s">
        <v>1889</v>
      </c>
      <c r="R54" s="48"/>
      <c r="S54" s="676">
        <v>1.4316558711177544E-2</v>
      </c>
      <c r="T54" s="48"/>
      <c r="U54" s="48"/>
      <c r="V54" s="657"/>
    </row>
    <row r="55" spans="1:22">
      <c r="C55" s="5"/>
      <c r="D55" s="48"/>
      <c r="E55" s="48"/>
      <c r="F55" s="48"/>
      <c r="G55" s="48"/>
      <c r="H55" s="48"/>
      <c r="I55" s="48"/>
      <c r="J55" s="48"/>
      <c r="K55" s="48"/>
      <c r="L55" s="694"/>
      <c r="M55" s="48"/>
      <c r="N55" s="48"/>
      <c r="O55" s="48"/>
      <c r="P55" s="48"/>
      <c r="Q55" s="48"/>
      <c r="S55" s="48"/>
      <c r="T55" s="48"/>
      <c r="U55" s="48"/>
      <c r="V55" s="645"/>
    </row>
    <row r="56" spans="1:2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694"/>
      <c r="M56" s="48"/>
      <c r="N56" s="48"/>
      <c r="O56" s="48"/>
      <c r="P56" s="48"/>
      <c r="Q56" s="48"/>
      <c r="R56" s="48"/>
      <c r="S56" s="48"/>
      <c r="T56" s="48"/>
      <c r="U56" s="48"/>
      <c r="V56" s="645"/>
    </row>
    <row r="57" spans="1:2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694"/>
      <c r="M57" s="48"/>
      <c r="N57" s="48"/>
      <c r="O57" s="48"/>
      <c r="P57" s="48"/>
      <c r="Q57" s="48"/>
      <c r="R57" s="48"/>
      <c r="S57" s="48"/>
      <c r="T57" s="48"/>
      <c r="U57" s="48"/>
      <c r="V57" s="645"/>
    </row>
    <row r="58" spans="1:2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694"/>
      <c r="M58" s="48"/>
      <c r="N58" s="48"/>
      <c r="O58" s="48"/>
      <c r="P58" s="48"/>
      <c r="Q58" s="48"/>
      <c r="R58" s="48"/>
      <c r="S58" s="48"/>
      <c r="T58" s="48"/>
      <c r="U58" s="48"/>
      <c r="V58" s="645"/>
    </row>
    <row r="59" spans="1:2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694"/>
      <c r="M59" s="48"/>
      <c r="N59" s="48"/>
      <c r="O59" s="48"/>
      <c r="P59" s="48"/>
      <c r="Q59" s="48"/>
      <c r="R59" s="48"/>
      <c r="S59" s="48"/>
      <c r="T59" s="48"/>
      <c r="U59" s="48"/>
      <c r="V59" s="645"/>
    </row>
    <row r="60" spans="1:2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694"/>
      <c r="M60" s="48"/>
      <c r="N60" s="48"/>
      <c r="O60" s="48"/>
      <c r="P60" s="48"/>
      <c r="Q60" s="48"/>
      <c r="R60" s="48"/>
      <c r="S60" s="48"/>
      <c r="T60" s="48"/>
      <c r="U60" s="48"/>
      <c r="V60" s="645"/>
    </row>
    <row r="61" spans="1:2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694"/>
      <c r="M61" s="48"/>
      <c r="N61" s="48"/>
      <c r="O61" s="48"/>
      <c r="P61" s="48"/>
      <c r="Q61" s="48"/>
      <c r="R61" s="48"/>
      <c r="S61" s="48"/>
      <c r="T61" s="48"/>
      <c r="U61" s="48"/>
      <c r="V61" s="645"/>
    </row>
    <row r="62" spans="1:2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694"/>
      <c r="M62" s="48"/>
      <c r="N62" s="48"/>
      <c r="O62" s="48"/>
      <c r="P62" s="48"/>
      <c r="Q62" s="48"/>
      <c r="R62" s="48"/>
      <c r="S62" s="48"/>
      <c r="T62" s="48"/>
      <c r="U62" s="48"/>
      <c r="V62" s="645"/>
    </row>
    <row r="63" spans="1:2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694"/>
      <c r="M63" s="48"/>
      <c r="N63" s="48"/>
      <c r="O63" s="48"/>
      <c r="P63" s="48"/>
      <c r="Q63" s="48"/>
      <c r="R63" s="48"/>
      <c r="S63" s="48"/>
      <c r="T63" s="48"/>
      <c r="U63" s="48"/>
      <c r="V63" s="645"/>
    </row>
    <row r="64" spans="1:2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694"/>
      <c r="M64" s="48"/>
      <c r="N64" s="48"/>
      <c r="O64" s="48"/>
      <c r="P64" s="48"/>
      <c r="Q64" s="48"/>
      <c r="R64" s="48"/>
      <c r="S64" s="48"/>
      <c r="T64" s="48"/>
      <c r="U64" s="48"/>
      <c r="V64" s="645"/>
    </row>
    <row r="65" spans="2:2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694"/>
      <c r="M65" s="48"/>
      <c r="N65" s="48"/>
      <c r="O65" s="48"/>
      <c r="P65" s="48"/>
      <c r="Q65" s="48"/>
      <c r="R65" s="48"/>
      <c r="S65" s="48"/>
      <c r="T65" s="48"/>
      <c r="U65" s="48"/>
      <c r="V65" s="645"/>
    </row>
    <row r="66" spans="2:2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694"/>
      <c r="M66" s="48"/>
      <c r="N66" s="48"/>
      <c r="O66" s="48"/>
      <c r="P66" s="48"/>
      <c r="Q66" s="48"/>
      <c r="R66" s="48"/>
      <c r="S66" s="48"/>
      <c r="T66" s="48"/>
      <c r="U66" s="48"/>
      <c r="V66" s="645"/>
    </row>
    <row r="67" spans="2:2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694"/>
      <c r="M67" s="48"/>
      <c r="N67" s="48"/>
      <c r="O67" s="48"/>
      <c r="P67" s="48"/>
      <c r="Q67" s="48"/>
      <c r="R67" s="48"/>
      <c r="S67" s="48"/>
      <c r="T67" s="48"/>
      <c r="U67" s="48"/>
      <c r="V67" s="645"/>
    </row>
    <row r="68" spans="2:2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694"/>
      <c r="M68" s="48"/>
      <c r="N68" s="48"/>
      <c r="O68" s="48"/>
      <c r="P68" s="48"/>
      <c r="Q68" s="48"/>
      <c r="R68" s="48"/>
      <c r="S68" s="48"/>
      <c r="T68" s="48"/>
      <c r="U68" s="48"/>
      <c r="V68" s="645"/>
    </row>
    <row r="69" spans="2:2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694"/>
      <c r="M69" s="48"/>
      <c r="N69" s="48"/>
      <c r="O69" s="48"/>
      <c r="P69" s="48"/>
      <c r="Q69" s="48"/>
      <c r="R69" s="48"/>
      <c r="S69" s="48"/>
      <c r="T69" s="48"/>
      <c r="U69" s="48"/>
      <c r="V69" s="645"/>
    </row>
    <row r="70" spans="2:2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694"/>
      <c r="M70" s="48"/>
      <c r="N70" s="48"/>
      <c r="O70" s="48"/>
      <c r="P70" s="48"/>
      <c r="Q70" s="48"/>
      <c r="R70" s="48"/>
      <c r="S70" s="48"/>
      <c r="T70" s="48"/>
      <c r="U70" s="48"/>
      <c r="V70" s="645"/>
    </row>
    <row r="71" spans="2:2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694"/>
      <c r="M71" s="48"/>
      <c r="N71" s="48"/>
      <c r="O71" s="48"/>
      <c r="P71" s="48"/>
      <c r="Q71" s="48"/>
      <c r="R71" s="48"/>
      <c r="S71" s="48"/>
      <c r="T71" s="48"/>
      <c r="U71" s="48"/>
      <c r="V71" s="645"/>
    </row>
    <row r="72" spans="2:2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694"/>
      <c r="M72" s="48"/>
      <c r="N72" s="48"/>
      <c r="O72" s="48"/>
      <c r="P72" s="48"/>
      <c r="Q72" s="48"/>
      <c r="R72" s="48"/>
      <c r="S72" s="48"/>
      <c r="T72" s="48"/>
      <c r="U72" s="48"/>
      <c r="V72" s="645"/>
    </row>
    <row r="73" spans="2:2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694"/>
      <c r="M73" s="48"/>
      <c r="N73" s="48"/>
      <c r="O73" s="48"/>
      <c r="P73" s="48"/>
      <c r="Q73" s="48"/>
      <c r="R73" s="48"/>
      <c r="S73" s="48"/>
      <c r="T73" s="48"/>
      <c r="U73" s="48"/>
      <c r="V73" s="645"/>
    </row>
    <row r="74" spans="2:2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694"/>
      <c r="M74" s="48"/>
      <c r="N74" s="48"/>
      <c r="O74" s="48"/>
      <c r="P74" s="48"/>
      <c r="Q74" s="48"/>
      <c r="R74" s="48"/>
      <c r="S74" s="48"/>
      <c r="T74" s="48"/>
      <c r="U74" s="48"/>
      <c r="V74" s="645"/>
    </row>
    <row r="75" spans="2:2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694"/>
      <c r="M75" s="48"/>
      <c r="N75" s="48"/>
      <c r="O75" s="48"/>
      <c r="P75" s="48"/>
      <c r="Q75" s="48"/>
      <c r="R75" s="48"/>
      <c r="S75" s="48"/>
      <c r="T75" s="48"/>
      <c r="U75" s="48"/>
      <c r="V75" s="645"/>
    </row>
    <row r="76" spans="2:2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694"/>
      <c r="M76" s="48"/>
      <c r="N76" s="48"/>
      <c r="O76" s="48"/>
      <c r="P76" s="48"/>
      <c r="Q76" s="48"/>
      <c r="R76" s="48"/>
      <c r="S76" s="48"/>
      <c r="T76" s="48"/>
      <c r="U76" s="48"/>
      <c r="V76" s="645"/>
    </row>
    <row r="77" spans="2:2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694"/>
      <c r="M77" s="48"/>
      <c r="N77" s="48"/>
      <c r="O77" s="48"/>
      <c r="P77" s="48"/>
      <c r="Q77" s="48"/>
      <c r="R77" s="48"/>
      <c r="S77" s="48"/>
      <c r="T77" s="48"/>
      <c r="U77" s="48"/>
      <c r="V77" s="645"/>
    </row>
    <row r="78" spans="2:2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694"/>
      <c r="M78" s="48"/>
      <c r="N78" s="48"/>
      <c r="O78" s="48"/>
      <c r="P78" s="48"/>
      <c r="Q78" s="48"/>
      <c r="R78" s="48"/>
      <c r="S78" s="48"/>
      <c r="T78" s="48"/>
      <c r="U78" s="48"/>
      <c r="V78" s="645"/>
    </row>
    <row r="79" spans="2:2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694"/>
      <c r="M79" s="48"/>
      <c r="N79" s="48"/>
      <c r="O79" s="48"/>
      <c r="P79" s="48"/>
      <c r="Q79" s="48"/>
      <c r="R79" s="48"/>
      <c r="S79" s="48"/>
      <c r="T79" s="48"/>
      <c r="U79" s="48"/>
      <c r="V79" s="645"/>
    </row>
    <row r="80" spans="2:2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694"/>
      <c r="M80" s="48"/>
      <c r="N80" s="48"/>
      <c r="O80" s="48"/>
      <c r="P80" s="48"/>
      <c r="Q80" s="48"/>
      <c r="R80" s="48"/>
      <c r="S80" s="48"/>
      <c r="T80" s="48"/>
      <c r="U80" s="48"/>
      <c r="V80" s="645"/>
    </row>
    <row r="81" spans="2:2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694"/>
      <c r="M81" s="48"/>
      <c r="N81" s="48"/>
      <c r="O81" s="48"/>
      <c r="P81" s="48"/>
      <c r="Q81" s="48"/>
      <c r="R81" s="48"/>
      <c r="S81" s="48"/>
      <c r="T81" s="48"/>
      <c r="U81" s="48"/>
      <c r="V81" s="645"/>
    </row>
    <row r="82" spans="2:2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694"/>
      <c r="M82" s="48"/>
      <c r="N82" s="48"/>
      <c r="O82" s="48"/>
      <c r="P82" s="48"/>
      <c r="Q82" s="48"/>
      <c r="R82" s="48"/>
      <c r="S82" s="48"/>
      <c r="T82" s="48"/>
      <c r="U82" s="48"/>
      <c r="V82" s="645"/>
    </row>
    <row r="83" spans="2:2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694"/>
      <c r="M83" s="48"/>
      <c r="N83" s="48"/>
      <c r="O83" s="48"/>
      <c r="P83" s="48"/>
      <c r="Q83" s="48"/>
      <c r="R83" s="48"/>
      <c r="S83" s="48"/>
      <c r="T83" s="48"/>
      <c r="U83" s="48"/>
      <c r="V83" s="645"/>
    </row>
    <row r="84" spans="2:2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694"/>
      <c r="M84" s="48"/>
      <c r="N84" s="48"/>
      <c r="O84" s="48"/>
      <c r="P84" s="48"/>
      <c r="Q84" s="48"/>
      <c r="R84" s="48"/>
      <c r="S84" s="48"/>
      <c r="T84" s="48"/>
      <c r="U84" s="48"/>
      <c r="V84" s="645"/>
    </row>
    <row r="85" spans="2:2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694"/>
      <c r="M85" s="48"/>
      <c r="N85" s="48"/>
      <c r="O85" s="48"/>
      <c r="P85" s="48"/>
      <c r="Q85" s="48"/>
      <c r="R85" s="48"/>
      <c r="S85" s="48"/>
      <c r="T85" s="48"/>
      <c r="U85" s="48"/>
      <c r="V85" s="645"/>
    </row>
    <row r="86" spans="2:2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694"/>
      <c r="M86" s="48"/>
      <c r="N86" s="48"/>
      <c r="O86" s="48"/>
      <c r="P86" s="48"/>
      <c r="Q86" s="48"/>
      <c r="R86" s="48"/>
      <c r="S86" s="48"/>
      <c r="T86" s="48"/>
      <c r="U86" s="48"/>
      <c r="V86" s="645"/>
    </row>
    <row r="87" spans="2:2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694"/>
      <c r="M87" s="48"/>
      <c r="N87" s="48"/>
      <c r="O87" s="48"/>
      <c r="P87" s="48"/>
      <c r="Q87" s="48"/>
      <c r="R87" s="48"/>
      <c r="S87" s="48"/>
      <c r="T87" s="48"/>
      <c r="U87" s="48"/>
      <c r="V87" s="645"/>
    </row>
    <row r="88" spans="2:2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694"/>
      <c r="M88" s="48"/>
      <c r="N88" s="48"/>
      <c r="O88" s="48"/>
      <c r="P88" s="48"/>
      <c r="Q88" s="48"/>
      <c r="R88" s="48"/>
      <c r="S88" s="48"/>
      <c r="T88" s="48"/>
      <c r="U88" s="48"/>
      <c r="V88" s="645"/>
    </row>
    <row r="89" spans="2:2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694"/>
      <c r="M89" s="48"/>
      <c r="N89" s="48"/>
      <c r="O89" s="48"/>
      <c r="P89" s="48"/>
      <c r="Q89" s="48"/>
      <c r="R89" s="48"/>
      <c r="S89" s="48"/>
      <c r="T89" s="48"/>
      <c r="U89" s="48"/>
      <c r="V89" s="645"/>
    </row>
    <row r="90" spans="2:2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694"/>
      <c r="M90" s="48"/>
      <c r="N90" s="48"/>
      <c r="O90" s="48"/>
      <c r="P90" s="48"/>
      <c r="Q90" s="48"/>
      <c r="R90" s="48"/>
      <c r="S90" s="48"/>
      <c r="T90" s="48"/>
      <c r="U90" s="48"/>
      <c r="V90" s="645"/>
    </row>
    <row r="91" spans="2:2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694"/>
      <c r="M91" s="48"/>
      <c r="N91" s="48"/>
      <c r="O91" s="48"/>
      <c r="P91" s="48"/>
      <c r="Q91" s="48"/>
      <c r="R91" s="48"/>
      <c r="S91" s="48"/>
      <c r="T91" s="48"/>
      <c r="U91" s="48"/>
      <c r="V91" s="645"/>
    </row>
    <row r="92" spans="2:2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694"/>
      <c r="M92" s="48"/>
      <c r="N92" s="48"/>
      <c r="O92" s="48"/>
      <c r="P92" s="48"/>
      <c r="Q92" s="48"/>
      <c r="R92" s="48"/>
      <c r="S92" s="48"/>
      <c r="T92" s="48"/>
      <c r="U92" s="48"/>
      <c r="V92" s="645"/>
    </row>
    <row r="93" spans="2:2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694"/>
      <c r="M93" s="48"/>
      <c r="N93" s="48"/>
      <c r="O93" s="48"/>
      <c r="P93" s="48"/>
      <c r="Q93" s="48"/>
      <c r="R93" s="48"/>
      <c r="S93" s="48"/>
      <c r="T93" s="48"/>
      <c r="U93" s="48"/>
      <c r="V93" s="645"/>
    </row>
    <row r="94" spans="2:2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694"/>
      <c r="M94" s="48"/>
      <c r="N94" s="48"/>
      <c r="O94" s="48"/>
      <c r="P94" s="48"/>
      <c r="Q94" s="48"/>
      <c r="R94" s="48"/>
      <c r="S94" s="48"/>
      <c r="T94" s="48"/>
      <c r="U94" s="48"/>
      <c r="V94" s="645"/>
    </row>
    <row r="95" spans="2:2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694"/>
      <c r="M95" s="48"/>
      <c r="N95" s="48"/>
      <c r="O95" s="48"/>
      <c r="P95" s="48"/>
      <c r="Q95" s="48"/>
      <c r="R95" s="48"/>
      <c r="S95" s="48"/>
      <c r="T95" s="48"/>
      <c r="U95" s="48"/>
      <c r="V95" s="645"/>
    </row>
    <row r="96" spans="2:2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694"/>
      <c r="M96" s="48"/>
      <c r="N96" s="48"/>
      <c r="O96" s="48"/>
      <c r="P96" s="48"/>
      <c r="Q96" s="48"/>
      <c r="R96" s="48"/>
      <c r="S96" s="48"/>
      <c r="T96" s="48"/>
      <c r="U96" s="48"/>
      <c r="V96" s="645"/>
    </row>
    <row r="97" spans="2:2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694"/>
      <c r="M97" s="48"/>
      <c r="N97" s="48"/>
      <c r="O97" s="48"/>
      <c r="P97" s="48"/>
      <c r="Q97" s="48"/>
      <c r="R97" s="48"/>
      <c r="S97" s="48"/>
      <c r="T97" s="48"/>
      <c r="U97" s="48"/>
      <c r="V97" s="645"/>
    </row>
    <row r="98" spans="2:2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694"/>
      <c r="M98" s="48"/>
      <c r="N98" s="48"/>
      <c r="O98" s="48"/>
      <c r="P98" s="48"/>
      <c r="Q98" s="48"/>
      <c r="R98" s="48"/>
      <c r="S98" s="48"/>
      <c r="T98" s="48"/>
      <c r="U98" s="48"/>
      <c r="V98" s="645"/>
    </row>
    <row r="99" spans="2:2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694"/>
      <c r="M99" s="48"/>
      <c r="N99" s="48"/>
      <c r="O99" s="48"/>
      <c r="P99" s="48"/>
      <c r="Q99" s="48"/>
      <c r="R99" s="48"/>
      <c r="S99" s="48"/>
      <c r="T99" s="48"/>
      <c r="U99" s="48"/>
      <c r="V99" s="645"/>
    </row>
    <row r="100" spans="2:2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694"/>
      <c r="M100" s="48"/>
      <c r="N100" s="48"/>
      <c r="O100" s="48"/>
      <c r="P100" s="48"/>
      <c r="Q100" s="48"/>
      <c r="R100" s="48"/>
      <c r="S100" s="48"/>
      <c r="T100" s="48"/>
      <c r="U100" s="48"/>
      <c r="V100" s="645"/>
    </row>
    <row r="101" spans="2:2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694"/>
      <c r="M101" s="48"/>
      <c r="N101" s="48"/>
      <c r="O101" s="48"/>
      <c r="P101" s="48"/>
      <c r="Q101" s="48"/>
      <c r="R101" s="48"/>
      <c r="S101" s="48"/>
      <c r="T101" s="48"/>
      <c r="U101" s="48"/>
      <c r="V101" s="645"/>
    </row>
    <row r="102" spans="2:2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694"/>
      <c r="M102" s="48"/>
      <c r="N102" s="48"/>
      <c r="O102" s="48"/>
      <c r="P102" s="48"/>
      <c r="Q102" s="48"/>
      <c r="R102" s="48"/>
      <c r="S102" s="48"/>
      <c r="T102" s="48"/>
      <c r="U102" s="48"/>
      <c r="V102" s="645"/>
    </row>
    <row r="103" spans="2:2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694"/>
      <c r="M103" s="48"/>
      <c r="N103" s="48"/>
      <c r="O103" s="48"/>
      <c r="P103" s="48"/>
      <c r="Q103" s="48"/>
      <c r="R103" s="48"/>
      <c r="S103" s="48"/>
      <c r="T103" s="48"/>
      <c r="U103" s="48"/>
      <c r="V103" s="645"/>
    </row>
    <row r="104" spans="2:2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694"/>
      <c r="M104" s="48"/>
      <c r="N104" s="48"/>
      <c r="O104" s="48"/>
      <c r="P104" s="48"/>
      <c r="Q104" s="48"/>
      <c r="R104" s="48"/>
      <c r="S104" s="48"/>
      <c r="T104" s="48"/>
      <c r="U104" s="48"/>
      <c r="V104" s="645"/>
    </row>
    <row r="105" spans="2:2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694"/>
      <c r="M105" s="48"/>
      <c r="N105" s="48"/>
      <c r="O105" s="48"/>
      <c r="P105" s="48"/>
      <c r="Q105" s="48"/>
      <c r="R105" s="48"/>
      <c r="S105" s="48"/>
      <c r="T105" s="48"/>
      <c r="U105" s="48"/>
      <c r="V105" s="645"/>
    </row>
    <row r="106" spans="2:2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694"/>
      <c r="M106" s="48"/>
      <c r="N106" s="48"/>
      <c r="O106" s="48"/>
      <c r="P106" s="48"/>
      <c r="Q106" s="48"/>
      <c r="R106" s="48"/>
      <c r="S106" s="48"/>
      <c r="T106" s="48"/>
      <c r="U106" s="48"/>
      <c r="V106" s="645"/>
    </row>
    <row r="107" spans="2:2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694"/>
      <c r="M107" s="48"/>
      <c r="N107" s="48"/>
      <c r="O107" s="48"/>
      <c r="P107" s="48"/>
      <c r="Q107" s="48"/>
      <c r="R107" s="48"/>
      <c r="S107" s="48"/>
      <c r="T107" s="48"/>
      <c r="U107" s="48"/>
      <c r="V107" s="645"/>
    </row>
    <row r="108" spans="2:2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694"/>
      <c r="M108" s="48"/>
      <c r="N108" s="48"/>
      <c r="O108" s="48"/>
      <c r="P108" s="48"/>
      <c r="Q108" s="48"/>
      <c r="R108" s="48"/>
      <c r="S108" s="48"/>
      <c r="T108" s="48"/>
      <c r="U108" s="48"/>
      <c r="V108" s="645"/>
    </row>
    <row r="109" spans="2:2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694"/>
      <c r="M109" s="48"/>
      <c r="N109" s="48"/>
      <c r="O109" s="48"/>
      <c r="P109" s="48"/>
      <c r="Q109" s="48"/>
      <c r="R109" s="48"/>
      <c r="S109" s="48"/>
      <c r="T109" s="48"/>
      <c r="U109" s="48"/>
      <c r="V109" s="645"/>
    </row>
    <row r="110" spans="2:2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694"/>
      <c r="M110" s="48"/>
      <c r="N110" s="48"/>
      <c r="O110" s="48"/>
      <c r="P110" s="48"/>
      <c r="Q110" s="48"/>
      <c r="R110" s="48"/>
      <c r="S110" s="48"/>
      <c r="T110" s="48"/>
      <c r="U110" s="48"/>
      <c r="V110" s="645"/>
    </row>
    <row r="111" spans="2:2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694"/>
      <c r="M111" s="48"/>
      <c r="N111" s="48"/>
      <c r="O111" s="48"/>
      <c r="P111" s="48"/>
      <c r="Q111" s="48"/>
      <c r="R111" s="48"/>
      <c r="S111" s="48"/>
      <c r="T111" s="48"/>
      <c r="U111" s="48"/>
      <c r="V111" s="645"/>
    </row>
    <row r="112" spans="2:2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694"/>
      <c r="M112" s="48"/>
      <c r="N112" s="48"/>
      <c r="O112" s="48"/>
      <c r="P112" s="48"/>
      <c r="Q112" s="48"/>
      <c r="R112" s="48"/>
      <c r="S112" s="48"/>
      <c r="T112" s="48"/>
      <c r="U112" s="48"/>
      <c r="V112" s="645"/>
    </row>
    <row r="113" spans="2:2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694"/>
      <c r="M113" s="48"/>
      <c r="N113" s="48"/>
      <c r="O113" s="48"/>
      <c r="P113" s="48"/>
      <c r="Q113" s="48"/>
      <c r="R113" s="48"/>
      <c r="S113" s="48"/>
      <c r="T113" s="48"/>
      <c r="U113" s="48"/>
      <c r="V113" s="645"/>
    </row>
    <row r="114" spans="2:2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694"/>
      <c r="M114" s="48"/>
      <c r="N114" s="48"/>
      <c r="O114" s="48"/>
      <c r="P114" s="48"/>
      <c r="Q114" s="48"/>
      <c r="R114" s="48"/>
      <c r="S114" s="48"/>
      <c r="T114" s="48"/>
      <c r="U114" s="48"/>
      <c r="V114" s="645"/>
    </row>
    <row r="115" spans="2:2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694"/>
      <c r="M115" s="48"/>
      <c r="N115" s="48"/>
      <c r="O115" s="48"/>
      <c r="P115" s="48"/>
      <c r="Q115" s="48"/>
      <c r="R115" s="48"/>
      <c r="S115" s="48"/>
      <c r="T115" s="48"/>
      <c r="U115" s="48"/>
      <c r="V115" s="645"/>
    </row>
    <row r="116" spans="2:2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694"/>
      <c r="M116" s="48"/>
      <c r="N116" s="48"/>
      <c r="O116" s="48"/>
      <c r="P116" s="48"/>
      <c r="Q116" s="48"/>
      <c r="R116" s="48"/>
      <c r="S116" s="48"/>
      <c r="T116" s="48"/>
      <c r="U116" s="48"/>
      <c r="V116" s="645"/>
    </row>
    <row r="117" spans="2:2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694"/>
      <c r="M117" s="48"/>
      <c r="N117" s="48"/>
      <c r="O117" s="48"/>
      <c r="P117" s="48"/>
      <c r="Q117" s="48"/>
      <c r="R117" s="48"/>
      <c r="S117" s="48"/>
      <c r="T117" s="48"/>
      <c r="U117" s="48"/>
      <c r="V117" s="645"/>
    </row>
    <row r="118" spans="2:2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694"/>
      <c r="M118" s="48"/>
      <c r="N118" s="48"/>
      <c r="O118" s="48"/>
      <c r="P118" s="48"/>
      <c r="Q118" s="48"/>
      <c r="R118" s="48"/>
      <c r="S118" s="48"/>
      <c r="T118" s="48"/>
      <c r="U118" s="48"/>
      <c r="V118" s="645"/>
    </row>
    <row r="119" spans="2:2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694"/>
      <c r="M119" s="48"/>
      <c r="N119" s="48"/>
      <c r="O119" s="48"/>
      <c r="P119" s="48"/>
      <c r="Q119" s="48"/>
      <c r="R119" s="48"/>
      <c r="S119" s="48"/>
      <c r="T119" s="48"/>
      <c r="U119" s="48"/>
      <c r="V119" s="645"/>
    </row>
    <row r="120" spans="2:2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694"/>
      <c r="M120" s="48"/>
      <c r="N120" s="48"/>
      <c r="O120" s="48"/>
      <c r="P120" s="48"/>
      <c r="Q120" s="48"/>
      <c r="R120" s="48"/>
      <c r="S120" s="48"/>
      <c r="T120" s="48"/>
      <c r="U120" s="48"/>
      <c r="V120" s="645"/>
    </row>
    <row r="121" spans="2:2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694"/>
      <c r="M121" s="48"/>
      <c r="N121" s="48"/>
      <c r="O121" s="48"/>
      <c r="P121" s="48"/>
      <c r="Q121" s="48"/>
      <c r="R121" s="48"/>
      <c r="S121" s="48"/>
      <c r="T121" s="48"/>
      <c r="U121" s="48"/>
      <c r="V121" s="645"/>
    </row>
    <row r="122" spans="2:2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694"/>
      <c r="M122" s="48"/>
      <c r="N122" s="48"/>
      <c r="O122" s="48"/>
      <c r="P122" s="48"/>
      <c r="Q122" s="48"/>
      <c r="R122" s="48"/>
      <c r="S122" s="48"/>
      <c r="T122" s="48"/>
      <c r="U122" s="48"/>
      <c r="V122" s="645"/>
    </row>
    <row r="123" spans="2:2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694"/>
      <c r="M123" s="48"/>
      <c r="N123" s="48"/>
      <c r="O123" s="48"/>
      <c r="P123" s="48"/>
      <c r="Q123" s="48"/>
      <c r="R123" s="48"/>
      <c r="S123" s="48"/>
      <c r="T123" s="48"/>
      <c r="U123" s="48"/>
      <c r="V123" s="645"/>
    </row>
    <row r="124" spans="2:2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694"/>
      <c r="M124" s="48"/>
      <c r="N124" s="48"/>
      <c r="O124" s="48"/>
      <c r="P124" s="48"/>
      <c r="Q124" s="48"/>
      <c r="R124" s="48"/>
      <c r="S124" s="48"/>
      <c r="T124" s="48"/>
      <c r="U124" s="48"/>
      <c r="V124" s="645"/>
    </row>
    <row r="125" spans="2:2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694"/>
      <c r="M125" s="48"/>
      <c r="N125" s="48"/>
      <c r="O125" s="48"/>
      <c r="P125" s="48"/>
      <c r="Q125" s="48"/>
      <c r="R125" s="48"/>
      <c r="S125" s="48"/>
      <c r="T125" s="48"/>
      <c r="U125" s="48"/>
      <c r="V125" s="645"/>
    </row>
    <row r="126" spans="2:2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694"/>
      <c r="M126" s="48"/>
      <c r="N126" s="48"/>
      <c r="O126" s="48"/>
      <c r="P126" s="48"/>
      <c r="Q126" s="48"/>
      <c r="R126" s="48"/>
      <c r="S126" s="48"/>
      <c r="T126" s="48"/>
      <c r="U126" s="48"/>
      <c r="V126" s="645"/>
    </row>
    <row r="127" spans="2:2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694"/>
      <c r="M127" s="48"/>
      <c r="N127" s="48"/>
      <c r="O127" s="48"/>
      <c r="P127" s="48"/>
      <c r="Q127" s="48"/>
      <c r="R127" s="48"/>
      <c r="S127" s="48"/>
      <c r="T127" s="48"/>
      <c r="U127" s="48"/>
      <c r="V127" s="645"/>
    </row>
    <row r="128" spans="2:2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694"/>
      <c r="M128" s="48"/>
      <c r="N128" s="48"/>
      <c r="O128" s="48"/>
      <c r="P128" s="48"/>
      <c r="Q128" s="48"/>
      <c r="R128" s="48"/>
      <c r="S128" s="48"/>
      <c r="T128" s="48"/>
      <c r="U128" s="48"/>
      <c r="V128" s="645"/>
    </row>
    <row r="129" spans="2:2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694"/>
      <c r="M129" s="48"/>
      <c r="N129" s="48"/>
      <c r="O129" s="48"/>
      <c r="P129" s="48"/>
      <c r="Q129" s="48"/>
      <c r="R129" s="48"/>
      <c r="S129" s="48"/>
      <c r="T129" s="48"/>
      <c r="U129" s="48"/>
      <c r="V129" s="645"/>
    </row>
    <row r="130" spans="2:2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694"/>
      <c r="M130" s="48"/>
      <c r="N130" s="48"/>
      <c r="O130" s="48"/>
      <c r="P130" s="48"/>
      <c r="Q130" s="48"/>
      <c r="R130" s="48"/>
      <c r="S130" s="48"/>
      <c r="T130" s="48"/>
      <c r="U130" s="48"/>
      <c r="V130" s="645"/>
    </row>
    <row r="131" spans="2:2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694"/>
      <c r="M131" s="48"/>
      <c r="N131" s="48"/>
      <c r="O131" s="48"/>
      <c r="P131" s="48"/>
      <c r="Q131" s="48"/>
      <c r="R131" s="48"/>
      <c r="S131" s="48"/>
      <c r="T131" s="48"/>
      <c r="U131" s="48"/>
      <c r="V131" s="645"/>
    </row>
    <row r="132" spans="2:2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694"/>
      <c r="M132" s="48"/>
      <c r="N132" s="48"/>
      <c r="O132" s="48"/>
      <c r="P132" s="48"/>
      <c r="Q132" s="48"/>
      <c r="R132" s="48"/>
      <c r="S132" s="48"/>
      <c r="T132" s="48"/>
      <c r="U132" s="48"/>
      <c r="V132" s="645"/>
    </row>
    <row r="133" spans="2:2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694"/>
      <c r="M133" s="48"/>
      <c r="N133" s="48"/>
      <c r="O133" s="48"/>
      <c r="P133" s="48"/>
      <c r="Q133" s="48"/>
      <c r="R133" s="48"/>
      <c r="S133" s="48"/>
      <c r="T133" s="48"/>
      <c r="U133" s="48"/>
      <c r="V133" s="645"/>
    </row>
    <row r="134" spans="2:2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694"/>
      <c r="M134" s="48"/>
      <c r="N134" s="48"/>
      <c r="O134" s="48"/>
      <c r="P134" s="48"/>
      <c r="Q134" s="48"/>
      <c r="R134" s="48"/>
      <c r="S134" s="48"/>
      <c r="T134" s="48"/>
      <c r="U134" s="48"/>
      <c r="V134" s="645"/>
    </row>
    <row r="135" spans="2:2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694"/>
      <c r="M135" s="48"/>
      <c r="N135" s="48"/>
      <c r="O135" s="48"/>
      <c r="P135" s="48"/>
      <c r="Q135" s="48"/>
      <c r="R135" s="48"/>
      <c r="S135" s="48"/>
      <c r="T135" s="48"/>
      <c r="U135" s="48"/>
      <c r="V135" s="645"/>
    </row>
    <row r="136" spans="2:22">
      <c r="T136" s="48"/>
      <c r="U136" s="48"/>
      <c r="V136" s="645"/>
    </row>
    <row r="137" spans="2:22">
      <c r="U137" s="48"/>
      <c r="V137" s="645"/>
    </row>
    <row r="138" spans="2:22">
      <c r="U138" s="48"/>
      <c r="V138" s="645"/>
    </row>
    <row r="139" spans="2:22">
      <c r="U139" s="48"/>
      <c r="V139" s="645"/>
    </row>
    <row r="140" spans="2:22">
      <c r="U140" s="48"/>
      <c r="V140" s="645"/>
    </row>
    <row r="141" spans="2:22">
      <c r="V141" s="645"/>
    </row>
    <row r="142" spans="2:22">
      <c r="V142" s="645"/>
    </row>
  </sheetData>
  <pageMargins left="0.7" right="0.7" top="0.75" bottom="0.75" header="0.3" footer="0.3"/>
  <pageSetup scale="40" fitToHeight="0" orientation="landscape" r:id="rId1"/>
  <customProperties>
    <customPr name="EpmWorksheetKeyString_GU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activeCell="E45" sqref="E45"/>
    </sheetView>
  </sheetViews>
  <sheetFormatPr defaultRowHeight="12.75"/>
  <cols>
    <col min="1" max="1" width="12" customWidth="1"/>
    <col min="4" max="4" width="12.140625" customWidth="1"/>
  </cols>
  <sheetData>
    <row r="1" spans="1:1">
      <c r="A1" t="s">
        <v>59</v>
      </c>
    </row>
    <row r="2" spans="1:1">
      <c r="A2" t="s">
        <v>1183</v>
      </c>
    </row>
    <row r="3" spans="1:1">
      <c r="A3" s="445">
        <v>41639</v>
      </c>
    </row>
    <row r="26" spans="1:5" ht="17.25">
      <c r="A26" s="446"/>
      <c r="B26" s="447" t="s">
        <v>306</v>
      </c>
      <c r="C26" s="446"/>
      <c r="D26" s="448" t="s">
        <v>241</v>
      </c>
      <c r="E26" s="446"/>
    </row>
    <row r="27" spans="1:5" ht="15">
      <c r="A27" s="446" t="s">
        <v>1184</v>
      </c>
      <c r="B27" s="446" t="s">
        <v>1185</v>
      </c>
      <c r="C27" s="446"/>
      <c r="D27" s="449">
        <v>472168.96000000002</v>
      </c>
      <c r="E27" s="446"/>
    </row>
    <row r="28" spans="1:5" ht="15">
      <c r="A28" s="446" t="s">
        <v>1186</v>
      </c>
      <c r="B28" s="446" t="s">
        <v>1187</v>
      </c>
      <c r="C28" s="446"/>
      <c r="D28" s="450">
        <v>393358.74</v>
      </c>
      <c r="E28" s="446"/>
    </row>
    <row r="29" spans="1:5" ht="15">
      <c r="A29" s="446" t="s">
        <v>1188</v>
      </c>
      <c r="B29" s="446" t="s">
        <v>172</v>
      </c>
      <c r="C29" s="446"/>
      <c r="D29" s="450">
        <v>128046.19</v>
      </c>
      <c r="E29" s="446"/>
    </row>
    <row r="30" spans="1:5" ht="15">
      <c r="A30" s="446" t="s">
        <v>1189</v>
      </c>
      <c r="B30" s="446" t="s">
        <v>6</v>
      </c>
      <c r="C30" s="446"/>
      <c r="D30" s="450">
        <v>501765.98</v>
      </c>
      <c r="E30" s="446"/>
    </row>
    <row r="31" spans="1:5" ht="15">
      <c r="A31" s="446" t="s">
        <v>1190</v>
      </c>
      <c r="B31" s="446" t="s">
        <v>1191</v>
      </c>
      <c r="C31" s="446"/>
      <c r="D31" s="450">
        <v>72069.399999999994</v>
      </c>
      <c r="E31" s="446"/>
    </row>
    <row r="32" spans="1:5" ht="15">
      <c r="A32" s="446" t="s">
        <v>1192</v>
      </c>
      <c r="B32" s="446" t="s">
        <v>164</v>
      </c>
      <c r="C32" s="446"/>
      <c r="D32" s="450">
        <v>223755.48</v>
      </c>
      <c r="E32" s="446"/>
    </row>
    <row r="33" spans="1:5" ht="15">
      <c r="A33" s="446" t="s">
        <v>1193</v>
      </c>
      <c r="B33" s="446" t="s">
        <v>173</v>
      </c>
      <c r="C33" s="446"/>
      <c r="D33" s="450">
        <v>80163.03</v>
      </c>
      <c r="E33" s="446"/>
    </row>
    <row r="34" spans="1:5" ht="15">
      <c r="A34" s="446" t="s">
        <v>1194</v>
      </c>
      <c r="B34" s="446" t="s">
        <v>660</v>
      </c>
      <c r="C34" s="446"/>
      <c r="D34" s="450">
        <v>195946.39</v>
      </c>
      <c r="E34" s="446"/>
    </row>
    <row r="35" spans="1:5" ht="15">
      <c r="A35" s="446" t="s">
        <v>1195</v>
      </c>
      <c r="B35" s="446" t="s">
        <v>165</v>
      </c>
      <c r="C35" s="446"/>
      <c r="D35" s="450">
        <v>11921.58</v>
      </c>
      <c r="E35" s="446"/>
    </row>
    <row r="36" spans="1:5" ht="15">
      <c r="A36" s="446" t="s">
        <v>1196</v>
      </c>
      <c r="B36" s="446" t="s">
        <v>137</v>
      </c>
      <c r="C36" s="446"/>
      <c r="D36" s="450">
        <v>167667.72</v>
      </c>
      <c r="E36" s="446"/>
    </row>
    <row r="37" spans="1:5" ht="15">
      <c r="A37" s="446" t="s">
        <v>1197</v>
      </c>
      <c r="B37" s="446" t="s">
        <v>1198</v>
      </c>
      <c r="C37" s="446"/>
      <c r="D37" s="450">
        <v>69109.05</v>
      </c>
      <c r="E37" s="446"/>
    </row>
    <row r="38" spans="1:5" ht="15">
      <c r="A38" s="446" t="s">
        <v>1199</v>
      </c>
      <c r="B38" s="446" t="s">
        <v>141</v>
      </c>
      <c r="C38" s="446"/>
      <c r="D38" s="450">
        <v>127078.71</v>
      </c>
      <c r="E38" s="446"/>
    </row>
    <row r="39" spans="1:5" ht="15">
      <c r="A39" s="446" t="s">
        <v>1200</v>
      </c>
      <c r="B39" s="446" t="s">
        <v>168</v>
      </c>
      <c r="C39" s="446"/>
      <c r="D39" s="450">
        <v>165167.85999999999</v>
      </c>
      <c r="E39" s="446"/>
    </row>
    <row r="40" spans="1:5" ht="15">
      <c r="A40" s="446" t="s">
        <v>1201</v>
      </c>
      <c r="B40" s="446" t="s">
        <v>9</v>
      </c>
      <c r="C40" s="446"/>
      <c r="D40" s="450">
        <v>454563.77</v>
      </c>
      <c r="E40" s="446"/>
    </row>
    <row r="41" spans="1:5" ht="15.75" thickBot="1">
      <c r="A41" s="446"/>
      <c r="B41" s="446"/>
      <c r="C41" s="446"/>
      <c r="D41" s="451">
        <f>SUM(D27:D40)</f>
        <v>3062782.86</v>
      </c>
      <c r="E41" s="446"/>
    </row>
    <row r="42" spans="1:5" ht="15.75" thickTop="1">
      <c r="A42" s="446"/>
      <c r="B42" s="446"/>
      <c r="C42" s="446"/>
      <c r="D42" s="449"/>
      <c r="E42" s="446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R56"/>
  <sheetViews>
    <sheetView showGridLines="0" workbookViewId="0">
      <selection activeCell="C28" sqref="C28"/>
    </sheetView>
  </sheetViews>
  <sheetFormatPr defaultColWidth="9.140625" defaultRowHeight="15.75"/>
  <cols>
    <col min="1" max="1" width="5.7109375" style="93" customWidth="1"/>
    <col min="2" max="2" width="27.28515625" style="93" customWidth="1"/>
    <col min="3" max="3" width="13.28515625" style="93" customWidth="1"/>
    <col min="4" max="4" width="12.7109375" style="93" customWidth="1"/>
    <col min="5" max="5" width="0.85546875" style="93" customWidth="1"/>
    <col min="6" max="6" width="13.5703125" style="93" customWidth="1"/>
    <col min="7" max="7" width="14" style="106" customWidth="1"/>
    <col min="8" max="8" width="14.28515625" style="93" customWidth="1"/>
    <col min="9" max="9" width="19.42578125" style="93" customWidth="1"/>
    <col min="10" max="10" width="19" style="93" customWidth="1"/>
    <col min="11" max="11" width="21.42578125" style="93" customWidth="1"/>
    <col min="12" max="12" width="14.140625" style="93" customWidth="1"/>
    <col min="13" max="13" width="0.7109375" style="93" customWidth="1"/>
    <col min="14" max="14" width="11.28515625" style="93" customWidth="1"/>
    <col min="15" max="15" width="0.5703125" style="93" customWidth="1"/>
    <col min="16" max="16" width="12.7109375" style="93" customWidth="1"/>
    <col min="17" max="17" width="8.140625" style="93" customWidth="1"/>
    <col min="18" max="16384" width="9.140625" style="93"/>
  </cols>
  <sheetData>
    <row r="1" spans="1:18" ht="18.75">
      <c r="A1" s="92" t="s">
        <v>87</v>
      </c>
      <c r="C1" s="94"/>
      <c r="D1" s="94"/>
    </row>
    <row r="2" spans="1:18" ht="18.75">
      <c r="A2" s="92" t="s">
        <v>1866</v>
      </c>
      <c r="C2" s="94"/>
      <c r="D2" s="94"/>
    </row>
    <row r="3" spans="1:18" ht="18.75">
      <c r="A3" s="92" t="s">
        <v>1867</v>
      </c>
      <c r="C3" s="94"/>
      <c r="D3" s="94"/>
    </row>
    <row r="4" spans="1:18" ht="12" customHeight="1">
      <c r="A4" s="92"/>
      <c r="C4" s="94"/>
      <c r="E4" s="101"/>
      <c r="F4" s="101"/>
      <c r="H4" s="101"/>
    </row>
    <row r="5" spans="1:18">
      <c r="A5" s="95"/>
      <c r="B5" s="96"/>
      <c r="C5" s="102" t="s">
        <v>1865</v>
      </c>
      <c r="D5" s="104"/>
      <c r="E5" s="105"/>
      <c r="F5" s="105"/>
      <c r="H5" s="102" t="s">
        <v>1857</v>
      </c>
      <c r="I5" s="104"/>
      <c r="J5" s="105"/>
      <c r="L5" s="102" t="s">
        <v>1858</v>
      </c>
      <c r="M5" s="103"/>
      <c r="N5" s="104"/>
      <c r="O5" s="105"/>
      <c r="P5" s="105"/>
    </row>
    <row r="6" spans="1:18" ht="12.6" customHeight="1">
      <c r="A6" s="98"/>
      <c r="B6" s="96"/>
      <c r="C6" s="111" t="s">
        <v>25</v>
      </c>
      <c r="D6" s="111" t="s">
        <v>180</v>
      </c>
      <c r="E6" s="108"/>
      <c r="F6" s="111" t="s">
        <v>88</v>
      </c>
      <c r="H6" s="111" t="s">
        <v>25</v>
      </c>
      <c r="I6" s="111" t="s">
        <v>180</v>
      </c>
      <c r="J6" s="111" t="s">
        <v>88</v>
      </c>
      <c r="L6" s="111" t="s">
        <v>25</v>
      </c>
      <c r="M6" s="112"/>
      <c r="N6" s="111" t="s">
        <v>180</v>
      </c>
      <c r="O6" s="108"/>
      <c r="P6" s="111" t="s">
        <v>88</v>
      </c>
      <c r="Q6" s="98"/>
      <c r="R6" s="96"/>
    </row>
    <row r="7" spans="1:18" ht="13.15" customHeight="1">
      <c r="A7" s="98">
        <v>301</v>
      </c>
      <c r="B7" s="108" t="s">
        <v>89</v>
      </c>
      <c r="C7" s="113">
        <f>ByPANSummary!C4</f>
        <v>12620.1</v>
      </c>
      <c r="D7" s="113">
        <f>ByPANSummary!D4</f>
        <v>-2.2737367544323206E-13</v>
      </c>
      <c r="E7" s="112"/>
      <c r="F7" s="113">
        <f>C7+D7</f>
        <v>12620.1</v>
      </c>
      <c r="G7" s="522"/>
      <c r="H7" s="113">
        <v>12620.1</v>
      </c>
      <c r="I7" s="113">
        <v>0</v>
      </c>
      <c r="J7" s="113">
        <v>12620.1</v>
      </c>
      <c r="K7" s="581"/>
      <c r="L7" s="113">
        <f t="shared" ref="L7:L12" si="0">C7-H7</f>
        <v>0</v>
      </c>
      <c r="M7" s="113"/>
      <c r="N7" s="113">
        <f t="shared" ref="N7:N12" si="1">D7-I7</f>
        <v>-2.2737367544323206E-13</v>
      </c>
      <c r="O7" s="112"/>
      <c r="P7" s="113">
        <f t="shared" ref="P7" si="2">L7-N7</f>
        <v>2.2737367544323206E-13</v>
      </c>
      <c r="Q7" s="98"/>
    </row>
    <row r="8" spans="1:18" ht="13.15" customHeight="1">
      <c r="A8" s="98">
        <v>302</v>
      </c>
      <c r="B8" s="108" t="s">
        <v>90</v>
      </c>
      <c r="C8" s="114">
        <f>ByPANSummary!C5</f>
        <v>0</v>
      </c>
      <c r="D8" s="114">
        <f>ByPANSummary!D5</f>
        <v>-1.9258550310041755E-10</v>
      </c>
      <c r="E8" s="108"/>
      <c r="F8" s="113">
        <f t="shared" ref="F8:F12" si="3">C8+D8</f>
        <v>-1.9258550310041755E-10</v>
      </c>
      <c r="G8" s="522"/>
      <c r="H8" s="114">
        <v>0</v>
      </c>
      <c r="I8" s="114">
        <v>0</v>
      </c>
      <c r="J8" s="113">
        <v>0</v>
      </c>
      <c r="K8" s="581"/>
      <c r="L8" s="114">
        <f t="shared" si="0"/>
        <v>0</v>
      </c>
      <c r="M8" s="114"/>
      <c r="N8" s="114">
        <f t="shared" si="1"/>
        <v>-1.9258550310041755E-10</v>
      </c>
      <c r="O8" s="108"/>
      <c r="P8" s="114">
        <f>L8+N8</f>
        <v>-1.9258550310041755E-10</v>
      </c>
      <c r="Q8" s="98"/>
    </row>
    <row r="9" spans="1:18" ht="13.15" customHeight="1">
      <c r="A9" s="98">
        <v>303</v>
      </c>
      <c r="B9" s="108" t="s">
        <v>52</v>
      </c>
      <c r="C9" s="114">
        <f>ByPANSummary!C6</f>
        <v>110996255.04000002</v>
      </c>
      <c r="D9" s="114">
        <f>ByPANSummary!D6</f>
        <v>-30995545.602096666</v>
      </c>
      <c r="E9" s="108"/>
      <c r="F9" s="113">
        <f t="shared" si="3"/>
        <v>80000709.43790336</v>
      </c>
      <c r="G9" s="522"/>
      <c r="H9" s="114">
        <v>55807930.960000023</v>
      </c>
      <c r="I9" s="114">
        <v>-21193099.349999998</v>
      </c>
      <c r="J9" s="113">
        <v>34614831.610000029</v>
      </c>
      <c r="K9" s="581"/>
      <c r="L9" s="114">
        <f t="shared" si="0"/>
        <v>55188324.079999998</v>
      </c>
      <c r="M9" s="114"/>
      <c r="N9" s="114">
        <f t="shared" si="1"/>
        <v>-9802446.2520966679</v>
      </c>
      <c r="O9" s="108"/>
      <c r="P9" s="114">
        <f t="shared" ref="P9:P28" si="4">L9+N9</f>
        <v>45385877.82790333</v>
      </c>
      <c r="Q9" s="98"/>
    </row>
    <row r="10" spans="1:18" ht="13.15" customHeight="1">
      <c r="A10" s="98">
        <v>374</v>
      </c>
      <c r="B10" s="108" t="s">
        <v>91</v>
      </c>
      <c r="C10" s="114">
        <f>ByPANSummary!C7</f>
        <v>20391776.989999998</v>
      </c>
      <c r="D10" s="114">
        <f>ByPANSummary!D7</f>
        <v>-1034404.7086766624</v>
      </c>
      <c r="E10" s="108"/>
      <c r="F10" s="113">
        <f t="shared" si="3"/>
        <v>19357372.281323336</v>
      </c>
      <c r="G10" s="522"/>
      <c r="H10" s="114">
        <v>19254745.299999993</v>
      </c>
      <c r="I10" s="114">
        <v>-923414.13999999675</v>
      </c>
      <c r="J10" s="113">
        <v>18331331.159999996</v>
      </c>
      <c r="K10" s="581"/>
      <c r="L10" s="114">
        <f t="shared" si="0"/>
        <v>1137031.6900000051</v>
      </c>
      <c r="M10" s="114"/>
      <c r="N10" s="114">
        <f t="shared" si="1"/>
        <v>-110990.56867666566</v>
      </c>
      <c r="O10" s="108"/>
      <c r="P10" s="114">
        <f t="shared" si="4"/>
        <v>1026041.1213233394</v>
      </c>
      <c r="Q10" s="106"/>
    </row>
    <row r="11" spans="1:18" ht="13.15" customHeight="1">
      <c r="A11" s="98" t="s">
        <v>92</v>
      </c>
      <c r="B11" s="108" t="s">
        <v>93</v>
      </c>
      <c r="C11" s="114">
        <f>ByPANSummary!C8+ByPANSummary!C9</f>
        <v>31929566.088800013</v>
      </c>
      <c r="D11" s="114">
        <f>ByPANSummary!D8+ByPANSummary!D9</f>
        <v>-8900808.1014864575</v>
      </c>
      <c r="E11" s="108"/>
      <c r="F11" s="113">
        <f t="shared" si="3"/>
        <v>23028757.987313554</v>
      </c>
      <c r="G11" s="522"/>
      <c r="H11" s="114">
        <v>25986572.469999999</v>
      </c>
      <c r="I11" s="114">
        <v>-7793706.1400000053</v>
      </c>
      <c r="J11" s="113">
        <v>18192866.329999994</v>
      </c>
      <c r="K11" s="581"/>
      <c r="L11" s="114">
        <f t="shared" si="0"/>
        <v>5942993.6188000143</v>
      </c>
      <c r="M11" s="114"/>
      <c r="N11" s="114">
        <f t="shared" si="1"/>
        <v>-1107101.9614864523</v>
      </c>
      <c r="O11" s="108"/>
      <c r="P11" s="114">
        <f t="shared" si="4"/>
        <v>4835891.657313562</v>
      </c>
      <c r="Q11" s="98"/>
    </row>
    <row r="12" spans="1:18" ht="13.15" customHeight="1">
      <c r="A12" s="98">
        <v>392</v>
      </c>
      <c r="B12" s="108" t="s">
        <v>94</v>
      </c>
      <c r="C12" s="114">
        <f>ByPANSummary!C10</f>
        <v>41664220.717936121</v>
      </c>
      <c r="D12" s="114">
        <f>ByPANSummary!D10</f>
        <v>-17283485.235455558</v>
      </c>
      <c r="E12" s="108"/>
      <c r="F12" s="113">
        <f t="shared" si="3"/>
        <v>24380735.482480563</v>
      </c>
      <c r="G12" s="522"/>
      <c r="H12" s="114">
        <v>29942833.660000019</v>
      </c>
      <c r="I12" s="114">
        <v>-13473132.449999996</v>
      </c>
      <c r="J12" s="113">
        <v>16469701.210000023</v>
      </c>
      <c r="K12" s="581"/>
      <c r="L12" s="114">
        <f t="shared" si="0"/>
        <v>11721387.057936102</v>
      </c>
      <c r="M12" s="114"/>
      <c r="N12" s="114">
        <f t="shared" si="1"/>
        <v>-3810352.7854555622</v>
      </c>
      <c r="O12" s="108"/>
      <c r="P12" s="114">
        <f t="shared" si="4"/>
        <v>7911034.27248054</v>
      </c>
      <c r="Q12" s="98"/>
    </row>
    <row r="13" spans="1:18" ht="13.15" customHeight="1">
      <c r="A13" s="98"/>
      <c r="B13" s="109" t="s">
        <v>65</v>
      </c>
      <c r="C13" s="115">
        <f>SUM(C7:C12)</f>
        <v>204994438.93673614</v>
      </c>
      <c r="D13" s="115">
        <f>SUM(D7:D12)</f>
        <v>-58214243.647715345</v>
      </c>
      <c r="E13" s="108"/>
      <c r="F13" s="115">
        <f>SUM(F7:F12)</f>
        <v>146780195.28902081</v>
      </c>
      <c r="G13" s="522"/>
      <c r="H13" s="115">
        <v>131004702.49000004</v>
      </c>
      <c r="I13" s="115">
        <v>-43383352.079999998</v>
      </c>
      <c r="J13" s="115">
        <v>87621350.410000041</v>
      </c>
      <c r="K13" s="581"/>
      <c r="L13" s="115">
        <f>SUM(L7:L12)</f>
        <v>73989736.446736127</v>
      </c>
      <c r="M13" s="112"/>
      <c r="N13" s="115">
        <f>SUM(N7:N12)</f>
        <v>-14830891.567715347</v>
      </c>
      <c r="O13" s="108"/>
      <c r="P13" s="114">
        <f t="shared" si="4"/>
        <v>59158844.87902078</v>
      </c>
      <c r="Q13" s="107">
        <f>P13/F13</f>
        <v>0.40304378095786519</v>
      </c>
    </row>
    <row r="14" spans="1:18" ht="13.15" customHeight="1">
      <c r="A14" s="98">
        <v>18679</v>
      </c>
      <c r="B14" s="108" t="s">
        <v>176</v>
      </c>
      <c r="C14" s="114">
        <f>ByPANSummary!C11</f>
        <v>0</v>
      </c>
      <c r="D14" s="114">
        <v>0</v>
      </c>
      <c r="E14" s="108"/>
      <c r="F14" s="114">
        <f>C14-D14</f>
        <v>0</v>
      </c>
      <c r="G14" s="522"/>
      <c r="H14" s="114">
        <v>0</v>
      </c>
      <c r="I14" s="114">
        <v>0</v>
      </c>
      <c r="J14" s="114">
        <v>0</v>
      </c>
      <c r="K14" s="581"/>
      <c r="L14" s="114">
        <f>C14-H14</f>
        <v>0</v>
      </c>
      <c r="M14" s="114"/>
      <c r="N14" s="114">
        <f>D14-I14</f>
        <v>0</v>
      </c>
      <c r="O14" s="108"/>
      <c r="P14" s="114">
        <f t="shared" si="4"/>
        <v>0</v>
      </c>
      <c r="Q14" s="98"/>
    </row>
    <row r="15" spans="1:18" ht="13.15" customHeight="1">
      <c r="A15" s="98"/>
      <c r="B15" s="109" t="s">
        <v>95</v>
      </c>
      <c r="C15" s="115">
        <f>C13+C14</f>
        <v>204994438.93673614</v>
      </c>
      <c r="D15" s="115">
        <f>D13+D14</f>
        <v>-58214243.647715345</v>
      </c>
      <c r="E15" s="108"/>
      <c r="F15" s="115">
        <f>F13+F14</f>
        <v>146780195.28902081</v>
      </c>
      <c r="G15" s="523">
        <f>F15/$F$29</f>
        <v>6.2978204999764906E-2</v>
      </c>
      <c r="H15" s="115">
        <v>131004702.49000004</v>
      </c>
      <c r="I15" s="115">
        <v>-43383352.079999998</v>
      </c>
      <c r="J15" s="115">
        <v>87621350.410000041</v>
      </c>
      <c r="K15" s="581"/>
      <c r="L15" s="115">
        <f>L13+L14</f>
        <v>73989736.446736127</v>
      </c>
      <c r="M15" s="112"/>
      <c r="N15" s="115">
        <f>N13+N14</f>
        <v>-14830891.567715347</v>
      </c>
      <c r="O15" s="108"/>
      <c r="P15" s="114">
        <f t="shared" si="4"/>
        <v>59158844.87902078</v>
      </c>
      <c r="Q15" s="107">
        <f>P15/F15</f>
        <v>0.40304378095786519</v>
      </c>
    </row>
    <row r="16" spans="1:18" ht="13.15" customHeight="1">
      <c r="A16" s="98"/>
      <c r="B16" s="108"/>
      <c r="C16" s="112"/>
      <c r="D16" s="112"/>
      <c r="E16" s="108"/>
      <c r="F16" s="112"/>
      <c r="G16" s="522"/>
      <c r="H16" s="112"/>
      <c r="I16" s="112"/>
      <c r="J16" s="112"/>
      <c r="K16" s="581"/>
      <c r="L16" s="112"/>
      <c r="M16" s="112"/>
      <c r="N16" s="112"/>
      <c r="O16" s="108"/>
      <c r="P16" s="114">
        <f t="shared" si="4"/>
        <v>0</v>
      </c>
      <c r="Q16" s="98"/>
    </row>
    <row r="17" spans="1:17" ht="13.15" customHeight="1">
      <c r="A17" s="98"/>
      <c r="B17" s="108" t="s">
        <v>178</v>
      </c>
      <c r="C17" s="113">
        <f>ByPANSummary!C39-C18</f>
        <v>2993540444.6351895</v>
      </c>
      <c r="D17" s="113">
        <f>ByPANSummary!D39-D18</f>
        <v>-851320369.91219902</v>
      </c>
      <c r="E17" s="108"/>
      <c r="F17" s="113">
        <f>C17+D17</f>
        <v>2142220074.7229905</v>
      </c>
      <c r="G17" s="522"/>
      <c r="H17" s="113">
        <v>2347711251.7099996</v>
      </c>
      <c r="I17" s="113">
        <v>-806236040.82000005</v>
      </c>
      <c r="J17" s="113">
        <v>1541475210.8899994</v>
      </c>
      <c r="K17" s="581"/>
      <c r="L17" s="113">
        <f>C17-H17</f>
        <v>645829192.92518997</v>
      </c>
      <c r="M17" s="113"/>
      <c r="N17" s="113">
        <f>D17-I17</f>
        <v>-45084329.092198968</v>
      </c>
      <c r="O17" s="108"/>
      <c r="P17" s="114">
        <f t="shared" si="4"/>
        <v>600744863.832991</v>
      </c>
      <c r="Q17" s="107">
        <f>P17/F17</f>
        <v>0.28043097481974305</v>
      </c>
    </row>
    <row r="18" spans="1:17" ht="13.15" customHeight="1">
      <c r="A18" s="100">
        <v>18679</v>
      </c>
      <c r="B18" s="110" t="s">
        <v>177</v>
      </c>
      <c r="C18" s="114">
        <f>ByPANSummary!C38</f>
        <v>0</v>
      </c>
      <c r="D18" s="114">
        <v>0</v>
      </c>
      <c r="E18" s="116"/>
      <c r="F18" s="114">
        <f>C18-D18</f>
        <v>0</v>
      </c>
      <c r="G18" s="522"/>
      <c r="H18" s="114">
        <v>0</v>
      </c>
      <c r="I18" s="114">
        <v>0</v>
      </c>
      <c r="J18" s="114">
        <v>0</v>
      </c>
      <c r="K18" s="581"/>
      <c r="L18" s="114">
        <f>C18-H18</f>
        <v>0</v>
      </c>
      <c r="M18" s="117"/>
      <c r="N18" s="114">
        <f>D18-I18</f>
        <v>0</v>
      </c>
      <c r="O18" s="110"/>
      <c r="P18" s="114">
        <f t="shared" si="4"/>
        <v>0</v>
      </c>
      <c r="Q18" s="107"/>
    </row>
    <row r="19" spans="1:17" ht="13.15" customHeight="1">
      <c r="A19" s="100"/>
      <c r="B19" s="110" t="s">
        <v>182</v>
      </c>
      <c r="C19" s="118">
        <f>C17+C18</f>
        <v>2993540444.6351895</v>
      </c>
      <c r="D19" s="118">
        <f>D17+D18</f>
        <v>-851320369.91219902</v>
      </c>
      <c r="E19" s="116"/>
      <c r="F19" s="118">
        <f>F17+F18</f>
        <v>2142220074.7229905</v>
      </c>
      <c r="G19" s="524">
        <f>F19/$F$29</f>
        <v>0.91915107998638657</v>
      </c>
      <c r="H19" s="118">
        <v>2347711251.7099996</v>
      </c>
      <c r="I19" s="118">
        <v>-806236040.82000005</v>
      </c>
      <c r="J19" s="118">
        <v>1541475210.8899994</v>
      </c>
      <c r="K19" s="581"/>
      <c r="L19" s="118">
        <f>L17+L18</f>
        <v>645829192.92518997</v>
      </c>
      <c r="M19" s="113"/>
      <c r="N19" s="118">
        <f>N17+N18</f>
        <v>-45084329.092198968</v>
      </c>
      <c r="O19" s="116"/>
      <c r="P19" s="114">
        <f t="shared" si="4"/>
        <v>600744863.832991</v>
      </c>
      <c r="Q19" s="107">
        <f>P19/F19</f>
        <v>0.28043097481974305</v>
      </c>
    </row>
    <row r="20" spans="1:17" ht="13.15" customHeight="1" thickBot="1">
      <c r="A20" s="98"/>
      <c r="B20" s="109" t="s">
        <v>64</v>
      </c>
      <c r="C20" s="119">
        <f>C15+C19</f>
        <v>3198534883.5719256</v>
      </c>
      <c r="D20" s="119">
        <f>D15+D19</f>
        <v>-909534613.55991435</v>
      </c>
      <c r="E20" s="116"/>
      <c r="F20" s="119">
        <f>F15+F19</f>
        <v>2289000270.0120115</v>
      </c>
      <c r="G20" s="522"/>
      <c r="H20" s="119">
        <v>2478715954.1999998</v>
      </c>
      <c r="I20" s="119">
        <v>-849619392.9000001</v>
      </c>
      <c r="J20" s="119">
        <v>1629096561.2999995</v>
      </c>
      <c r="K20" s="581"/>
      <c r="L20" s="119">
        <f>L15+L19</f>
        <v>719818929.37192607</v>
      </c>
      <c r="M20" s="113"/>
      <c r="N20" s="119">
        <f>N15+N19</f>
        <v>-59915220.659914315</v>
      </c>
      <c r="O20" s="116"/>
      <c r="P20" s="114">
        <f t="shared" si="4"/>
        <v>659903708.71201181</v>
      </c>
      <c r="Q20" s="107">
        <f>P20/F20</f>
        <v>0.28829341671879705</v>
      </c>
    </row>
    <row r="21" spans="1:17" ht="13.15" customHeight="1">
      <c r="A21" s="98"/>
      <c r="B21" s="108"/>
      <c r="C21" s="113"/>
      <c r="D21" s="113"/>
      <c r="E21" s="108"/>
      <c r="F21" s="113"/>
      <c r="G21" s="522"/>
      <c r="H21" s="113"/>
      <c r="I21" s="113"/>
      <c r="J21" s="113"/>
      <c r="K21" s="581"/>
      <c r="L21" s="114"/>
      <c r="M21" s="114"/>
      <c r="N21" s="114"/>
      <c r="O21" s="108"/>
      <c r="P21" s="114">
        <f t="shared" si="4"/>
        <v>0</v>
      </c>
      <c r="Q21" s="107"/>
    </row>
    <row r="22" spans="1:17" ht="13.15" customHeight="1">
      <c r="A22" s="98"/>
      <c r="B22" s="109" t="s">
        <v>96</v>
      </c>
      <c r="C22" s="129">
        <f>ByPANSummary!Q14</f>
        <v>5031897.24</v>
      </c>
      <c r="D22" s="129">
        <f>ByPANSummary!R14</f>
        <v>-5028152.9800000144</v>
      </c>
      <c r="E22" s="108"/>
      <c r="F22" s="113">
        <f>C22+D22</f>
        <v>3744.2599999858066</v>
      </c>
      <c r="G22" s="522"/>
      <c r="H22" s="129">
        <v>5031897.24</v>
      </c>
      <c r="I22" s="129">
        <v>-5028152.9800000144</v>
      </c>
      <c r="J22" s="113">
        <v>3744.2599999858066</v>
      </c>
      <c r="K22" s="581"/>
      <c r="L22" s="113">
        <f>C22-H22</f>
        <v>0</v>
      </c>
      <c r="M22" s="113"/>
      <c r="N22" s="113">
        <f>D22-I22</f>
        <v>0</v>
      </c>
      <c r="O22" s="108"/>
      <c r="P22" s="114">
        <f>L22+N22</f>
        <v>0</v>
      </c>
      <c r="Q22" s="107">
        <f t="shared" ref="Q22:Q27" si="5">P22/F22</f>
        <v>0</v>
      </c>
    </row>
    <row r="23" spans="1:17" ht="13.15" customHeight="1">
      <c r="A23" s="98"/>
      <c r="B23" s="109" t="s">
        <v>101</v>
      </c>
      <c r="C23" s="128">
        <f>ByPANSummary!Q12</f>
        <v>1939551.55</v>
      </c>
      <c r="D23" s="114">
        <f>ByPANSummary!R12</f>
        <v>0</v>
      </c>
      <c r="E23" s="116"/>
      <c r="F23" s="114">
        <f>C23-D23</f>
        <v>1939551.55</v>
      </c>
      <c r="G23" s="522"/>
      <c r="H23" s="128">
        <v>1939551.55</v>
      </c>
      <c r="I23" s="114">
        <v>0</v>
      </c>
      <c r="J23" s="114">
        <v>1939551.55</v>
      </c>
      <c r="K23" s="581"/>
      <c r="L23" s="114">
        <f>C23-H23</f>
        <v>0</v>
      </c>
      <c r="M23" s="114"/>
      <c r="N23" s="114">
        <f>D23-I23</f>
        <v>0</v>
      </c>
      <c r="O23" s="116"/>
      <c r="P23" s="114">
        <f>L23+N23</f>
        <v>0</v>
      </c>
      <c r="Q23" s="107"/>
    </row>
    <row r="24" spans="1:17" ht="13.15" customHeight="1">
      <c r="A24" s="98"/>
      <c r="B24" s="109" t="s">
        <v>65</v>
      </c>
      <c r="C24" s="118">
        <f>SUM(C22:C23)</f>
        <v>6971448.79</v>
      </c>
      <c r="D24" s="118">
        <f>SUM(D22:D23)</f>
        <v>-5028152.9800000144</v>
      </c>
      <c r="E24" s="108"/>
      <c r="F24" s="118">
        <f>SUM(F22:F23)</f>
        <v>1943295.8099999859</v>
      </c>
      <c r="G24" s="523">
        <f>F24/$F$29</f>
        <v>8.3379969386454251E-4</v>
      </c>
      <c r="H24" s="118">
        <v>6971448.79</v>
      </c>
      <c r="I24" s="118">
        <v>-5028152.9800000144</v>
      </c>
      <c r="J24" s="118">
        <v>1943295.8099999859</v>
      </c>
      <c r="K24" s="581"/>
      <c r="L24" s="118">
        <f>SUM(L22:L23)</f>
        <v>0</v>
      </c>
      <c r="M24" s="113"/>
      <c r="N24" s="118">
        <f>SUM(N22:N23)</f>
        <v>0</v>
      </c>
      <c r="O24" s="108"/>
      <c r="P24" s="114">
        <f>L24+N24</f>
        <v>0</v>
      </c>
      <c r="Q24" s="107">
        <f t="shared" si="5"/>
        <v>0</v>
      </c>
    </row>
    <row r="25" spans="1:17" ht="13.15" customHeight="1" thickBot="1">
      <c r="A25" s="98"/>
      <c r="B25" s="109" t="s">
        <v>97</v>
      </c>
      <c r="C25" s="120">
        <f>C24+C20</f>
        <v>3205506332.3619256</v>
      </c>
      <c r="D25" s="120">
        <f>D24+D20</f>
        <v>-914562766.53991437</v>
      </c>
      <c r="E25" s="108"/>
      <c r="F25" s="120">
        <f>F24+F20</f>
        <v>2290943565.8220115</v>
      </c>
      <c r="G25" s="522"/>
      <c r="H25" s="120">
        <v>2485687402.9899998</v>
      </c>
      <c r="I25" s="120">
        <v>-854647545.88000011</v>
      </c>
      <c r="J25" s="120">
        <v>1631039857.1099994</v>
      </c>
      <c r="K25" s="581"/>
      <c r="L25" s="120">
        <f>L24+L20</f>
        <v>719818929.37192607</v>
      </c>
      <c r="M25" s="113"/>
      <c r="N25" s="120">
        <f>N24+N20</f>
        <v>-59915220.659914315</v>
      </c>
      <c r="O25" s="108"/>
      <c r="P25" s="114">
        <f>L25+N25</f>
        <v>659903708.71201181</v>
      </c>
      <c r="Q25" s="107">
        <f t="shared" si="5"/>
        <v>0.28804887145931607</v>
      </c>
    </row>
    <row r="26" spans="1:17" ht="13.15" customHeight="1" thickTop="1">
      <c r="A26" s="98"/>
      <c r="B26" s="109"/>
      <c r="C26" s="113"/>
      <c r="D26" s="113"/>
      <c r="E26" s="108"/>
      <c r="F26" s="113"/>
      <c r="G26" s="522"/>
      <c r="H26" s="113"/>
      <c r="I26" s="113"/>
      <c r="J26" s="113"/>
      <c r="K26" s="581"/>
      <c r="L26" s="113"/>
      <c r="M26" s="113"/>
      <c r="N26" s="113"/>
      <c r="O26" s="108"/>
      <c r="P26" s="114">
        <f t="shared" si="4"/>
        <v>0</v>
      </c>
      <c r="Q26" s="107"/>
    </row>
    <row r="27" spans="1:17" ht="13.15" customHeight="1">
      <c r="A27" s="96"/>
      <c r="B27" s="108" t="s">
        <v>98</v>
      </c>
      <c r="C27" s="520">
        <v>35607098</v>
      </c>
      <c r="D27" s="112">
        <v>0</v>
      </c>
      <c r="E27" s="108"/>
      <c r="F27" s="113">
        <f>C27-D27</f>
        <v>35607098</v>
      </c>
      <c r="G27" s="523">
        <f>F27/$F$29</f>
        <v>1.5277749923108709E-2</v>
      </c>
      <c r="H27" s="520">
        <v>147483850</v>
      </c>
      <c r="I27" s="112">
        <v>0</v>
      </c>
      <c r="J27" s="113">
        <v>147483850</v>
      </c>
      <c r="K27" s="581"/>
      <c r="L27" s="113">
        <f>C27-H27</f>
        <v>-111876752</v>
      </c>
      <c r="M27" s="112"/>
      <c r="N27" s="113">
        <f>D27-I27</f>
        <v>0</v>
      </c>
      <c r="O27" s="108"/>
      <c r="P27" s="114">
        <f t="shared" si="4"/>
        <v>-111876752</v>
      </c>
      <c r="Q27" s="107">
        <f t="shared" si="5"/>
        <v>-3.1419789391429767</v>
      </c>
    </row>
    <row r="28" spans="1:17" ht="13.15" customHeight="1" thickBot="1">
      <c r="A28" s="96"/>
      <c r="B28" s="108" t="s">
        <v>99</v>
      </c>
      <c r="C28" s="521">
        <v>4100000</v>
      </c>
      <c r="D28" s="116">
        <v>0</v>
      </c>
      <c r="E28" s="116"/>
      <c r="F28" s="114">
        <f>C28-D28</f>
        <v>4100000</v>
      </c>
      <c r="G28" s="523">
        <f>F28/$F$29</f>
        <v>1.7591653968752441E-3</v>
      </c>
      <c r="H28" s="521">
        <v>2635012</v>
      </c>
      <c r="I28" s="116">
        <v>0</v>
      </c>
      <c r="J28" s="114">
        <v>2635012</v>
      </c>
      <c r="K28" s="581"/>
      <c r="L28" s="114">
        <f>C28-H28</f>
        <v>1464988</v>
      </c>
      <c r="M28" s="116"/>
      <c r="N28" s="114">
        <f>D28-I28</f>
        <v>0</v>
      </c>
      <c r="O28" s="116"/>
      <c r="P28" s="114">
        <f t="shared" si="4"/>
        <v>1464988</v>
      </c>
      <c r="Q28" s="98"/>
    </row>
    <row r="29" spans="1:17" ht="13.15" customHeight="1" thickBot="1">
      <c r="A29" s="96"/>
      <c r="B29" s="108" t="s">
        <v>179</v>
      </c>
      <c r="C29" s="121">
        <f>C25+C27+C28</f>
        <v>3245213430.3619256</v>
      </c>
      <c r="D29" s="121">
        <f>D25+D27+D28</f>
        <v>-914562766.53991437</v>
      </c>
      <c r="E29" s="108"/>
      <c r="F29" s="121">
        <f>F25+F27+F28</f>
        <v>2330650663.8220115</v>
      </c>
      <c r="G29" s="523">
        <f>SUM(G7:G28)</f>
        <v>1</v>
      </c>
      <c r="H29" s="121">
        <v>2635806264.9899998</v>
      </c>
      <c r="I29" s="121">
        <v>-854647545.88000011</v>
      </c>
      <c r="J29" s="121">
        <v>1781158719.1099994</v>
      </c>
      <c r="K29" s="581"/>
      <c r="L29" s="121">
        <f>L25+L27+L28</f>
        <v>609407165.37192607</v>
      </c>
      <c r="M29" s="112">
        <f>M25+M27+M28</f>
        <v>0</v>
      </c>
      <c r="N29" s="121">
        <f>N25+N27+N28</f>
        <v>-59915220.659914315</v>
      </c>
      <c r="O29" s="108"/>
      <c r="P29" s="121">
        <f>P25+P27+P28</f>
        <v>549491944.71201181</v>
      </c>
      <c r="Q29" s="107">
        <f>P29/F29</f>
        <v>0.23576761341440389</v>
      </c>
    </row>
    <row r="30" spans="1:17" ht="13.15" customHeight="1" thickTop="1">
      <c r="A30" s="96"/>
      <c r="B30" s="96"/>
      <c r="C30" s="97"/>
      <c r="D30" s="97"/>
      <c r="E30" s="96"/>
      <c r="F30" s="97"/>
      <c r="H30" s="97"/>
      <c r="I30" s="97"/>
      <c r="J30" s="97"/>
      <c r="K30" s="581"/>
      <c r="L30" s="99"/>
      <c r="M30" s="99"/>
      <c r="N30" s="99"/>
      <c r="O30" s="99"/>
      <c r="P30" s="99"/>
      <c r="Q30" s="99"/>
    </row>
    <row r="31" spans="1:17">
      <c r="A31" s="96"/>
      <c r="B31" s="96"/>
      <c r="C31" s="97"/>
      <c r="D31" s="113" t="s">
        <v>181</v>
      </c>
      <c r="E31" s="96"/>
      <c r="F31" s="112">
        <f>F19+F28</f>
        <v>2146320074.7229905</v>
      </c>
      <c r="H31" s="97"/>
      <c r="I31" s="113" t="s">
        <v>181</v>
      </c>
      <c r="J31" s="97">
        <v>1544110222.8899994</v>
      </c>
      <c r="K31" s="582"/>
      <c r="L31" s="96"/>
      <c r="M31" s="96"/>
      <c r="N31" s="96"/>
      <c r="O31" s="96"/>
    </row>
    <row r="32" spans="1:17" s="96" customFormat="1" ht="13.9" customHeight="1">
      <c r="C32" s="97"/>
      <c r="D32" s="113" t="s">
        <v>261</v>
      </c>
      <c r="F32" s="112">
        <f>F11+F10+F14+F23</f>
        <v>44325681.818636887</v>
      </c>
      <c r="G32" s="98"/>
      <c r="H32" s="97"/>
      <c r="I32" s="113" t="s">
        <v>261</v>
      </c>
      <c r="J32" s="112">
        <v>38463749.039999992</v>
      </c>
      <c r="K32" s="582"/>
    </row>
    <row r="33" spans="1:18">
      <c r="A33" s="96"/>
      <c r="F33" s="115">
        <f>SUM(F31:F32)</f>
        <v>2190645756.5416274</v>
      </c>
      <c r="J33" s="115">
        <v>1582573971.9299994</v>
      </c>
      <c r="K33" s="231"/>
      <c r="L33" s="96"/>
      <c r="M33" s="96"/>
      <c r="N33" s="96"/>
      <c r="O33" s="96"/>
      <c r="P33" s="96"/>
      <c r="Q33" s="96"/>
      <c r="R33" s="96"/>
    </row>
    <row r="34" spans="1:18">
      <c r="A34" s="96"/>
      <c r="H34" s="114"/>
      <c r="I34" s="114"/>
      <c r="J34" s="114"/>
      <c r="K34" s="96"/>
      <c r="L34" s="96"/>
      <c r="M34" s="96"/>
      <c r="N34" s="96"/>
      <c r="O34" s="96"/>
      <c r="P34" s="96"/>
      <c r="Q34" s="96"/>
      <c r="R34" s="96"/>
    </row>
    <row r="35" spans="1:18">
      <c r="A35" s="96"/>
      <c r="B35" s="96"/>
      <c r="C35" s="97"/>
      <c r="D35" s="113"/>
      <c r="E35" s="96"/>
      <c r="F35" s="513"/>
      <c r="G35" s="525"/>
      <c r="H35" s="28"/>
      <c r="I35" s="28"/>
      <c r="J35" s="28"/>
      <c r="K35" s="28"/>
      <c r="L35" s="28"/>
      <c r="M35" s="28"/>
      <c r="N35" s="28"/>
      <c r="O35" s="28"/>
      <c r="P35" s="28"/>
      <c r="Q35" s="96"/>
      <c r="R35" s="96"/>
    </row>
    <row r="36" spans="1:18">
      <c r="A36" s="96"/>
      <c r="B36" s="96"/>
      <c r="C36" s="97"/>
      <c r="D36" s="113"/>
      <c r="E36" s="96"/>
      <c r="F36" s="122"/>
      <c r="G36" s="525"/>
      <c r="H36" s="28"/>
      <c r="I36" s="28"/>
      <c r="J36" s="28"/>
      <c r="K36" s="28"/>
      <c r="L36" s="28"/>
      <c r="M36" s="28"/>
      <c r="N36" s="28"/>
      <c r="O36" s="28"/>
      <c r="P36" s="28"/>
      <c r="Q36" s="96"/>
      <c r="R36" s="96"/>
    </row>
    <row r="37" spans="1:18">
      <c r="A37" s="96"/>
      <c r="B37" s="96"/>
      <c r="C37" s="97"/>
      <c r="D37" s="112"/>
      <c r="E37" s="96"/>
      <c r="F37" s="125"/>
      <c r="G37" s="525"/>
      <c r="H37" s="28"/>
      <c r="I37" s="28"/>
      <c r="J37" s="28"/>
      <c r="K37" s="28"/>
      <c r="L37" s="28"/>
      <c r="M37" s="28"/>
      <c r="N37" s="28"/>
      <c r="O37" s="28"/>
      <c r="P37" s="28"/>
      <c r="Q37" s="96"/>
      <c r="R37" s="96"/>
    </row>
    <row r="38" spans="1:18">
      <c r="A38" s="96"/>
      <c r="B38" s="96"/>
      <c r="C38" s="97"/>
      <c r="D38" s="97"/>
      <c r="E38" s="96"/>
      <c r="F38" s="97"/>
      <c r="G38" s="525"/>
      <c r="H38" s="28"/>
      <c r="I38" s="28"/>
      <c r="J38" s="28"/>
      <c r="K38" s="28"/>
      <c r="L38" s="28"/>
      <c r="M38" s="28"/>
      <c r="N38" s="28"/>
      <c r="O38" s="28"/>
      <c r="P38" s="28"/>
      <c r="Q38" s="96"/>
      <c r="R38" s="96"/>
    </row>
    <row r="39" spans="1:18">
      <c r="A39" s="96"/>
      <c r="B39" s="96"/>
      <c r="C39" s="97"/>
      <c r="D39" s="97"/>
      <c r="E39" s="96"/>
      <c r="F39" s="97"/>
      <c r="G39" s="525"/>
      <c r="H39" s="28"/>
      <c r="I39" s="28"/>
      <c r="J39" s="28"/>
      <c r="K39" s="28"/>
      <c r="L39" s="28"/>
      <c r="M39" s="28"/>
      <c r="N39" s="28"/>
      <c r="O39" s="28"/>
      <c r="P39" s="28"/>
      <c r="Q39" s="96"/>
      <c r="R39" s="96"/>
    </row>
    <row r="40" spans="1:18">
      <c r="A40" s="96"/>
      <c r="B40" s="96"/>
      <c r="C40" s="97"/>
      <c r="D40" s="97"/>
      <c r="E40" s="96"/>
      <c r="F40" s="97"/>
      <c r="G40" s="525"/>
      <c r="H40" s="28"/>
      <c r="I40" s="28"/>
      <c r="J40" s="28"/>
      <c r="K40" s="28"/>
      <c r="L40" s="28"/>
      <c r="M40" s="28"/>
      <c r="N40" s="28"/>
      <c r="O40" s="28"/>
      <c r="P40" s="28"/>
      <c r="Q40" s="96"/>
      <c r="R40" s="96"/>
    </row>
    <row r="41" spans="1:18">
      <c r="A41" s="96"/>
      <c r="B41" s="96"/>
      <c r="C41" s="97"/>
      <c r="D41" s="97"/>
      <c r="E41" s="96"/>
      <c r="F41" s="97"/>
      <c r="G41" s="525"/>
      <c r="H41" s="28"/>
      <c r="I41" s="28"/>
      <c r="J41" s="28"/>
      <c r="K41" s="28"/>
      <c r="L41" s="28"/>
      <c r="M41" s="28"/>
      <c r="N41" s="28"/>
      <c r="O41" s="28"/>
      <c r="P41" s="28"/>
      <c r="Q41" s="96"/>
      <c r="R41" s="96"/>
    </row>
    <row r="42" spans="1:18">
      <c r="A42" s="96"/>
      <c r="B42" s="96"/>
      <c r="C42" s="97"/>
      <c r="D42" s="97"/>
      <c r="E42" s="96"/>
      <c r="F42" s="97"/>
      <c r="G42" s="525"/>
      <c r="J42" s="182"/>
      <c r="L42" s="126"/>
      <c r="O42" s="96"/>
      <c r="P42" s="96"/>
      <c r="Q42" s="96"/>
      <c r="R42" s="96"/>
    </row>
    <row r="43" spans="1:18">
      <c r="A43" s="96"/>
      <c r="B43" s="96"/>
      <c r="C43" s="97"/>
      <c r="D43" s="97"/>
      <c r="E43" s="96"/>
      <c r="F43" s="97"/>
      <c r="G43" s="525"/>
      <c r="H43" s="28"/>
      <c r="I43" s="28"/>
      <c r="J43" s="127"/>
      <c r="L43" s="126"/>
      <c r="O43" s="96"/>
      <c r="P43" s="96"/>
      <c r="Q43" s="96"/>
      <c r="R43" s="96"/>
    </row>
    <row r="44" spans="1:18">
      <c r="A44" s="96"/>
      <c r="B44" s="96"/>
      <c r="C44" s="97"/>
      <c r="D44" s="97"/>
      <c r="E44" s="96"/>
      <c r="F44" s="97"/>
      <c r="G44" s="525"/>
      <c r="H44" s="28"/>
      <c r="I44" s="28"/>
      <c r="J44" s="127"/>
      <c r="L44" s="126"/>
      <c r="M44" s="96"/>
      <c r="N44" s="96"/>
      <c r="O44" s="96"/>
      <c r="P44" s="96"/>
      <c r="Q44" s="96"/>
      <c r="R44" s="96"/>
    </row>
    <row r="45" spans="1:18">
      <c r="A45" s="96"/>
      <c r="B45" s="96"/>
      <c r="C45" s="97"/>
      <c r="D45" s="97"/>
      <c r="E45" s="96"/>
      <c r="F45" s="97"/>
      <c r="G45" s="525"/>
      <c r="J45" s="182"/>
      <c r="L45" s="126"/>
      <c r="M45" s="96"/>
      <c r="N45" s="96"/>
      <c r="O45" s="96"/>
      <c r="P45" s="96"/>
      <c r="Q45" s="96"/>
      <c r="R45" s="96"/>
    </row>
    <row r="46" spans="1:18">
      <c r="A46" s="96"/>
      <c r="B46" s="96"/>
      <c r="C46" s="97"/>
      <c r="D46" s="97"/>
      <c r="E46" s="96"/>
      <c r="F46" s="97"/>
      <c r="G46" s="525"/>
      <c r="H46" s="28"/>
      <c r="I46" s="28"/>
      <c r="J46" s="28"/>
      <c r="K46" s="28"/>
      <c r="L46" s="28"/>
      <c r="M46" s="28"/>
      <c r="N46" s="28"/>
      <c r="O46" s="96"/>
      <c r="P46" s="96"/>
      <c r="Q46" s="96"/>
      <c r="R46" s="96"/>
    </row>
    <row r="47" spans="1:18">
      <c r="A47" s="96"/>
      <c r="B47" s="96"/>
      <c r="C47" s="97"/>
      <c r="D47" s="97"/>
      <c r="E47" s="96"/>
      <c r="F47" s="97"/>
      <c r="G47" s="525"/>
      <c r="H47" s="108"/>
      <c r="I47" s="108"/>
      <c r="J47" s="108"/>
      <c r="K47" s="108"/>
      <c r="L47" s="108"/>
      <c r="M47" s="96"/>
      <c r="N47" s="96"/>
      <c r="O47" s="96"/>
      <c r="P47" s="96"/>
      <c r="Q47" s="96"/>
      <c r="R47" s="96"/>
    </row>
    <row r="48" spans="1:18">
      <c r="A48" s="96"/>
      <c r="B48" s="96"/>
      <c r="C48" s="97"/>
      <c r="D48" s="97"/>
      <c r="E48" s="96"/>
      <c r="F48" s="97"/>
      <c r="G48" s="525"/>
      <c r="H48" s="28"/>
      <c r="I48" s="126"/>
      <c r="J48" s="28"/>
      <c r="K48" s="124"/>
      <c r="L48" s="96"/>
      <c r="M48" s="96"/>
      <c r="N48" s="96"/>
      <c r="O48" s="96"/>
      <c r="P48" s="96"/>
      <c r="Q48" s="96"/>
      <c r="R48" s="96"/>
    </row>
    <row r="49" spans="1:18">
      <c r="A49" s="96"/>
      <c r="B49" s="96"/>
      <c r="C49" s="97"/>
      <c r="D49" s="97"/>
      <c r="E49" s="96"/>
      <c r="F49" s="97"/>
      <c r="G49" s="525"/>
      <c r="H49" s="108"/>
      <c r="I49" s="108"/>
      <c r="J49" s="28"/>
      <c r="K49" s="124"/>
      <c r="L49" s="96"/>
      <c r="M49" s="96"/>
      <c r="N49" s="96"/>
      <c r="O49" s="96"/>
      <c r="P49" s="96"/>
      <c r="Q49" s="96"/>
      <c r="R49" s="96"/>
    </row>
    <row r="50" spans="1:18">
      <c r="A50" s="96"/>
      <c r="B50" s="96"/>
      <c r="C50" s="97"/>
      <c r="D50" s="97"/>
      <c r="E50" s="96"/>
      <c r="F50" s="97"/>
      <c r="G50" s="98"/>
      <c r="H50" s="96"/>
      <c r="I50" s="96"/>
      <c r="J50" s="124"/>
      <c r="K50" s="124"/>
      <c r="L50" s="96"/>
      <c r="M50" s="96"/>
      <c r="N50" s="96"/>
      <c r="O50" s="96"/>
      <c r="P50" s="96"/>
      <c r="Q50" s="96"/>
      <c r="R50" s="96"/>
    </row>
    <row r="51" spans="1:18">
      <c r="A51" s="96"/>
      <c r="B51" s="96"/>
      <c r="C51" s="97"/>
      <c r="D51" s="97"/>
      <c r="E51" s="96"/>
      <c r="F51" s="97"/>
      <c r="G51" s="98"/>
      <c r="H51" s="96"/>
      <c r="I51" s="96"/>
      <c r="J51" s="124"/>
      <c r="K51" s="124"/>
      <c r="L51" s="96"/>
      <c r="M51" s="96"/>
      <c r="N51" s="96"/>
      <c r="O51" s="96"/>
      <c r="P51" s="96"/>
      <c r="Q51" s="96"/>
      <c r="R51" s="96"/>
    </row>
    <row r="52" spans="1:18">
      <c r="A52" s="96"/>
      <c r="B52" s="96"/>
      <c r="C52" s="97"/>
      <c r="D52" s="97"/>
      <c r="E52" s="96"/>
      <c r="F52" s="97"/>
      <c r="G52" s="98"/>
      <c r="H52" s="96"/>
      <c r="I52" s="96"/>
      <c r="J52" s="124"/>
      <c r="K52" s="124"/>
      <c r="L52" s="96"/>
      <c r="M52" s="96"/>
      <c r="N52" s="96"/>
      <c r="O52" s="96"/>
      <c r="P52" s="96"/>
      <c r="Q52" s="96"/>
      <c r="R52" s="96"/>
    </row>
    <row r="53" spans="1:18">
      <c r="A53" s="96"/>
      <c r="B53" s="96"/>
      <c r="C53" s="97"/>
      <c r="D53" s="97"/>
      <c r="E53" s="96"/>
      <c r="F53" s="97"/>
      <c r="G53" s="98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</row>
    <row r="54" spans="1:18">
      <c r="A54" s="96"/>
      <c r="B54" s="96"/>
      <c r="C54" s="97"/>
      <c r="D54" s="97"/>
      <c r="E54" s="96"/>
      <c r="F54" s="97"/>
      <c r="J54" s="96"/>
      <c r="K54" s="96"/>
      <c r="L54" s="96"/>
      <c r="M54" s="96"/>
      <c r="N54" s="96"/>
      <c r="O54" s="96"/>
      <c r="P54" s="96"/>
      <c r="Q54" s="96"/>
      <c r="R54" s="96"/>
    </row>
    <row r="55" spans="1:18">
      <c r="A55" s="96"/>
      <c r="B55" s="96"/>
      <c r="C55" s="97"/>
      <c r="D55" s="97"/>
      <c r="E55" s="96"/>
      <c r="F55" s="97"/>
      <c r="J55" s="96"/>
      <c r="K55" s="96"/>
      <c r="L55" s="96"/>
      <c r="M55" s="96"/>
      <c r="N55" s="96"/>
      <c r="O55" s="96"/>
      <c r="P55" s="96"/>
      <c r="Q55" s="96"/>
      <c r="R55" s="96"/>
    </row>
    <row r="56" spans="1:18">
      <c r="A56" s="96"/>
      <c r="B56" s="96"/>
      <c r="C56" s="97"/>
      <c r="D56" s="97"/>
      <c r="E56" s="96"/>
      <c r="F56" s="97"/>
      <c r="J56" s="96"/>
      <c r="K56" s="96"/>
      <c r="L56" s="96"/>
      <c r="M56" s="96"/>
      <c r="N56" s="96"/>
      <c r="O56" s="96"/>
      <c r="P56" s="96"/>
      <c r="Q56" s="96"/>
      <c r="R56" s="96"/>
    </row>
  </sheetData>
  <sortState xmlns:xlrd2="http://schemas.microsoft.com/office/spreadsheetml/2017/richdata2" ref="B46:E474">
    <sortCondition ref="B46:B474"/>
  </sortState>
  <printOptions horizontalCentered="1"/>
  <pageMargins left="0.7" right="0.7" top="1.25" bottom="0.75" header="0.3" footer="0.3"/>
  <pageSetup scale="59" orientation="landscape" r:id="rId1"/>
  <customProperties>
    <customPr name="_pios_id" r:id="rId2"/>
    <customPr name="EpmWorksheetKeyString_GUID" r:id="rId3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AG656"/>
  <sheetViews>
    <sheetView showGridLines="0" tabSelected="1" workbookViewId="0">
      <selection activeCell="Y6" activeCellId="1" sqref="W5:X5 Y6:AA6"/>
    </sheetView>
  </sheetViews>
  <sheetFormatPr defaultColWidth="8.85546875" defaultRowHeight="12.75"/>
  <cols>
    <col min="1" max="1" width="6.42578125" style="1" customWidth="1"/>
    <col min="2" max="2" width="23.7109375" style="1" customWidth="1"/>
    <col min="3" max="3" width="16.140625" style="1" customWidth="1"/>
    <col min="4" max="4" width="13.5703125" style="1" customWidth="1"/>
    <col min="5" max="5" width="1.140625" style="1" customWidth="1"/>
    <col min="6" max="6" width="13.5703125" style="1" customWidth="1"/>
    <col min="7" max="7" width="16.42578125" style="1" customWidth="1"/>
    <col min="8" max="9" width="8.85546875" style="1"/>
    <col min="10" max="10" width="14.140625" style="1" customWidth="1"/>
    <col min="11" max="12" width="12.85546875" style="1" bestFit="1" customWidth="1"/>
    <col min="13" max="13" width="8.85546875" style="1"/>
    <col min="14" max="14" width="20.85546875" style="1" customWidth="1"/>
    <col min="15" max="15" width="35.140625" style="1" customWidth="1"/>
    <col min="16" max="16" width="33.5703125" style="1" customWidth="1"/>
    <col min="17" max="17" width="17.42578125" style="1" customWidth="1"/>
    <col min="18" max="18" width="17.7109375" style="1" customWidth="1"/>
    <col min="19" max="19" width="19.140625" style="1" customWidth="1"/>
    <col min="20" max="20" width="14.7109375" style="1" customWidth="1"/>
    <col min="21" max="21" width="9.28515625" style="1" customWidth="1"/>
    <col min="22" max="22" width="7" style="1" customWidth="1"/>
    <col min="23" max="23" width="19.5703125" style="1" customWidth="1"/>
    <col min="24" max="24" width="19.140625" style="1" customWidth="1"/>
    <col min="25" max="25" width="29.5703125" style="1" customWidth="1"/>
    <col min="26" max="26" width="22.140625" style="1" customWidth="1"/>
    <col min="27" max="27" width="19.5703125" style="1" customWidth="1"/>
    <col min="28" max="28" width="17.140625" style="1" customWidth="1"/>
    <col min="29" max="29" width="15.28515625" style="1" customWidth="1"/>
    <col min="30" max="30" width="8.85546875" style="1"/>
    <col min="31" max="33" width="16.42578125" style="1" bestFit="1" customWidth="1"/>
    <col min="34" max="16384" width="8.85546875" style="1"/>
  </cols>
  <sheetData>
    <row r="1" spans="1:33" ht="15.75">
      <c r="A1" s="5" t="s">
        <v>87</v>
      </c>
      <c r="L1" s="437"/>
    </row>
    <row r="2" spans="1:33" ht="15.75">
      <c r="A2" s="5" t="s">
        <v>1883</v>
      </c>
      <c r="H2" s="437"/>
    </row>
    <row r="3" spans="1:33" ht="15">
      <c r="H3" s="437"/>
      <c r="Z3" s="436"/>
      <c r="AA3" s="436"/>
      <c r="AB3" s="436"/>
      <c r="AC3" s="436"/>
      <c r="AE3" s="626"/>
      <c r="AF3" s="626"/>
      <c r="AG3" s="626"/>
    </row>
    <row r="4" spans="1:33" ht="15">
      <c r="A4" s="2" t="s">
        <v>183</v>
      </c>
      <c r="B4" s="1" t="s">
        <v>89</v>
      </c>
      <c r="C4" s="10">
        <f>Q21</f>
        <v>12620.1</v>
      </c>
      <c r="D4" s="10">
        <f>R21</f>
        <v>-2.2737367544323206E-13</v>
      </c>
      <c r="E4" s="10"/>
      <c r="F4" s="64">
        <f t="shared" ref="F4:F10" si="0">C4+D4</f>
        <v>12620.1</v>
      </c>
      <c r="Z4" s="436"/>
      <c r="AA4" s="436"/>
      <c r="AB4" s="436"/>
      <c r="AC4" s="436"/>
      <c r="AE4" s="626"/>
      <c r="AF4" s="626"/>
      <c r="AG4" s="626"/>
    </row>
    <row r="5" spans="1:33" ht="18">
      <c r="A5" s="2" t="s">
        <v>184</v>
      </c>
      <c r="B5" s="1" t="s">
        <v>208</v>
      </c>
      <c r="C5" s="515">
        <f>Q29</f>
        <v>0</v>
      </c>
      <c r="D5" s="133">
        <f>R29</f>
        <v>-1.9258550310041755E-10</v>
      </c>
      <c r="E5" s="515">
        <v>3.637978807091713E-12</v>
      </c>
      <c r="F5" s="64">
        <f t="shared" si="0"/>
        <v>-1.9258550310041755E-10</v>
      </c>
      <c r="N5" s="1">
        <v>10400</v>
      </c>
      <c r="O5" s="1" t="s">
        <v>1769</v>
      </c>
      <c r="P5" s="1" t="s">
        <v>1770</v>
      </c>
      <c r="Q5" s="574"/>
      <c r="R5" s="552"/>
      <c r="S5" s="552"/>
      <c r="T5" s="511"/>
      <c r="W5" s="754" t="s">
        <v>1807</v>
      </c>
      <c r="X5" s="755"/>
      <c r="Y5" s="549" t="s">
        <v>1808</v>
      </c>
      <c r="Z5" s="549" t="s">
        <v>1809</v>
      </c>
      <c r="AA5" s="549" t="s">
        <v>88</v>
      </c>
      <c r="AC5" s="436"/>
      <c r="AE5" s="626"/>
      <c r="AF5" s="626"/>
      <c r="AG5" s="626"/>
    </row>
    <row r="6" spans="1:33">
      <c r="A6" s="2" t="s">
        <v>185</v>
      </c>
      <c r="B6" s="1" t="s">
        <v>209</v>
      </c>
      <c r="C6" s="518">
        <f>Q48</f>
        <v>110996255.04000002</v>
      </c>
      <c r="D6" s="518">
        <f>R48</f>
        <v>-30995545.602096666</v>
      </c>
      <c r="E6" s="518"/>
      <c r="F6" s="519">
        <f t="shared" si="0"/>
        <v>80000709.43790336</v>
      </c>
      <c r="N6" s="1">
        <v>10400</v>
      </c>
      <c r="O6" s="1" t="s">
        <v>1771</v>
      </c>
      <c r="P6" s="1" t="s">
        <v>1770</v>
      </c>
      <c r="Q6" s="574"/>
      <c r="R6" s="552"/>
      <c r="S6" s="552"/>
      <c r="T6" s="511"/>
      <c r="W6" s="440"/>
      <c r="X6" s="440"/>
      <c r="Y6" s="756">
        <v>2023</v>
      </c>
      <c r="Z6" s="756">
        <v>2023</v>
      </c>
      <c r="AA6" s="756">
        <v>2023</v>
      </c>
      <c r="AB6" s="435"/>
      <c r="AC6" s="552"/>
      <c r="AE6" s="552"/>
      <c r="AF6" s="552"/>
      <c r="AG6" s="552"/>
    </row>
    <row r="7" spans="1:33">
      <c r="A7" s="2">
        <v>374</v>
      </c>
      <c r="B7" s="1" t="s">
        <v>210</v>
      </c>
      <c r="C7" s="133">
        <f>Q81</f>
        <v>20391776.989999998</v>
      </c>
      <c r="D7" s="133">
        <f>R81</f>
        <v>-1034404.7086766624</v>
      </c>
      <c r="E7" s="133"/>
      <c r="F7" s="64">
        <f t="shared" si="0"/>
        <v>19357372.281323336</v>
      </c>
      <c r="J7" s="232"/>
      <c r="Q7" s="516"/>
      <c r="R7" s="516"/>
      <c r="S7" s="632"/>
      <c r="T7" s="512"/>
      <c r="W7" s="619" t="s">
        <v>303</v>
      </c>
      <c r="X7" s="630" t="s">
        <v>1810</v>
      </c>
      <c r="Y7" s="631" t="s">
        <v>1864</v>
      </c>
      <c r="Z7" s="631" t="s">
        <v>1864</v>
      </c>
      <c r="AA7" s="631" t="s">
        <v>1864</v>
      </c>
      <c r="AB7" s="435"/>
      <c r="AC7" s="552"/>
      <c r="AE7" s="552"/>
      <c r="AF7" s="552"/>
      <c r="AG7" s="552"/>
    </row>
    <row r="8" spans="1:33" ht="15">
      <c r="A8" s="2" t="s">
        <v>186</v>
      </c>
      <c r="B8" s="1" t="s">
        <v>211</v>
      </c>
      <c r="C8" s="133">
        <f>Q100</f>
        <v>31491221.778800014</v>
      </c>
      <c r="D8" s="133">
        <f>R100</f>
        <v>-8865296.4608064573</v>
      </c>
      <c r="E8" s="133"/>
      <c r="F8" s="64">
        <f t="shared" si="0"/>
        <v>22625925.317993559</v>
      </c>
      <c r="N8" s="436">
        <v>10400</v>
      </c>
      <c r="O8"/>
      <c r="P8"/>
      <c r="Q8" s="552">
        <f>Y8</f>
        <v>2523765.33</v>
      </c>
      <c r="R8" s="552">
        <f t="shared" ref="R8:S8" si="1">Z8</f>
        <v>-890745.51425000082</v>
      </c>
      <c r="S8" s="552">
        <f t="shared" si="1"/>
        <v>1633019.8157499991</v>
      </c>
      <c r="T8" s="511"/>
      <c r="W8" s="554">
        <v>10400</v>
      </c>
      <c r="X8" s="440" t="s">
        <v>1770</v>
      </c>
      <c r="Y8" s="552">
        <v>2523765.33</v>
      </c>
      <c r="Z8" s="552">
        <v>-890745.51425000082</v>
      </c>
      <c r="AA8" s="552">
        <v>1633019.8157499991</v>
      </c>
      <c r="AB8" s="435"/>
      <c r="AC8" s="552"/>
      <c r="AE8" s="552"/>
      <c r="AF8" s="552"/>
      <c r="AG8" s="552"/>
    </row>
    <row r="9" spans="1:33">
      <c r="A9" s="2" t="s">
        <v>197</v>
      </c>
      <c r="B9" s="1" t="s">
        <v>211</v>
      </c>
      <c r="C9" s="133">
        <f>Q333</f>
        <v>438344.31000000006</v>
      </c>
      <c r="D9" s="133">
        <f>R333</f>
        <v>-35511.640679999924</v>
      </c>
      <c r="E9" s="133"/>
      <c r="F9" s="64">
        <f t="shared" si="0"/>
        <v>402832.6693200001</v>
      </c>
      <c r="Q9" s="552"/>
      <c r="R9" s="552"/>
      <c r="S9" s="552"/>
      <c r="T9" s="512"/>
      <c r="W9" s="554">
        <v>10500</v>
      </c>
      <c r="X9" s="440" t="s">
        <v>1257</v>
      </c>
      <c r="Y9" s="552">
        <v>1939551.55</v>
      </c>
      <c r="Z9" s="552">
        <v>0</v>
      </c>
      <c r="AA9" s="552">
        <v>1939551.55</v>
      </c>
      <c r="AB9" s="552"/>
      <c r="AC9" s="575"/>
      <c r="AE9" s="552"/>
      <c r="AF9" s="552"/>
      <c r="AG9" s="552"/>
    </row>
    <row r="10" spans="1:33">
      <c r="A10" s="2" t="s">
        <v>199</v>
      </c>
      <c r="B10" s="137" t="s">
        <v>94</v>
      </c>
      <c r="C10" s="133">
        <f>Q446</f>
        <v>41664220.717936121</v>
      </c>
      <c r="D10" s="133">
        <f>R446</f>
        <v>-17283485.235455558</v>
      </c>
      <c r="E10" s="133"/>
      <c r="F10" s="64">
        <f t="shared" si="0"/>
        <v>24380735.482480563</v>
      </c>
      <c r="N10">
        <v>10500</v>
      </c>
      <c r="O10" s="511" t="s">
        <v>1256</v>
      </c>
      <c r="P10" s="511" t="s">
        <v>1257</v>
      </c>
      <c r="Q10" s="572"/>
      <c r="R10" s="552"/>
      <c r="S10" s="552"/>
      <c r="W10" s="554">
        <v>11501</v>
      </c>
      <c r="X10" s="440" t="s">
        <v>1260</v>
      </c>
      <c r="Y10" s="552">
        <v>5031897.24</v>
      </c>
      <c r="Z10" s="552">
        <v>-5028152.9800000144</v>
      </c>
      <c r="AA10" s="552">
        <v>3744.2599999858066</v>
      </c>
      <c r="AB10" s="552"/>
      <c r="AC10" s="552"/>
      <c r="AE10" s="564"/>
      <c r="AF10" s="552"/>
      <c r="AG10" s="552"/>
    </row>
    <row r="11" spans="1:33">
      <c r="A11" s="2">
        <v>18679</v>
      </c>
      <c r="B11" s="137"/>
      <c r="C11" s="133">
        <v>0</v>
      </c>
      <c r="D11" s="133">
        <v>0</v>
      </c>
      <c r="E11" s="133">
        <v>0</v>
      </c>
      <c r="F11" s="64">
        <f t="shared" ref="F11" si="2">C11+D11</f>
        <v>0</v>
      </c>
      <c r="N11">
        <v>10500</v>
      </c>
      <c r="O11" s="511" t="s">
        <v>1258</v>
      </c>
      <c r="P11" s="511" t="s">
        <v>1257</v>
      </c>
      <c r="Q11" s="572"/>
      <c r="R11" s="552"/>
      <c r="S11" s="552"/>
      <c r="T11" s="511"/>
      <c r="W11" s="554">
        <v>30100</v>
      </c>
      <c r="X11" s="440" t="s">
        <v>1262</v>
      </c>
      <c r="Y11" s="552">
        <v>12620.1</v>
      </c>
      <c r="Z11" s="552">
        <v>-2.2737367544323206E-13</v>
      </c>
      <c r="AA11" s="552">
        <v>12620.1</v>
      </c>
      <c r="AB11" s="552"/>
      <c r="AC11" s="552"/>
      <c r="AE11" s="552"/>
      <c r="AF11" s="552"/>
      <c r="AG11" s="552"/>
    </row>
    <row r="12" spans="1:33">
      <c r="A12" s="2"/>
      <c r="B12" s="2"/>
      <c r="C12" s="134">
        <f>SUM(C4:C11)</f>
        <v>204994438.93673617</v>
      </c>
      <c r="D12" s="134">
        <f>SUM(D4:D11)</f>
        <v>-58214243.647715345</v>
      </c>
      <c r="E12" s="133"/>
      <c r="F12" s="134">
        <f>SUM(F4:F11)</f>
        <v>146780195.28902081</v>
      </c>
      <c r="G12" s="10"/>
      <c r="N12" s="441">
        <v>10500</v>
      </c>
      <c r="O12" s="511"/>
      <c r="P12" s="511"/>
      <c r="Q12" s="552">
        <f>Y9</f>
        <v>1939551.55</v>
      </c>
      <c r="R12" s="552">
        <v>0</v>
      </c>
      <c r="S12" s="552">
        <f t="shared" ref="S12" si="3">AA9</f>
        <v>1939551.55</v>
      </c>
      <c r="T12" s="511"/>
      <c r="W12" s="554">
        <v>30200</v>
      </c>
      <c r="X12" s="440" t="s">
        <v>1268</v>
      </c>
      <c r="Y12" s="552">
        <v>0</v>
      </c>
      <c r="Z12" s="552">
        <v>-1.9258550310041755E-10</v>
      </c>
      <c r="AA12" s="552">
        <v>-1.9258550310041755E-10</v>
      </c>
      <c r="AB12" s="552"/>
      <c r="AC12" s="575"/>
      <c r="AE12" s="552"/>
      <c r="AF12" s="552"/>
      <c r="AG12" s="552"/>
    </row>
    <row r="13" spans="1:33">
      <c r="A13" s="2"/>
      <c r="B13" s="2"/>
      <c r="C13" s="10"/>
      <c r="D13" s="10"/>
      <c r="E13" s="133"/>
      <c r="F13" s="64"/>
      <c r="N13" s="441"/>
      <c r="O13" s="511"/>
      <c r="P13" s="511"/>
      <c r="Q13" s="552"/>
      <c r="R13" s="575"/>
      <c r="S13" s="552"/>
      <c r="T13" s="511"/>
      <c r="W13" s="554">
        <v>30300</v>
      </c>
      <c r="X13" s="440" t="s">
        <v>1276</v>
      </c>
      <c r="Y13" s="552">
        <v>815325.07000000007</v>
      </c>
      <c r="Z13" s="552">
        <v>-853373.57326666545</v>
      </c>
      <c r="AA13" s="552">
        <v>-38048.503266665386</v>
      </c>
      <c r="AB13" s="564"/>
      <c r="AC13" s="552"/>
      <c r="AE13" s="552"/>
      <c r="AF13" s="552"/>
      <c r="AG13" s="552"/>
    </row>
    <row r="14" spans="1:33">
      <c r="A14" s="2" t="s">
        <v>187</v>
      </c>
      <c r="B14" s="137" t="s">
        <v>212</v>
      </c>
      <c r="C14" s="10">
        <f>Q153</f>
        <v>1811664327.156565</v>
      </c>
      <c r="D14" s="10">
        <f>R153</f>
        <v>-434114347.5358966</v>
      </c>
      <c r="E14" s="133"/>
      <c r="F14" s="64">
        <f>C14+D14</f>
        <v>1377549979.6206684</v>
      </c>
      <c r="N14" s="441">
        <v>11501</v>
      </c>
      <c r="O14" s="512" t="s">
        <v>1259</v>
      </c>
      <c r="P14" s="512" t="s">
        <v>1260</v>
      </c>
      <c r="Q14" s="552">
        <f>Y10</f>
        <v>5031897.24</v>
      </c>
      <c r="R14" s="552">
        <f t="shared" ref="R14:S14" si="4">Z10</f>
        <v>-5028152.9800000144</v>
      </c>
      <c r="S14" s="552">
        <f t="shared" si="4"/>
        <v>3744.2599999858066</v>
      </c>
      <c r="T14" s="511"/>
      <c r="W14" s="554">
        <v>30301</v>
      </c>
      <c r="X14" s="440" t="s">
        <v>1279</v>
      </c>
      <c r="Y14" s="552">
        <v>110180929.97000003</v>
      </c>
      <c r="Z14" s="552">
        <v>-30142172.028829999</v>
      </c>
      <c r="AA14" s="552">
        <v>80038757.941170037</v>
      </c>
      <c r="AB14" s="552"/>
      <c r="AC14" s="552"/>
      <c r="AE14" s="564"/>
      <c r="AF14" s="552"/>
      <c r="AG14" s="552"/>
    </row>
    <row r="15" spans="1:33">
      <c r="A15" s="2">
        <v>364</v>
      </c>
      <c r="B15" s="621" t="s">
        <v>1826</v>
      </c>
      <c r="C15" s="133">
        <f>Q541</f>
        <v>0</v>
      </c>
      <c r="D15" s="133">
        <f>R541</f>
        <v>0</v>
      </c>
      <c r="E15" s="133">
        <f>S541</f>
        <v>0</v>
      </c>
      <c r="F15" s="64">
        <f>S541</f>
        <v>0</v>
      </c>
      <c r="N15" s="441"/>
      <c r="O15" s="512"/>
      <c r="P15" s="512"/>
      <c r="Q15" s="552"/>
      <c r="R15" s="575"/>
      <c r="S15" s="552"/>
      <c r="T15" s="511"/>
      <c r="W15" s="554">
        <v>30302</v>
      </c>
      <c r="X15" s="440" t="s">
        <v>1293</v>
      </c>
      <c r="Y15" s="552">
        <v>0</v>
      </c>
      <c r="Z15" s="552">
        <v>0</v>
      </c>
      <c r="AA15" s="552">
        <v>0</v>
      </c>
      <c r="AB15" s="552"/>
      <c r="AC15" s="552"/>
      <c r="AE15" s="552"/>
      <c r="AF15" s="552"/>
      <c r="AG15" s="552"/>
    </row>
    <row r="16" spans="1:33">
      <c r="A16" s="2">
        <v>377</v>
      </c>
      <c r="B16" s="137" t="s">
        <v>1803</v>
      </c>
      <c r="C16" s="133">
        <f>Q155</f>
        <v>19181092.510000002</v>
      </c>
      <c r="D16" s="133">
        <f>R155</f>
        <v>-1368630.8978499998</v>
      </c>
      <c r="E16" s="133"/>
      <c r="F16" s="64">
        <f>S155</f>
        <v>17812461.612150002</v>
      </c>
      <c r="N16">
        <v>30100</v>
      </c>
      <c r="O16" s="511" t="s">
        <v>1261</v>
      </c>
      <c r="P16" s="511" t="s">
        <v>1262</v>
      </c>
      <c r="Q16" s="572"/>
      <c r="R16" s="552"/>
      <c r="S16" s="552"/>
      <c r="T16" s="512"/>
      <c r="W16" s="554">
        <v>33600</v>
      </c>
      <c r="X16" s="440" t="s">
        <v>1845</v>
      </c>
      <c r="Y16" s="552">
        <v>44817767.480000004</v>
      </c>
      <c r="Z16" s="552">
        <v>-1678905.2429916665</v>
      </c>
      <c r="AA16" s="552">
        <v>43138862.237008341</v>
      </c>
      <c r="AB16" s="552"/>
      <c r="AC16" s="552"/>
      <c r="AE16" s="564"/>
      <c r="AF16" s="552"/>
      <c r="AG16" s="552"/>
    </row>
    <row r="17" spans="1:33">
      <c r="A17" s="2" t="s">
        <v>188</v>
      </c>
      <c r="B17" s="1" t="s">
        <v>213</v>
      </c>
      <c r="C17" s="133">
        <f>Q176</f>
        <v>22026123.749599997</v>
      </c>
      <c r="D17" s="133">
        <f>R176</f>
        <v>-5803810.6474795975</v>
      </c>
      <c r="E17" s="133"/>
      <c r="F17" s="64">
        <f>C17+D17</f>
        <v>16222313.102120399</v>
      </c>
      <c r="N17" s="440">
        <v>30100</v>
      </c>
      <c r="O17" s="512" t="s">
        <v>1263</v>
      </c>
      <c r="P17" s="512" t="s">
        <v>1262</v>
      </c>
      <c r="Q17" s="572"/>
      <c r="R17" s="552"/>
      <c r="S17" s="552"/>
      <c r="W17" s="554">
        <v>36400</v>
      </c>
      <c r="X17" s="440" t="s">
        <v>1846</v>
      </c>
      <c r="Y17" s="552">
        <v>0</v>
      </c>
      <c r="Z17" s="552">
        <v>0</v>
      </c>
      <c r="AA17" s="552">
        <v>0</v>
      </c>
      <c r="AC17" s="552"/>
      <c r="AE17" s="552"/>
      <c r="AF17" s="552"/>
      <c r="AG17" s="552"/>
    </row>
    <row r="18" spans="1:33">
      <c r="A18" s="2" t="s">
        <v>189</v>
      </c>
      <c r="B18" s="1" t="s">
        <v>214</v>
      </c>
      <c r="C18" s="133">
        <f>Q195</f>
        <v>115479835.21479999</v>
      </c>
      <c r="D18" s="133">
        <f>R195</f>
        <v>-19180463.104328617</v>
      </c>
      <c r="E18" s="133"/>
      <c r="F18" s="64">
        <f>C18+D18</f>
        <v>96299372.110471368</v>
      </c>
      <c r="N18" s="1">
        <v>30100</v>
      </c>
      <c r="O18" s="1" t="s">
        <v>1264</v>
      </c>
      <c r="P18" s="1" t="s">
        <v>1262</v>
      </c>
      <c r="Q18" s="572"/>
      <c r="R18" s="552"/>
      <c r="S18" s="552"/>
      <c r="T18" s="511"/>
      <c r="W18" s="554">
        <v>37400</v>
      </c>
      <c r="X18" s="440" t="s">
        <v>1295</v>
      </c>
      <c r="Y18" s="552">
        <v>16122904.329999998</v>
      </c>
      <c r="Z18" s="552">
        <v>60224.600000000413</v>
      </c>
      <c r="AA18" s="552">
        <v>16183128.929999998</v>
      </c>
      <c r="AB18" s="552"/>
      <c r="AC18" s="552"/>
      <c r="AE18" s="552"/>
      <c r="AF18" s="552"/>
      <c r="AG18" s="552"/>
    </row>
    <row r="19" spans="1:33">
      <c r="A19" s="2"/>
      <c r="C19" s="371">
        <f>SUM(C14:C18)</f>
        <v>1968351378.6309648</v>
      </c>
      <c r="D19" s="371">
        <f t="shared" ref="D19:F19" si="5">SUM(D14:D18)</f>
        <v>-460467252.1855548</v>
      </c>
      <c r="E19" s="371">
        <f t="shared" si="5"/>
        <v>0</v>
      </c>
      <c r="F19" s="371">
        <f t="shared" si="5"/>
        <v>1507884126.4454103</v>
      </c>
      <c r="N19">
        <v>30100</v>
      </c>
      <c r="O19" s="511" t="s">
        <v>1265</v>
      </c>
      <c r="P19" s="511" t="s">
        <v>1262</v>
      </c>
      <c r="Q19" s="572"/>
      <c r="R19" s="552"/>
      <c r="S19" s="552"/>
      <c r="T19" s="511"/>
      <c r="W19" s="554">
        <v>37402</v>
      </c>
      <c r="X19" s="440" t="s">
        <v>1310</v>
      </c>
      <c r="Y19" s="552">
        <v>4268872.66</v>
      </c>
      <c r="Z19" s="552">
        <v>-1094629.3086766629</v>
      </c>
      <c r="AA19" s="552">
        <v>3174243.3513233373</v>
      </c>
      <c r="AB19" s="552"/>
      <c r="AC19" s="552"/>
      <c r="AE19" s="552"/>
      <c r="AF19" s="552"/>
      <c r="AG19" s="552"/>
    </row>
    <row r="20" spans="1:33">
      <c r="A20" s="2" t="s">
        <v>190</v>
      </c>
      <c r="B20" s="1" t="s">
        <v>215</v>
      </c>
      <c r="C20" s="133">
        <f>Q225</f>
        <v>660651858.1487987</v>
      </c>
      <c r="D20" s="133">
        <f>R225</f>
        <v>-254428065.32415855</v>
      </c>
      <c r="E20" s="133"/>
      <c r="F20" s="64">
        <f t="shared" ref="F20:F28" si="6">C20+D20</f>
        <v>406223792.82464015</v>
      </c>
      <c r="N20">
        <v>30100</v>
      </c>
      <c r="O20" s="511" t="s">
        <v>1266</v>
      </c>
      <c r="P20" s="511" t="s">
        <v>1262</v>
      </c>
      <c r="Q20" s="572"/>
      <c r="R20" s="552"/>
      <c r="S20" s="552"/>
      <c r="T20" s="511"/>
      <c r="W20" s="554">
        <v>37500</v>
      </c>
      <c r="X20" s="440" t="s">
        <v>1324</v>
      </c>
      <c r="Y20" s="552">
        <v>31491221.778800014</v>
      </c>
      <c r="Z20" s="552">
        <v>-8865296.4608064573</v>
      </c>
      <c r="AA20" s="552">
        <v>22625925.317993559</v>
      </c>
      <c r="AB20" s="552"/>
      <c r="AC20" s="575"/>
      <c r="AE20" s="552"/>
      <c r="AF20" s="552"/>
      <c r="AG20" s="552"/>
    </row>
    <row r="21" spans="1:33">
      <c r="A21" s="2" t="s">
        <v>191</v>
      </c>
      <c r="B21" s="137" t="s">
        <v>216</v>
      </c>
      <c r="C21" s="133">
        <f>Q231</f>
        <v>99373636.144800037</v>
      </c>
      <c r="D21" s="133">
        <f>R231</f>
        <v>-41918299.232456945</v>
      </c>
      <c r="E21" s="133"/>
      <c r="F21" s="64">
        <f t="shared" si="6"/>
        <v>57455336.912343092</v>
      </c>
      <c r="N21" s="441">
        <v>30100</v>
      </c>
      <c r="O21" s="511"/>
      <c r="P21" s="511"/>
      <c r="Q21" s="552">
        <f>Y11</f>
        <v>12620.1</v>
      </c>
      <c r="R21" s="552">
        <f t="shared" ref="R21:S21" si="7">Z11</f>
        <v>-2.2737367544323206E-13</v>
      </c>
      <c r="S21" s="552">
        <f t="shared" si="7"/>
        <v>12620.1</v>
      </c>
      <c r="T21" s="511"/>
      <c r="W21" s="554">
        <v>37600</v>
      </c>
      <c r="X21" s="440" t="s">
        <v>1342</v>
      </c>
      <c r="Y21" s="552">
        <v>835562758.7119323</v>
      </c>
      <c r="Z21" s="552">
        <v>-222712473.12859213</v>
      </c>
      <c r="AA21" s="552">
        <v>612850285.58334017</v>
      </c>
      <c r="AB21" s="552"/>
      <c r="AC21" s="552"/>
      <c r="AE21" s="552"/>
      <c r="AF21" s="552"/>
      <c r="AG21" s="552"/>
    </row>
    <row r="22" spans="1:33">
      <c r="A22" s="2" t="s">
        <v>192</v>
      </c>
      <c r="B22" s="137" t="s">
        <v>217</v>
      </c>
      <c r="C22" s="133">
        <f>Q247</f>
        <v>103939507.0885774</v>
      </c>
      <c r="D22" s="133">
        <f>R247</f>
        <v>-38027889.649522685</v>
      </c>
      <c r="E22" s="133"/>
      <c r="F22" s="64">
        <f t="shared" si="6"/>
        <v>65911617.43905472</v>
      </c>
      <c r="N22" s="441"/>
      <c r="O22" s="511"/>
      <c r="P22" s="511"/>
      <c r="Q22" s="552"/>
      <c r="R22" s="572"/>
      <c r="S22" s="552"/>
      <c r="T22" s="511"/>
      <c r="W22" s="554">
        <v>37602</v>
      </c>
      <c r="X22" s="440" t="s">
        <v>1359</v>
      </c>
      <c r="Y22" s="552">
        <v>976101568.44463265</v>
      </c>
      <c r="Z22" s="552">
        <v>-211401874.40730447</v>
      </c>
      <c r="AA22" s="552">
        <v>764699694.03732824</v>
      </c>
      <c r="AB22" s="552"/>
      <c r="AC22" s="552"/>
      <c r="AE22" s="564"/>
      <c r="AF22" s="552"/>
      <c r="AG22" s="552"/>
    </row>
    <row r="23" spans="1:33">
      <c r="A23" s="2" t="s">
        <v>193</v>
      </c>
      <c r="B23" s="1" t="s">
        <v>218</v>
      </c>
      <c r="C23" s="133">
        <f>Q264</f>
        <v>20651167.042800009</v>
      </c>
      <c r="D23" s="133">
        <f>R264</f>
        <v>-9378152.9004250634</v>
      </c>
      <c r="E23" s="133"/>
      <c r="F23" s="64">
        <f t="shared" si="6"/>
        <v>11273014.142374946</v>
      </c>
      <c r="N23">
        <v>30200</v>
      </c>
      <c r="O23" s="511" t="s">
        <v>1267</v>
      </c>
      <c r="P23" s="511" t="s">
        <v>1268</v>
      </c>
      <c r="Q23" s="572"/>
      <c r="R23" s="552"/>
      <c r="S23" s="552"/>
      <c r="T23" s="511"/>
      <c r="W23" s="554">
        <v>37700</v>
      </c>
      <c r="X23" s="440" t="s">
        <v>1834</v>
      </c>
      <c r="Y23" s="552">
        <v>19181092.510000002</v>
      </c>
      <c r="Z23" s="552">
        <v>-1368630.8978499998</v>
      </c>
      <c r="AA23" s="552">
        <v>17812461.612150002</v>
      </c>
      <c r="AB23" s="552"/>
      <c r="AC23" s="552"/>
      <c r="AE23" s="552"/>
      <c r="AF23" s="552"/>
      <c r="AG23" s="552"/>
    </row>
    <row r="24" spans="1:33">
      <c r="A24" s="2" t="s">
        <v>194</v>
      </c>
      <c r="B24" s="1" t="s">
        <v>219</v>
      </c>
      <c r="C24" s="133">
        <f>Q280</f>
        <v>38030318.100000001</v>
      </c>
      <c r="D24" s="133">
        <f>R280</f>
        <v>-16175165.074549995</v>
      </c>
      <c r="E24" s="133"/>
      <c r="F24" s="64">
        <f t="shared" si="6"/>
        <v>21855153.025450006</v>
      </c>
      <c r="N24">
        <v>30200</v>
      </c>
      <c r="O24" s="511" t="s">
        <v>1269</v>
      </c>
      <c r="P24" s="511" t="s">
        <v>1268</v>
      </c>
      <c r="Q24" s="572"/>
      <c r="R24" s="552"/>
      <c r="S24" s="552"/>
      <c r="T24" s="511"/>
      <c r="W24" s="554">
        <v>37800</v>
      </c>
      <c r="X24" s="440" t="s">
        <v>1395</v>
      </c>
      <c r="Y24" s="552">
        <v>22026123.749599997</v>
      </c>
      <c r="Z24" s="552">
        <v>-5803810.6474795975</v>
      </c>
      <c r="AA24" s="552">
        <v>16222313.102120399</v>
      </c>
      <c r="AB24" s="552"/>
      <c r="AC24" s="552"/>
      <c r="AE24" s="552"/>
      <c r="AF24" s="552"/>
      <c r="AG24" s="552"/>
    </row>
    <row r="25" spans="1:33">
      <c r="A25" s="2" t="s">
        <v>195</v>
      </c>
      <c r="B25" s="1" t="s">
        <v>220</v>
      </c>
      <c r="C25" s="133">
        <f>Q297</f>
        <v>15049729.880000001</v>
      </c>
      <c r="D25" s="133">
        <f>R297</f>
        <v>-7327452.85844668</v>
      </c>
      <c r="E25" s="133"/>
      <c r="F25" s="64">
        <f t="shared" si="6"/>
        <v>7722277.0215533208</v>
      </c>
      <c r="N25">
        <v>30200</v>
      </c>
      <c r="O25" s="511" t="s">
        <v>1270</v>
      </c>
      <c r="P25" s="511" t="s">
        <v>1268</v>
      </c>
      <c r="Q25" s="572"/>
      <c r="R25" s="552"/>
      <c r="S25" s="552"/>
      <c r="T25" s="512"/>
      <c r="W25" s="554">
        <v>37900</v>
      </c>
      <c r="X25" s="440" t="s">
        <v>1414</v>
      </c>
      <c r="Y25" s="552">
        <v>115479835.21479999</v>
      </c>
      <c r="Z25" s="552">
        <v>-19180463.104328617</v>
      </c>
      <c r="AA25" s="552">
        <v>96299372.110471368</v>
      </c>
      <c r="AB25" s="552"/>
      <c r="AC25" s="552"/>
      <c r="AE25" s="552"/>
      <c r="AF25" s="552"/>
      <c r="AG25" s="552"/>
    </row>
    <row r="26" spans="1:33">
      <c r="A26" s="2">
        <v>336</v>
      </c>
      <c r="B26" s="1" t="s">
        <v>1789</v>
      </c>
      <c r="C26" s="133">
        <f>Q52</f>
        <v>44817767.480000004</v>
      </c>
      <c r="D26" s="133">
        <f>R52</f>
        <v>-1678905.2429916665</v>
      </c>
      <c r="E26" s="133">
        <f>S52</f>
        <v>43138862.237008341</v>
      </c>
      <c r="F26" s="64">
        <f>S52</f>
        <v>43138862.237008341</v>
      </c>
      <c r="N26" s="440">
        <v>30200</v>
      </c>
      <c r="O26" s="512" t="s">
        <v>1271</v>
      </c>
      <c r="P26" s="512" t="s">
        <v>1268</v>
      </c>
      <c r="Q26" s="572"/>
      <c r="R26" s="552"/>
      <c r="S26" s="552"/>
      <c r="W26" s="554">
        <v>38000</v>
      </c>
      <c r="X26" s="440" t="s">
        <v>1432</v>
      </c>
      <c r="Y26" s="552">
        <v>67384525.660000011</v>
      </c>
      <c r="Z26" s="552">
        <v>-42502547.527466744</v>
      </c>
      <c r="AA26" s="552">
        <v>24881978.132533267</v>
      </c>
      <c r="AB26" s="552"/>
      <c r="AC26" s="552"/>
      <c r="AE26" s="552"/>
      <c r="AF26" s="552"/>
      <c r="AG26" s="552"/>
    </row>
    <row r="27" spans="1:33">
      <c r="A27" s="2">
        <v>386</v>
      </c>
      <c r="B27" s="1" t="s">
        <v>1790</v>
      </c>
      <c r="C27" s="133">
        <f>Q301</f>
        <v>0</v>
      </c>
      <c r="D27" s="133">
        <f>R301</f>
        <v>0</v>
      </c>
      <c r="E27" s="133"/>
      <c r="F27" s="64">
        <f>C27+D27</f>
        <v>0</v>
      </c>
      <c r="N27" s="1">
        <v>30200</v>
      </c>
      <c r="O27" s="1" t="s">
        <v>1272</v>
      </c>
      <c r="P27" s="1" t="s">
        <v>1268</v>
      </c>
      <c r="Q27" s="572"/>
      <c r="R27" s="552"/>
      <c r="S27" s="552"/>
      <c r="T27" s="511"/>
      <c r="W27" s="554">
        <v>38002</v>
      </c>
      <c r="X27" s="440" t="s">
        <v>1447</v>
      </c>
      <c r="Y27" s="552">
        <v>593267332.48879874</v>
      </c>
      <c r="Z27" s="552">
        <v>-211925517.79669181</v>
      </c>
      <c r="AA27" s="552">
        <v>381341814.69210696</v>
      </c>
      <c r="AB27" s="564"/>
      <c r="AC27" s="552"/>
      <c r="AE27" s="552"/>
      <c r="AF27" s="552"/>
      <c r="AG27" s="552"/>
    </row>
    <row r="28" spans="1:33">
      <c r="A28" s="2" t="s">
        <v>196</v>
      </c>
      <c r="B28" s="1" t="s">
        <v>221</v>
      </c>
      <c r="C28" s="133">
        <f>Q318</f>
        <v>13224333.469999997</v>
      </c>
      <c r="D28" s="133">
        <f>R318</f>
        <v>-5826916.8814499956</v>
      </c>
      <c r="E28" s="133"/>
      <c r="F28" s="64">
        <f t="shared" si="6"/>
        <v>7397416.5885500014</v>
      </c>
      <c r="N28">
        <v>30200</v>
      </c>
      <c r="O28" s="511" t="s">
        <v>1273</v>
      </c>
      <c r="P28" s="511" t="s">
        <v>1268</v>
      </c>
      <c r="Q28" s="572"/>
      <c r="R28" s="552"/>
      <c r="S28" s="552"/>
      <c r="T28" s="511"/>
      <c r="W28" s="554">
        <v>38100</v>
      </c>
      <c r="X28" s="440" t="s">
        <v>1462</v>
      </c>
      <c r="Y28" s="552">
        <v>99373636.144800037</v>
      </c>
      <c r="Z28" s="552">
        <v>-41918299.232456945</v>
      </c>
      <c r="AA28" s="552">
        <v>57455336.912343092</v>
      </c>
      <c r="AB28" s="552"/>
      <c r="AC28" s="575"/>
      <c r="AE28" s="552"/>
      <c r="AF28" s="552"/>
      <c r="AG28" s="552"/>
    </row>
    <row r="29" spans="1:33">
      <c r="A29" s="2"/>
      <c r="C29" s="371">
        <f>SUM(C20:C28)</f>
        <v>995738317.35497618</v>
      </c>
      <c r="D29" s="371">
        <f>SUM(D20:D28)</f>
        <v>-374760847.16400152</v>
      </c>
      <c r="E29" s="371">
        <f>SUM(E20:E28)</f>
        <v>43138862.237008341</v>
      </c>
      <c r="F29" s="371">
        <f>SUM(F20:F28)</f>
        <v>620977470.19097447</v>
      </c>
      <c r="N29" s="441">
        <v>30200</v>
      </c>
      <c r="O29" s="512" t="s">
        <v>1274</v>
      </c>
      <c r="P29" s="512" t="s">
        <v>1268</v>
      </c>
      <c r="Q29" s="552">
        <f>Y12</f>
        <v>0</v>
      </c>
      <c r="R29" s="552">
        <f t="shared" ref="R29:S29" si="8">Z12</f>
        <v>-1.9258550310041755E-10</v>
      </c>
      <c r="S29" s="552">
        <f t="shared" si="8"/>
        <v>-1.9258550310041755E-10</v>
      </c>
      <c r="T29" s="511"/>
      <c r="W29" s="554">
        <v>38200</v>
      </c>
      <c r="X29" s="440" t="s">
        <v>1467</v>
      </c>
      <c r="Y29" s="552">
        <v>103939507.0885774</v>
      </c>
      <c r="Z29" s="552">
        <v>-38027889.649522685</v>
      </c>
      <c r="AA29" s="552">
        <v>65911617.43905472</v>
      </c>
      <c r="AB29" s="552"/>
      <c r="AC29" s="552"/>
      <c r="AE29" s="552"/>
      <c r="AF29" s="552"/>
      <c r="AG29" s="552"/>
    </row>
    <row r="30" spans="1:33">
      <c r="A30" s="2" t="s">
        <v>198</v>
      </c>
      <c r="B30" s="1" t="s">
        <v>222</v>
      </c>
      <c r="C30" s="133">
        <f>Q385</f>
        <v>10026384.57</v>
      </c>
      <c r="D30" s="133">
        <f>R385</f>
        <v>-5609699.0405533724</v>
      </c>
      <c r="E30" s="133"/>
      <c r="F30" s="64">
        <f t="shared" ref="F30:F36" si="9">C30+D30</f>
        <v>4416685.5294466279</v>
      </c>
      <c r="N30" s="441"/>
      <c r="O30" s="512"/>
      <c r="P30" s="512"/>
      <c r="Q30" s="575"/>
      <c r="R30" s="575"/>
      <c r="S30" s="575"/>
      <c r="T30" s="511"/>
      <c r="W30" s="554">
        <v>38300</v>
      </c>
      <c r="X30" s="440" t="s">
        <v>1482</v>
      </c>
      <c r="Y30" s="552">
        <v>20651167.042800009</v>
      </c>
      <c r="Z30" s="552">
        <v>-9378152.9004250634</v>
      </c>
      <c r="AA30" s="552">
        <v>11273014.142374946</v>
      </c>
      <c r="AB30" s="552"/>
      <c r="AC30" s="552"/>
      <c r="AE30" s="552"/>
      <c r="AF30" s="552"/>
      <c r="AG30" s="552"/>
    </row>
    <row r="31" spans="1:33">
      <c r="A31" s="517" t="s">
        <v>200</v>
      </c>
      <c r="B31" s="198" t="s">
        <v>223</v>
      </c>
      <c r="C31" s="518">
        <f>Q458</f>
        <v>1283.3900000000001</v>
      </c>
      <c r="D31" s="518">
        <f>R458</f>
        <v>-591.86611000006724</v>
      </c>
      <c r="E31" s="518"/>
      <c r="F31" s="519">
        <f t="shared" si="9"/>
        <v>691.52388999993286</v>
      </c>
      <c r="N31">
        <v>30300</v>
      </c>
      <c r="O31" s="511" t="s">
        <v>1275</v>
      </c>
      <c r="P31" s="511" t="s">
        <v>1276</v>
      </c>
      <c r="Q31" s="572"/>
      <c r="R31" s="552"/>
      <c r="S31" s="552"/>
      <c r="T31" s="511"/>
      <c r="W31" s="554">
        <v>38400</v>
      </c>
      <c r="X31" s="440" t="s">
        <v>1498</v>
      </c>
      <c r="Y31" s="552">
        <v>38030318.100000001</v>
      </c>
      <c r="Z31" s="552">
        <v>-16175165.074549995</v>
      </c>
      <c r="AA31" s="552">
        <v>21855153.025450006</v>
      </c>
      <c r="AB31" s="552"/>
      <c r="AC31" s="552"/>
      <c r="AE31" s="552"/>
      <c r="AF31" s="552"/>
      <c r="AG31" s="552"/>
    </row>
    <row r="32" spans="1:33">
      <c r="A32" s="2" t="s">
        <v>201</v>
      </c>
      <c r="B32" s="1" t="s">
        <v>224</v>
      </c>
      <c r="C32" s="133">
        <f>Q481+Q8</f>
        <v>11829298.104</v>
      </c>
      <c r="D32" s="133">
        <f>R481+R8</f>
        <v>-5222156.1035410687</v>
      </c>
      <c r="E32" s="133"/>
      <c r="F32" s="64">
        <f t="shared" si="9"/>
        <v>6607142.0004589316</v>
      </c>
      <c r="N32">
        <v>30300</v>
      </c>
      <c r="O32" s="511" t="s">
        <v>1277</v>
      </c>
      <c r="P32" s="511" t="s">
        <v>1276</v>
      </c>
      <c r="Q32" s="572"/>
      <c r="R32" s="552"/>
      <c r="S32" s="552"/>
      <c r="T32" s="511"/>
      <c r="W32" s="554">
        <v>38500</v>
      </c>
      <c r="X32" s="440" t="s">
        <v>1513</v>
      </c>
      <c r="Y32" s="552">
        <v>15049729.880000001</v>
      </c>
      <c r="Z32" s="552">
        <v>-7327452.85844668</v>
      </c>
      <c r="AA32" s="552">
        <v>7722277.0215533208</v>
      </c>
      <c r="AB32" s="552"/>
      <c r="AC32" s="552"/>
      <c r="AE32" s="552"/>
      <c r="AF32" s="552"/>
      <c r="AG32" s="552"/>
    </row>
    <row r="33" spans="1:33">
      <c r="A33" s="2" t="s">
        <v>202</v>
      </c>
      <c r="B33" s="1" t="s">
        <v>225</v>
      </c>
      <c r="C33" s="133">
        <f>Q487</f>
        <v>0</v>
      </c>
      <c r="D33" s="133">
        <f>R487</f>
        <v>-1.4915713109076023E-10</v>
      </c>
      <c r="E33" s="133"/>
      <c r="F33" s="64">
        <f t="shared" si="9"/>
        <v>-1.4915713109076023E-10</v>
      </c>
      <c r="N33">
        <v>30301</v>
      </c>
      <c r="O33" s="511" t="s">
        <v>1278</v>
      </c>
      <c r="P33" s="511" t="s">
        <v>1279</v>
      </c>
      <c r="Q33" s="572"/>
      <c r="R33" s="552"/>
      <c r="S33" s="552"/>
      <c r="T33" s="511"/>
      <c r="W33" s="554">
        <v>38602</v>
      </c>
      <c r="X33" s="440" t="s">
        <v>1830</v>
      </c>
      <c r="Y33" s="552">
        <v>0</v>
      </c>
      <c r="Z33" s="552">
        <v>0</v>
      </c>
      <c r="AA33" s="552">
        <v>0</v>
      </c>
      <c r="AB33" s="552"/>
      <c r="AC33" s="552"/>
      <c r="AE33" s="552"/>
      <c r="AF33" s="552"/>
      <c r="AG33" s="552"/>
    </row>
    <row r="34" spans="1:33">
      <c r="A34" s="2" t="s">
        <v>203</v>
      </c>
      <c r="B34" s="1" t="s">
        <v>226</v>
      </c>
      <c r="C34" s="133">
        <f>Q504</f>
        <v>3662717.0561728841</v>
      </c>
      <c r="D34" s="133">
        <f>R504</f>
        <v>-2114583.3890928603</v>
      </c>
      <c r="E34" s="133"/>
      <c r="F34" s="64">
        <f t="shared" si="9"/>
        <v>1548133.6670800238</v>
      </c>
      <c r="N34">
        <v>30301</v>
      </c>
      <c r="O34" s="511" t="s">
        <v>1280</v>
      </c>
      <c r="P34" s="511" t="s">
        <v>1279</v>
      </c>
      <c r="Q34" s="572"/>
      <c r="R34" s="552"/>
      <c r="S34" s="552"/>
      <c r="T34" s="511"/>
      <c r="W34" s="554">
        <v>38608</v>
      </c>
      <c r="X34" s="440" t="s">
        <v>1831</v>
      </c>
      <c r="Y34" s="552">
        <v>0</v>
      </c>
      <c r="Z34" s="552">
        <v>0</v>
      </c>
      <c r="AA34" s="552">
        <v>0</v>
      </c>
      <c r="AB34" s="552"/>
      <c r="AC34" s="552"/>
      <c r="AE34" s="552"/>
      <c r="AF34" s="552"/>
      <c r="AG34" s="552"/>
    </row>
    <row r="35" spans="1:33">
      <c r="A35" s="2" t="s">
        <v>204</v>
      </c>
      <c r="B35" s="1" t="s">
        <v>227</v>
      </c>
      <c r="C35" s="133">
        <f>Q522</f>
        <v>3003096.8188</v>
      </c>
      <c r="D35" s="133">
        <f>R522</f>
        <v>-2936891.793482536</v>
      </c>
      <c r="E35" s="133"/>
      <c r="F35" s="64">
        <f t="shared" si="9"/>
        <v>66205.025317464024</v>
      </c>
      <c r="N35">
        <v>30301</v>
      </c>
      <c r="O35" s="511" t="s">
        <v>1281</v>
      </c>
      <c r="P35" s="511" t="s">
        <v>1279</v>
      </c>
      <c r="Q35" s="572"/>
      <c r="R35" s="552"/>
      <c r="S35" s="552"/>
      <c r="T35" s="511"/>
      <c r="W35" s="554">
        <v>38700</v>
      </c>
      <c r="X35" s="440" t="s">
        <v>1532</v>
      </c>
      <c r="Y35" s="552">
        <v>13224333.469999997</v>
      </c>
      <c r="Z35" s="552">
        <v>-5826916.8814499956</v>
      </c>
      <c r="AA35" s="552">
        <v>7397416.5885500014</v>
      </c>
      <c r="AB35" s="552"/>
      <c r="AC35" s="552"/>
      <c r="AE35" s="552"/>
      <c r="AF35" s="552"/>
      <c r="AG35" s="552"/>
    </row>
    <row r="36" spans="1:33">
      <c r="A36" s="2" t="s">
        <v>205</v>
      </c>
      <c r="B36" s="1" t="s">
        <v>228</v>
      </c>
      <c r="C36" s="133">
        <f>Q539</f>
        <v>927968.71027577948</v>
      </c>
      <c r="D36" s="133">
        <f>R539</f>
        <v>-208348.36986277482</v>
      </c>
      <c r="E36" s="133"/>
      <c r="F36" s="64">
        <f t="shared" si="9"/>
        <v>719620.34041300463</v>
      </c>
      <c r="G36" s="10"/>
      <c r="N36" s="440">
        <v>30301</v>
      </c>
      <c r="O36" s="512" t="s">
        <v>1282</v>
      </c>
      <c r="P36" s="512" t="s">
        <v>1279</v>
      </c>
      <c r="Q36" s="572"/>
      <c r="R36" s="552"/>
      <c r="S36" s="552"/>
      <c r="T36" s="511"/>
      <c r="W36" s="554">
        <v>39000</v>
      </c>
      <c r="X36" s="440" t="s">
        <v>1548</v>
      </c>
      <c r="Y36" s="552">
        <v>304184.34000000003</v>
      </c>
      <c r="Z36" s="552">
        <v>1140.9784800000939</v>
      </c>
      <c r="AA36" s="552">
        <v>305325.31848000013</v>
      </c>
      <c r="AB36" s="564"/>
      <c r="AC36" s="552"/>
      <c r="AE36" s="552"/>
      <c r="AF36" s="552"/>
      <c r="AG36" s="552"/>
    </row>
    <row r="37" spans="1:33">
      <c r="A37" s="2"/>
      <c r="C37" s="371">
        <f>SUM(C30:C36)</f>
        <v>29450748.649248667</v>
      </c>
      <c r="D37" s="371">
        <f>SUM(D30:D36)</f>
        <v>-16092270.562642613</v>
      </c>
      <c r="E37" s="371">
        <f t="shared" ref="E37" si="10">SUM(E30:E36)</f>
        <v>0</v>
      </c>
      <c r="F37" s="371">
        <f>SUM(F30:F36)</f>
        <v>13358478.086606052</v>
      </c>
      <c r="G37" s="10"/>
      <c r="N37" s="1">
        <v>30301</v>
      </c>
      <c r="O37" s="1" t="s">
        <v>1283</v>
      </c>
      <c r="P37" s="1" t="s">
        <v>1279</v>
      </c>
      <c r="Q37" s="572"/>
      <c r="R37" s="552"/>
      <c r="S37" s="552"/>
      <c r="T37" s="511"/>
      <c r="W37" s="554">
        <v>39002</v>
      </c>
      <c r="X37" s="440" t="s">
        <v>1555</v>
      </c>
      <c r="Y37" s="552">
        <v>134159.97</v>
      </c>
      <c r="Z37" s="552">
        <v>-36652.619160000017</v>
      </c>
      <c r="AA37" s="552">
        <v>97507.350839999985</v>
      </c>
      <c r="AB37" s="552"/>
      <c r="AC37" s="552"/>
      <c r="AE37" s="552"/>
      <c r="AF37" s="552"/>
      <c r="AG37" s="552"/>
    </row>
    <row r="38" spans="1:33">
      <c r="A38" s="2">
        <v>18679</v>
      </c>
      <c r="B38" s="137"/>
      <c r="C38" s="133">
        <v>0</v>
      </c>
      <c r="D38" s="133">
        <v>0</v>
      </c>
      <c r="E38" s="133">
        <v>0</v>
      </c>
      <c r="F38" s="64">
        <f t="shared" ref="F38" si="11">C38-D38</f>
        <v>0</v>
      </c>
      <c r="G38" s="10"/>
      <c r="H38" s="437"/>
      <c r="N38">
        <v>30301</v>
      </c>
      <c r="O38" s="511" t="s">
        <v>1284</v>
      </c>
      <c r="P38" s="511" t="s">
        <v>1279</v>
      </c>
      <c r="Q38" s="572"/>
      <c r="R38" s="552"/>
      <c r="S38" s="552"/>
      <c r="T38" s="511"/>
      <c r="W38" s="554">
        <v>39100</v>
      </c>
      <c r="X38" s="440" t="s">
        <v>1562</v>
      </c>
      <c r="Y38" s="552">
        <v>1910249.4000000001</v>
      </c>
      <c r="Z38" s="552">
        <v>-1104277.6937000018</v>
      </c>
      <c r="AA38" s="552">
        <v>805971.70629999833</v>
      </c>
      <c r="AB38" s="552"/>
      <c r="AC38" s="552"/>
      <c r="AE38" s="552"/>
      <c r="AF38" s="552"/>
      <c r="AG38" s="552"/>
    </row>
    <row r="39" spans="1:33">
      <c r="B39" s="1" t="s">
        <v>229</v>
      </c>
      <c r="C39" s="135">
        <f>C37+C29+C19</f>
        <v>2993540444.6351895</v>
      </c>
      <c r="D39" s="135">
        <f>D37+D29+D19</f>
        <v>-851320369.91219902</v>
      </c>
      <c r="E39" s="135">
        <f>E37+E29+E19</f>
        <v>43138862.237008341</v>
      </c>
      <c r="F39" s="135">
        <f>F37+F29+F19</f>
        <v>2142220074.7229908</v>
      </c>
      <c r="G39" s="10"/>
      <c r="N39">
        <v>30301</v>
      </c>
      <c r="O39" s="511" t="s">
        <v>1285</v>
      </c>
      <c r="P39" s="511" t="s">
        <v>1279</v>
      </c>
      <c r="Q39" s="572"/>
      <c r="R39" s="552"/>
      <c r="S39" s="552"/>
      <c r="T39" s="511"/>
      <c r="W39" s="554">
        <v>39101</v>
      </c>
      <c r="X39" s="440" t="s">
        <v>1579</v>
      </c>
      <c r="Y39" s="552">
        <v>6619880.8499999996</v>
      </c>
      <c r="Z39" s="552">
        <v>-3542381.2141733719</v>
      </c>
      <c r="AA39" s="552">
        <v>3077499.6358266277</v>
      </c>
      <c r="AB39" s="552"/>
      <c r="AC39" s="552"/>
      <c r="AE39" s="552"/>
      <c r="AF39" s="552"/>
      <c r="AG39" s="552"/>
    </row>
    <row r="40" spans="1:33" ht="13.5" thickBot="1">
      <c r="B40" s="1" t="s">
        <v>230</v>
      </c>
      <c r="C40" s="136">
        <f>C39+C12</f>
        <v>3198534883.5719256</v>
      </c>
      <c r="D40" s="136">
        <f>D39+D12</f>
        <v>-909534613.55991435</v>
      </c>
      <c r="E40" s="133"/>
      <c r="F40" s="136">
        <f>F39+F12</f>
        <v>2289000270.0120115</v>
      </c>
      <c r="G40" s="10"/>
      <c r="N40">
        <v>30301</v>
      </c>
      <c r="O40" s="511" t="s">
        <v>1286</v>
      </c>
      <c r="P40" s="511" t="s">
        <v>1279</v>
      </c>
      <c r="Q40" s="572"/>
      <c r="R40" s="552"/>
      <c r="S40" s="552"/>
      <c r="T40" s="511"/>
      <c r="W40" s="554">
        <v>39102</v>
      </c>
      <c r="X40" s="440" t="s">
        <v>1596</v>
      </c>
      <c r="Y40" s="552">
        <v>1496254.3199999998</v>
      </c>
      <c r="Z40" s="552">
        <v>-963040.13267999934</v>
      </c>
      <c r="AA40" s="552">
        <v>533214.18732000049</v>
      </c>
      <c r="AB40" s="552"/>
      <c r="AC40" s="552"/>
      <c r="AE40" s="552"/>
      <c r="AF40" s="552"/>
      <c r="AG40" s="552"/>
    </row>
    <row r="41" spans="1:33" ht="13.5" thickTop="1">
      <c r="C41" s="10"/>
      <c r="D41" s="10"/>
      <c r="E41" s="10"/>
      <c r="F41" s="10"/>
      <c r="G41" s="10"/>
      <c r="N41">
        <v>30301</v>
      </c>
      <c r="O41" s="511" t="s">
        <v>1287</v>
      </c>
      <c r="P41" s="511" t="s">
        <v>1279</v>
      </c>
      <c r="Q41" s="572"/>
      <c r="R41" s="552"/>
      <c r="S41" s="552"/>
      <c r="T41" s="511"/>
      <c r="W41" s="554">
        <v>39103</v>
      </c>
      <c r="X41" s="440" t="s">
        <v>1613</v>
      </c>
      <c r="Y41" s="552">
        <v>0</v>
      </c>
      <c r="Z41" s="552">
        <v>0</v>
      </c>
      <c r="AA41" s="552">
        <v>0</v>
      </c>
      <c r="AB41" s="552"/>
      <c r="AC41" s="552"/>
      <c r="AE41" s="552"/>
      <c r="AF41" s="552"/>
      <c r="AG41" s="552"/>
    </row>
    <row r="42" spans="1:33">
      <c r="C42" s="272"/>
      <c r="D42" s="10"/>
      <c r="E42" s="10"/>
      <c r="F42" s="10"/>
      <c r="G42" s="10"/>
      <c r="N42">
        <v>30301</v>
      </c>
      <c r="O42" s="511" t="s">
        <v>1288</v>
      </c>
      <c r="P42" s="511" t="s">
        <v>1279</v>
      </c>
      <c r="Q42" s="572"/>
      <c r="R42" s="552"/>
      <c r="S42" s="552"/>
      <c r="T42" s="511"/>
      <c r="W42" s="554">
        <v>39201</v>
      </c>
      <c r="X42" s="440" t="s">
        <v>1616</v>
      </c>
      <c r="Y42" s="552">
        <v>16730110.564703314</v>
      </c>
      <c r="Z42" s="552">
        <v>-6417942.7503657043</v>
      </c>
      <c r="AA42" s="552">
        <v>10312167.814337609</v>
      </c>
      <c r="AB42" s="552"/>
      <c r="AC42" s="552"/>
      <c r="AE42" s="552"/>
      <c r="AF42" s="552"/>
      <c r="AG42" s="552"/>
    </row>
    <row r="43" spans="1:33">
      <c r="C43" s="67"/>
      <c r="D43" s="10"/>
      <c r="E43" s="10"/>
      <c r="F43" s="10"/>
      <c r="G43" s="10"/>
      <c r="N43">
        <v>30301</v>
      </c>
      <c r="O43" s="511" t="s">
        <v>1289</v>
      </c>
      <c r="P43" s="511" t="s">
        <v>1279</v>
      </c>
      <c r="Q43" s="572"/>
      <c r="R43" s="552"/>
      <c r="S43" s="552"/>
      <c r="T43" s="512"/>
      <c r="W43" s="554">
        <v>39202</v>
      </c>
      <c r="X43" s="440" t="s">
        <v>1632</v>
      </c>
      <c r="Y43" s="552">
        <v>17629118.130000003</v>
      </c>
      <c r="Z43" s="552">
        <v>-8598722.3511599973</v>
      </c>
      <c r="AA43" s="552">
        <v>9030395.7788400054</v>
      </c>
      <c r="AB43" s="552"/>
      <c r="AC43" s="552"/>
      <c r="AE43" s="552"/>
      <c r="AF43" s="552"/>
      <c r="AG43" s="552"/>
    </row>
    <row r="44" spans="1:33">
      <c r="B44" s="1" t="s">
        <v>1799</v>
      </c>
      <c r="C44" s="565">
        <f>Q12+Q14</f>
        <v>6971448.79</v>
      </c>
      <c r="D44" s="10">
        <f t="shared" ref="D44:E44" si="12">R14</f>
        <v>-5028152.9800000144</v>
      </c>
      <c r="E44" s="10">
        <f t="shared" si="12"/>
        <v>3744.2599999858066</v>
      </c>
      <c r="F44" s="10">
        <f>S12+S14</f>
        <v>1943295.8099999859</v>
      </c>
      <c r="G44" s="10"/>
      <c r="N44">
        <v>30301</v>
      </c>
      <c r="O44" s="511" t="s">
        <v>1772</v>
      </c>
      <c r="P44" s="511" t="s">
        <v>1279</v>
      </c>
      <c r="Q44" s="572"/>
      <c r="R44" s="552"/>
      <c r="S44" s="552"/>
      <c r="W44" s="554">
        <v>39203</v>
      </c>
      <c r="X44" s="440" t="s">
        <v>1648</v>
      </c>
      <c r="Y44" s="552">
        <v>0</v>
      </c>
      <c r="Z44" s="552">
        <v>-3.7252922968633584E-11</v>
      </c>
      <c r="AA44" s="552">
        <v>-3.7252922968633584E-11</v>
      </c>
      <c r="AB44" s="552"/>
      <c r="AC44" s="552"/>
      <c r="AE44" s="552"/>
      <c r="AF44" s="552"/>
      <c r="AG44" s="552"/>
    </row>
    <row r="45" spans="1:33">
      <c r="C45" s="10"/>
      <c r="E45" s="10"/>
      <c r="F45" s="10"/>
      <c r="G45" s="10"/>
      <c r="N45">
        <v>30301</v>
      </c>
      <c r="O45" s="511" t="s">
        <v>1290</v>
      </c>
      <c r="P45" s="511" t="s">
        <v>1279</v>
      </c>
      <c r="Q45" s="572"/>
      <c r="R45" s="552"/>
      <c r="S45" s="552"/>
      <c r="T45" s="511"/>
      <c r="W45" s="554">
        <v>39204</v>
      </c>
      <c r="X45" s="440" t="s">
        <v>1650</v>
      </c>
      <c r="Y45" s="552">
        <v>4573940.3832328022</v>
      </c>
      <c r="Z45" s="552">
        <v>-825693.92764985887</v>
      </c>
      <c r="AA45" s="552">
        <v>3748246.4555829433</v>
      </c>
      <c r="AB45" s="552"/>
      <c r="AC45" s="552"/>
      <c r="AE45" s="552"/>
      <c r="AF45" s="552"/>
      <c r="AG45" s="552"/>
    </row>
    <row r="46" spans="1:33">
      <c r="E46" s="10"/>
      <c r="F46" s="10"/>
      <c r="G46" s="10"/>
      <c r="N46">
        <v>30301</v>
      </c>
      <c r="O46" s="511" t="s">
        <v>1291</v>
      </c>
      <c r="P46" s="511" t="s">
        <v>1279</v>
      </c>
      <c r="Q46" s="572"/>
      <c r="R46" s="552"/>
      <c r="S46" s="552"/>
      <c r="T46" s="511"/>
      <c r="W46" s="554">
        <v>39205</v>
      </c>
      <c r="X46" s="440" t="s">
        <v>1666</v>
      </c>
      <c r="Y46" s="552">
        <v>2731051.64</v>
      </c>
      <c r="Z46" s="552">
        <v>-1441126.2062799984</v>
      </c>
      <c r="AA46" s="552">
        <v>1289925.4337200017</v>
      </c>
      <c r="AB46" s="552"/>
      <c r="AC46" s="575"/>
      <c r="AE46" s="552"/>
      <c r="AF46" s="552"/>
      <c r="AG46" s="552"/>
    </row>
    <row r="47" spans="1:33">
      <c r="C47" s="10">
        <f>Q544</f>
        <v>0</v>
      </c>
      <c r="D47" s="10"/>
      <c r="E47" s="10"/>
      <c r="F47" s="10"/>
      <c r="G47" s="10"/>
      <c r="N47">
        <v>30302</v>
      </c>
      <c r="O47" s="511" t="s">
        <v>1292</v>
      </c>
      <c r="P47" s="511" t="s">
        <v>1293</v>
      </c>
      <c r="Q47" s="572"/>
      <c r="R47" s="552"/>
      <c r="S47" s="552"/>
      <c r="T47" s="511"/>
      <c r="W47" s="554">
        <v>39300</v>
      </c>
      <c r="X47" s="440" t="s">
        <v>1680</v>
      </c>
      <c r="Y47" s="552">
        <v>1283.3900000000001</v>
      </c>
      <c r="Z47" s="552">
        <v>-591.86611000006724</v>
      </c>
      <c r="AA47" s="552">
        <v>691.52388999993286</v>
      </c>
      <c r="AB47" s="552"/>
      <c r="AC47" s="552"/>
      <c r="AE47" s="552"/>
      <c r="AF47" s="552"/>
      <c r="AG47" s="552"/>
    </row>
    <row r="48" spans="1:33">
      <c r="C48" s="10">
        <f>C47-C45</f>
        <v>0</v>
      </c>
      <c r="D48" s="10"/>
      <c r="E48" s="10"/>
      <c r="F48" s="10"/>
      <c r="G48" s="10"/>
      <c r="N48" s="441">
        <v>303</v>
      </c>
      <c r="O48" s="512"/>
      <c r="P48" s="512"/>
      <c r="Q48" s="552">
        <f>Y13+Y14+Y15</f>
        <v>110996255.04000002</v>
      </c>
      <c r="R48" s="552">
        <f t="shared" ref="R48:S48" si="13">Z13+Z14+Z15</f>
        <v>-30995545.602096666</v>
      </c>
      <c r="S48" s="552">
        <f t="shared" si="13"/>
        <v>80000709.437903374</v>
      </c>
      <c r="T48" s="511"/>
      <c r="W48" s="554">
        <v>39400</v>
      </c>
      <c r="X48" s="440" t="s">
        <v>1690</v>
      </c>
      <c r="Y48" s="552">
        <v>8553505.3140000012</v>
      </c>
      <c r="Z48" s="552">
        <v>-4425411.980624401</v>
      </c>
      <c r="AA48" s="552">
        <v>4128093.3333756002</v>
      </c>
      <c r="AB48" s="552"/>
      <c r="AC48" s="552"/>
      <c r="AE48" s="552"/>
      <c r="AF48" s="552"/>
      <c r="AG48" s="552"/>
    </row>
    <row r="49" spans="1:33">
      <c r="C49" s="10"/>
      <c r="D49" s="10"/>
      <c r="E49" s="10"/>
      <c r="F49" s="10"/>
      <c r="G49" s="10"/>
      <c r="N49" s="441"/>
      <c r="O49" s="512"/>
      <c r="P49" s="512"/>
      <c r="Q49" s="552"/>
      <c r="R49" s="552"/>
      <c r="S49" s="552"/>
      <c r="T49" s="511"/>
      <c r="W49" s="554">
        <v>39401</v>
      </c>
      <c r="X49" s="440" t="s">
        <v>1770</v>
      </c>
      <c r="Y49" s="552">
        <v>752027.46</v>
      </c>
      <c r="Z49" s="552">
        <v>94001.391333333275</v>
      </c>
      <c r="AA49" s="552">
        <v>846028.85133333318</v>
      </c>
      <c r="AB49" s="552"/>
      <c r="AC49" s="552"/>
      <c r="AE49" s="552"/>
      <c r="AF49" s="552"/>
      <c r="AG49" s="552"/>
    </row>
    <row r="50" spans="1:33">
      <c r="A50" s="1">
        <v>107</v>
      </c>
      <c r="B50" s="1" t="s">
        <v>1792</v>
      </c>
      <c r="C50" s="197">
        <f>'BalSht-NBV'!C27</f>
        <v>35607098</v>
      </c>
      <c r="D50" s="10"/>
      <c r="E50" s="10"/>
      <c r="F50" s="10"/>
      <c r="G50" s="10"/>
      <c r="N50"/>
      <c r="O50" s="511"/>
      <c r="Q50" s="552"/>
      <c r="R50" s="552"/>
      <c r="S50" s="552"/>
      <c r="T50" s="511"/>
      <c r="W50" s="554">
        <v>39500</v>
      </c>
      <c r="X50" s="440" t="s">
        <v>1708</v>
      </c>
      <c r="Y50" s="552">
        <v>0</v>
      </c>
      <c r="Z50" s="552">
        <v>-1.4915713109076023E-10</v>
      </c>
      <c r="AA50" s="552">
        <v>-1.4915713109076023E-10</v>
      </c>
      <c r="AB50" s="552"/>
      <c r="AC50" s="552"/>
      <c r="AE50" s="552"/>
      <c r="AF50" s="552"/>
      <c r="AG50" s="552"/>
    </row>
    <row r="51" spans="1:33">
      <c r="C51" s="10"/>
      <c r="D51" s="10"/>
      <c r="E51" s="10"/>
      <c r="F51" s="10"/>
      <c r="G51" s="10"/>
      <c r="N51" s="511">
        <v>33600</v>
      </c>
      <c r="O51" s="511" t="s">
        <v>1788</v>
      </c>
      <c r="P51" s="511"/>
      <c r="Q51" s="552"/>
      <c r="R51" s="552"/>
      <c r="S51" s="552"/>
      <c r="T51" s="511"/>
      <c r="W51" s="554">
        <v>39600</v>
      </c>
      <c r="X51" s="440" t="s">
        <v>1713</v>
      </c>
      <c r="Y51" s="552">
        <v>3662717.0561728841</v>
      </c>
      <c r="Z51" s="552">
        <v>-2114583.3890928603</v>
      </c>
      <c r="AA51" s="552">
        <v>1548133.6670800238</v>
      </c>
      <c r="AB51" s="552"/>
      <c r="AC51" s="552"/>
      <c r="AE51" s="552"/>
      <c r="AF51" s="552"/>
      <c r="AG51" s="552"/>
    </row>
    <row r="52" spans="1:33">
      <c r="C52" s="10">
        <f>C40-C44-C47</f>
        <v>3191563434.7819257</v>
      </c>
      <c r="D52" s="10"/>
      <c r="E52" s="10"/>
      <c r="F52" s="10"/>
      <c r="G52" s="10"/>
      <c r="N52" s="752">
        <v>336</v>
      </c>
      <c r="O52" s="753"/>
      <c r="P52" s="753"/>
      <c r="Q52" s="552">
        <v>44817767.480000004</v>
      </c>
      <c r="R52" s="552">
        <v>-1678905.2429916665</v>
      </c>
      <c r="S52" s="552">
        <v>43138862.237008341</v>
      </c>
      <c r="T52" s="511"/>
      <c r="W52" s="554">
        <v>39700</v>
      </c>
      <c r="X52" s="440" t="s">
        <v>1729</v>
      </c>
      <c r="Y52" s="552">
        <v>3003096.8188</v>
      </c>
      <c r="Z52" s="552">
        <v>-2936891.793482536</v>
      </c>
      <c r="AA52" s="552">
        <v>66205.025317464024</v>
      </c>
      <c r="AB52" s="552"/>
      <c r="AC52" s="552"/>
      <c r="AE52" s="552"/>
      <c r="AF52" s="552"/>
      <c r="AG52" s="552"/>
    </row>
    <row r="53" spans="1:33">
      <c r="C53" s="10"/>
      <c r="D53" s="10"/>
      <c r="E53" s="10"/>
      <c r="F53" s="10"/>
      <c r="G53" s="10"/>
      <c r="N53" s="441"/>
      <c r="O53" s="512"/>
      <c r="P53" s="512"/>
      <c r="Q53" s="552"/>
      <c r="R53" s="572"/>
      <c r="S53" s="552"/>
      <c r="T53" s="511"/>
      <c r="W53" s="554">
        <v>39800</v>
      </c>
      <c r="X53" s="440" t="s">
        <v>1746</v>
      </c>
      <c r="Y53" s="552">
        <v>927968.71027577948</v>
      </c>
      <c r="Z53" s="552">
        <v>-208348.36986277482</v>
      </c>
      <c r="AA53" s="552">
        <v>719620.34041300463</v>
      </c>
      <c r="AB53" s="552"/>
      <c r="AC53" s="552"/>
      <c r="AE53" s="552"/>
      <c r="AF53" s="552"/>
      <c r="AG53" s="552"/>
    </row>
    <row r="54" spans="1:33">
      <c r="C54" s="10"/>
      <c r="D54" s="10"/>
      <c r="E54" s="10"/>
      <c r="F54" s="10"/>
      <c r="G54" s="10"/>
      <c r="N54">
        <v>37400</v>
      </c>
      <c r="O54" s="511" t="s">
        <v>1294</v>
      </c>
      <c r="P54" s="511" t="s">
        <v>1295</v>
      </c>
      <c r="Q54" s="572"/>
      <c r="R54" s="552"/>
      <c r="S54" s="552"/>
      <c r="T54" s="511"/>
      <c r="W54" s="554">
        <v>39900</v>
      </c>
      <c r="X54" s="440" t="s">
        <v>1811</v>
      </c>
      <c r="Y54" s="552">
        <v>0</v>
      </c>
      <c r="Z54" s="552">
        <v>0</v>
      </c>
      <c r="AA54" s="552">
        <v>0</v>
      </c>
      <c r="AB54" s="552"/>
      <c r="AC54" s="552"/>
      <c r="AE54" s="552"/>
      <c r="AF54" s="552"/>
      <c r="AG54" s="552"/>
    </row>
    <row r="55" spans="1:33">
      <c r="C55" s="10"/>
      <c r="D55" s="10"/>
      <c r="E55" s="10"/>
      <c r="F55" s="10"/>
      <c r="G55" s="10"/>
      <c r="N55">
        <v>37400</v>
      </c>
      <c r="O55" s="511" t="s">
        <v>1296</v>
      </c>
      <c r="P55" s="511" t="s">
        <v>1295</v>
      </c>
      <c r="Q55" s="572"/>
      <c r="R55" s="552"/>
      <c r="S55" s="552"/>
      <c r="T55" s="511"/>
      <c r="W55" s="549" t="s">
        <v>1847</v>
      </c>
      <c r="X55" s="440" t="s">
        <v>1845</v>
      </c>
      <c r="Y55" s="552">
        <v>0</v>
      </c>
      <c r="Z55" s="552">
        <v>0</v>
      </c>
      <c r="AA55" s="552">
        <v>0</v>
      </c>
      <c r="AB55" s="564"/>
      <c r="AC55" s="552"/>
      <c r="AE55" s="552"/>
      <c r="AF55" s="552"/>
      <c r="AG55" s="552"/>
    </row>
    <row r="56" spans="1:33">
      <c r="C56" s="10"/>
      <c r="D56" s="10"/>
      <c r="E56" s="10"/>
      <c r="F56" s="10"/>
      <c r="G56" s="10"/>
      <c r="N56">
        <v>37400</v>
      </c>
      <c r="O56" s="511" t="s">
        <v>1297</v>
      </c>
      <c r="P56" s="511" t="s">
        <v>1295</v>
      </c>
      <c r="Q56" s="572"/>
      <c r="R56" s="552"/>
      <c r="S56" s="552"/>
      <c r="T56" s="511"/>
      <c r="W56" s="633" t="s">
        <v>1848</v>
      </c>
      <c r="X56" s="634"/>
      <c r="Y56" s="552">
        <v>0</v>
      </c>
      <c r="Z56" s="552">
        <v>19632000</v>
      </c>
      <c r="AA56" s="552">
        <v>19632000</v>
      </c>
      <c r="AB56" s="552"/>
      <c r="AC56" s="552"/>
      <c r="AE56" s="552"/>
      <c r="AF56" s="552"/>
      <c r="AG56" s="552"/>
    </row>
    <row r="57" spans="1:33" ht="13.5" thickBot="1">
      <c r="C57" s="10"/>
      <c r="D57" s="10"/>
      <c r="E57" s="10"/>
      <c r="F57" s="10"/>
      <c r="G57" s="10"/>
      <c r="N57">
        <v>37400</v>
      </c>
      <c r="O57" s="511" t="s">
        <v>1298</v>
      </c>
      <c r="P57" s="511" t="s">
        <v>1295</v>
      </c>
      <c r="Q57" s="572"/>
      <c r="R57" s="552"/>
      <c r="S57" s="552"/>
      <c r="T57" s="511"/>
      <c r="W57" s="635"/>
      <c r="X57" s="635"/>
      <c r="Y57" s="552">
        <v>3205506332.3619251</v>
      </c>
      <c r="Z57" s="552">
        <v>-894930766.53991437</v>
      </c>
      <c r="AA57" s="552">
        <v>2310575565.8220124</v>
      </c>
      <c r="AB57" s="552"/>
      <c r="AC57" s="552"/>
      <c r="AE57" s="552"/>
      <c r="AF57" s="552"/>
      <c r="AG57" s="552"/>
    </row>
    <row r="58" spans="1:33" ht="13.5" thickTop="1">
      <c r="C58" s="10"/>
      <c r="D58" s="10"/>
      <c r="E58" s="10"/>
      <c r="F58" s="10"/>
      <c r="N58">
        <v>37400</v>
      </c>
      <c r="O58" s="511" t="s">
        <v>1299</v>
      </c>
      <c r="P58" s="511" t="s">
        <v>1295</v>
      </c>
      <c r="Q58" s="572"/>
      <c r="R58" s="552"/>
      <c r="S58" s="552"/>
      <c r="T58" s="511"/>
      <c r="W58" s="636"/>
      <c r="X58" s="636"/>
      <c r="Y58" s="552"/>
      <c r="Z58" s="552"/>
      <c r="AA58" s="552"/>
      <c r="AB58" s="552"/>
      <c r="AC58" s="552"/>
      <c r="AE58" s="552"/>
      <c r="AF58" s="552"/>
      <c r="AG58" s="552"/>
    </row>
    <row r="59" spans="1:33">
      <c r="C59" s="10"/>
      <c r="D59" s="10"/>
      <c r="E59" s="10"/>
      <c r="F59" s="10"/>
      <c r="N59">
        <v>37400</v>
      </c>
      <c r="O59" s="511" t="s">
        <v>1300</v>
      </c>
      <c r="P59" s="511" t="s">
        <v>1295</v>
      </c>
      <c r="Q59" s="572"/>
      <c r="R59" s="552"/>
      <c r="S59" s="552"/>
      <c r="T59" s="511"/>
      <c r="W59" s="637">
        <v>3282003.15</v>
      </c>
      <c r="X59" s="638" t="s">
        <v>1812</v>
      </c>
      <c r="Y59" s="552">
        <v>3196011118.2419252</v>
      </c>
      <c r="Z59" s="552">
        <v>-889011868.04566431</v>
      </c>
      <c r="AA59" s="552">
        <v>2306999250.1962624</v>
      </c>
      <c r="AB59" s="552"/>
      <c r="AC59" s="552"/>
      <c r="AE59" s="552"/>
      <c r="AF59" s="552"/>
      <c r="AG59" s="552"/>
    </row>
    <row r="60" spans="1:33">
      <c r="C60" s="10"/>
      <c r="D60" s="10"/>
      <c r="E60" s="10"/>
      <c r="F60" s="10"/>
      <c r="N60">
        <v>37400</v>
      </c>
      <c r="O60" s="511" t="s">
        <v>1301</v>
      </c>
      <c r="P60" s="511" t="s">
        <v>1295</v>
      </c>
      <c r="Q60" s="572"/>
      <c r="R60" s="552"/>
      <c r="S60" s="552"/>
      <c r="T60" s="511"/>
      <c r="W60" s="549">
        <v>12046180.869999999</v>
      </c>
      <c r="X60" s="441">
        <v>104</v>
      </c>
      <c r="Y60" s="552">
        <v>2523765.33</v>
      </c>
      <c r="Z60" s="552">
        <v>-890745.51425000082</v>
      </c>
      <c r="AA60" s="552">
        <v>1633019.8157499991</v>
      </c>
      <c r="AB60" s="552"/>
      <c r="AC60" s="552"/>
      <c r="AE60" s="552"/>
      <c r="AF60" s="552"/>
      <c r="AG60" s="552"/>
    </row>
    <row r="61" spans="1:33">
      <c r="N61" s="440">
        <v>37400</v>
      </c>
      <c r="O61" s="516" t="s">
        <v>1302</v>
      </c>
      <c r="P61" s="516" t="s">
        <v>1295</v>
      </c>
      <c r="Q61" s="572"/>
      <c r="R61" s="552"/>
      <c r="S61" s="552"/>
      <c r="T61" s="511"/>
      <c r="W61" s="637">
        <v>8764177.7200000007</v>
      </c>
      <c r="X61" s="441">
        <v>105</v>
      </c>
      <c r="Y61" s="552">
        <v>1939551.55</v>
      </c>
      <c r="Z61" s="552">
        <v>0</v>
      </c>
      <c r="AA61" s="552">
        <v>1939551.55</v>
      </c>
      <c r="AB61" s="552"/>
      <c r="AC61" s="552"/>
      <c r="AE61" s="552"/>
      <c r="AF61" s="552"/>
      <c r="AG61" s="552"/>
    </row>
    <row r="62" spans="1:33">
      <c r="N62" s="1">
        <v>37400</v>
      </c>
      <c r="O62" s="1" t="s">
        <v>1303</v>
      </c>
      <c r="P62" s="1" t="s">
        <v>1295</v>
      </c>
      <c r="Q62" s="572"/>
      <c r="R62" s="552"/>
      <c r="S62" s="552"/>
      <c r="T62" s="511"/>
      <c r="W62" s="549"/>
      <c r="X62" s="441">
        <v>114</v>
      </c>
      <c r="Y62" s="552">
        <v>5031897.24</v>
      </c>
      <c r="Z62" s="552">
        <v>-5028152.9800000144</v>
      </c>
      <c r="AA62" s="552">
        <v>3744.2599999858066</v>
      </c>
      <c r="AB62" s="552"/>
      <c r="AC62" s="552"/>
      <c r="AE62" s="552"/>
      <c r="AF62" s="552"/>
      <c r="AG62" s="552"/>
    </row>
    <row r="63" spans="1:33">
      <c r="N63">
        <v>37400</v>
      </c>
      <c r="O63" s="511" t="s">
        <v>1304</v>
      </c>
      <c r="P63" s="511" t="s">
        <v>1295</v>
      </c>
      <c r="Q63" s="572"/>
      <c r="R63" s="552"/>
      <c r="S63" s="552"/>
      <c r="T63" s="511"/>
      <c r="W63" s="549"/>
      <c r="X63" s="624"/>
      <c r="Y63" s="552">
        <v>3205506332.3619251</v>
      </c>
      <c r="Z63" s="552">
        <v>-894930766.53991437</v>
      </c>
      <c r="AA63" s="552">
        <v>2310575565.8220124</v>
      </c>
      <c r="AB63" s="552"/>
      <c r="AC63" s="552"/>
      <c r="AE63" s="552"/>
      <c r="AF63" s="552"/>
      <c r="AG63" s="552"/>
    </row>
    <row r="64" spans="1:33">
      <c r="N64">
        <v>37400</v>
      </c>
      <c r="O64" s="511" t="s">
        <v>1305</v>
      </c>
      <c r="P64" s="511" t="s">
        <v>1295</v>
      </c>
      <c r="Q64" s="572"/>
      <c r="R64" s="552"/>
      <c r="S64" s="552"/>
      <c r="T64" s="511"/>
      <c r="W64" s="549"/>
      <c r="X64" s="440"/>
      <c r="Y64" s="552">
        <v>0</v>
      </c>
      <c r="Z64" s="552"/>
      <c r="AA64" s="552"/>
      <c r="AB64" s="552"/>
      <c r="AC64" s="552"/>
      <c r="AE64" s="552"/>
      <c r="AF64" s="552"/>
      <c r="AG64" s="552"/>
    </row>
    <row r="65" spans="14:33">
      <c r="N65">
        <v>37400</v>
      </c>
      <c r="O65" s="511" t="s">
        <v>1306</v>
      </c>
      <c r="P65" s="511" t="s">
        <v>1295</v>
      </c>
      <c r="Q65" s="572"/>
      <c r="R65" s="552"/>
      <c r="S65" s="552"/>
      <c r="T65" s="511"/>
      <c r="W65" s="639"/>
      <c r="X65" s="636"/>
      <c r="Y65" s="552"/>
      <c r="Z65" s="552"/>
      <c r="AA65" s="552"/>
      <c r="AB65" s="552"/>
      <c r="AC65" s="552"/>
      <c r="AE65" s="552"/>
      <c r="AF65" s="552"/>
      <c r="AG65" s="552"/>
    </row>
    <row r="66" spans="14:33">
      <c r="N66">
        <v>37400</v>
      </c>
      <c r="O66" s="511" t="s">
        <v>1307</v>
      </c>
      <c r="P66" s="511" t="s">
        <v>1295</v>
      </c>
      <c r="Q66" s="572"/>
      <c r="R66" s="552"/>
      <c r="S66" s="552"/>
      <c r="T66" s="511"/>
      <c r="W66" s="440"/>
      <c r="X66" s="625" t="s">
        <v>1813</v>
      </c>
      <c r="Y66" s="552">
        <v>4.291534423828125E-6</v>
      </c>
      <c r="Z66" s="552">
        <v>-5.8207660913467407E-7</v>
      </c>
      <c r="AA66" s="552">
        <v>0</v>
      </c>
      <c r="AB66" s="552"/>
      <c r="AC66" s="552"/>
      <c r="AE66" s="552"/>
      <c r="AF66" s="552"/>
      <c r="AG66" s="552"/>
    </row>
    <row r="67" spans="14:33">
      <c r="N67">
        <v>37400</v>
      </c>
      <c r="O67" s="511" t="s">
        <v>1308</v>
      </c>
      <c r="P67" s="511" t="s">
        <v>1295</v>
      </c>
      <c r="Q67" s="572"/>
      <c r="R67" s="552"/>
      <c r="S67" s="552"/>
      <c r="T67" s="511"/>
      <c r="W67" s="639"/>
      <c r="X67" s="636"/>
      <c r="Y67" s="552"/>
      <c r="Z67" s="552"/>
      <c r="AA67" s="552"/>
      <c r="AB67" s="552"/>
      <c r="AC67" s="552"/>
      <c r="AE67" s="552"/>
      <c r="AF67" s="552"/>
      <c r="AG67" s="552"/>
    </row>
    <row r="68" spans="14:33">
      <c r="N68">
        <v>37402</v>
      </c>
      <c r="O68" s="511" t="s">
        <v>1309</v>
      </c>
      <c r="P68" s="511" t="s">
        <v>1310</v>
      </c>
      <c r="Q68" s="572"/>
      <c r="R68" s="552"/>
      <c r="S68" s="552"/>
      <c r="T68" s="511"/>
      <c r="W68" s="549"/>
      <c r="X68" s="440"/>
      <c r="Y68" s="552"/>
      <c r="Z68" s="552"/>
      <c r="AA68" s="552"/>
      <c r="AB68" s="552"/>
      <c r="AC68" s="552"/>
      <c r="AE68" s="552"/>
      <c r="AF68" s="552"/>
      <c r="AG68" s="552"/>
    </row>
    <row r="69" spans="14:33">
      <c r="N69">
        <v>37402</v>
      </c>
      <c r="O69" s="511" t="s">
        <v>1311</v>
      </c>
      <c r="P69" s="511" t="s">
        <v>1310</v>
      </c>
      <c r="Q69" s="572"/>
      <c r="R69" s="552"/>
      <c r="S69" s="552"/>
      <c r="T69" s="511"/>
      <c r="W69" s="549"/>
      <c r="X69" s="440" t="s">
        <v>1814</v>
      </c>
      <c r="Y69" s="552">
        <v>1939551.55</v>
      </c>
      <c r="Z69" s="552">
        <v>0</v>
      </c>
      <c r="AA69" s="552"/>
      <c r="AB69" s="552"/>
      <c r="AC69" s="552"/>
      <c r="AE69" s="552"/>
      <c r="AF69" s="552"/>
      <c r="AG69" s="552"/>
    </row>
    <row r="70" spans="14:33">
      <c r="N70">
        <v>37402</v>
      </c>
      <c r="O70" s="511" t="s">
        <v>1312</v>
      </c>
      <c r="P70" s="511" t="s">
        <v>1310</v>
      </c>
      <c r="Q70" s="572"/>
      <c r="R70" s="552"/>
      <c r="S70" s="552"/>
      <c r="T70" s="511"/>
      <c r="W70" s="549"/>
      <c r="X70" s="440" t="s">
        <v>1815</v>
      </c>
      <c r="Y70" s="552">
        <v>5031897.24</v>
      </c>
      <c r="Z70" s="552">
        <v>-5028152.9800000144</v>
      </c>
      <c r="AA70" s="552"/>
      <c r="AB70" s="552"/>
      <c r="AC70" s="552"/>
      <c r="AE70" s="552"/>
      <c r="AF70" s="552"/>
      <c r="AG70" s="552"/>
    </row>
    <row r="71" spans="14:33">
      <c r="N71">
        <v>37402</v>
      </c>
      <c r="O71" s="511" t="s">
        <v>1313</v>
      </c>
      <c r="P71" s="511" t="s">
        <v>1310</v>
      </c>
      <c r="Q71" s="572"/>
      <c r="R71" s="552"/>
      <c r="S71" s="552"/>
      <c r="T71" s="511"/>
      <c r="W71" s="549"/>
      <c r="X71" s="440" t="s">
        <v>1816</v>
      </c>
      <c r="Y71" s="552">
        <v>12620.1</v>
      </c>
      <c r="Z71" s="552">
        <v>-1.9281287677586079E-10</v>
      </c>
      <c r="AA71" s="552"/>
      <c r="AB71" s="552"/>
      <c r="AC71" s="552"/>
      <c r="AE71" s="552"/>
      <c r="AF71" s="552"/>
      <c r="AG71" s="552"/>
    </row>
    <row r="72" spans="14:33">
      <c r="N72">
        <v>37402</v>
      </c>
      <c r="O72" s="511" t="s">
        <v>1314</v>
      </c>
      <c r="P72" s="511" t="s">
        <v>1310</v>
      </c>
      <c r="Q72" s="572"/>
      <c r="R72" s="552"/>
      <c r="S72" s="552"/>
      <c r="T72" s="512"/>
      <c r="W72" s="549"/>
      <c r="X72" s="440" t="s">
        <v>52</v>
      </c>
      <c r="Y72" s="552">
        <v>110996255.04000002</v>
      </c>
      <c r="Z72" s="552">
        <v>-30995545.602096666</v>
      </c>
      <c r="AA72" s="552"/>
      <c r="AB72" s="552"/>
      <c r="AC72" s="552"/>
      <c r="AE72" s="552"/>
      <c r="AF72" s="552"/>
      <c r="AG72" s="552"/>
    </row>
    <row r="73" spans="14:33">
      <c r="N73">
        <v>37402</v>
      </c>
      <c r="O73" s="511" t="s">
        <v>1315</v>
      </c>
      <c r="P73" s="511" t="s">
        <v>1310</v>
      </c>
      <c r="Q73" s="572"/>
      <c r="R73" s="552"/>
      <c r="S73" s="552"/>
      <c r="W73" s="549"/>
      <c r="X73" s="440" t="s">
        <v>1817</v>
      </c>
      <c r="Y73" s="552">
        <v>3015972694.7547407</v>
      </c>
      <c r="Z73" s="552">
        <v>-845127800.51903951</v>
      </c>
      <c r="AA73" s="552"/>
      <c r="AB73" s="552"/>
      <c r="AC73" s="552"/>
      <c r="AE73" s="552"/>
      <c r="AF73" s="552"/>
      <c r="AG73" s="552"/>
    </row>
    <row r="74" spans="14:33">
      <c r="N74">
        <v>37402</v>
      </c>
      <c r="O74" s="511" t="s">
        <v>1316</v>
      </c>
      <c r="P74" s="511" t="s">
        <v>1310</v>
      </c>
      <c r="Q74" s="572"/>
      <c r="R74" s="552"/>
      <c r="S74" s="552"/>
      <c r="T74" s="511"/>
      <c r="W74" s="549"/>
      <c r="X74" s="440" t="s">
        <v>53</v>
      </c>
      <c r="Y74" s="552">
        <v>41664220.717936121</v>
      </c>
      <c r="Z74" s="552">
        <v>-17283485.235455558</v>
      </c>
      <c r="AA74" s="552"/>
      <c r="AB74" s="552"/>
      <c r="AC74" s="575"/>
      <c r="AE74" s="552"/>
      <c r="AF74" s="552"/>
      <c r="AG74" s="552"/>
    </row>
    <row r="75" spans="14:33">
      <c r="N75">
        <v>37402</v>
      </c>
      <c r="O75" s="511" t="s">
        <v>1317</v>
      </c>
      <c r="P75" s="511" t="s">
        <v>1310</v>
      </c>
      <c r="Q75" s="572"/>
      <c r="R75" s="552"/>
      <c r="S75" s="552"/>
      <c r="T75" s="511"/>
      <c r="W75" s="549"/>
      <c r="X75" s="440" t="s">
        <v>1818</v>
      </c>
      <c r="Y75" s="552">
        <v>29889092.959248662</v>
      </c>
      <c r="Z75" s="552">
        <v>-16127782.203322612</v>
      </c>
      <c r="AA75" s="552"/>
      <c r="AB75" s="552"/>
      <c r="AC75" s="552"/>
      <c r="AE75" s="552"/>
      <c r="AF75" s="552"/>
      <c r="AG75" s="552"/>
    </row>
    <row r="76" spans="14:33">
      <c r="N76">
        <v>37402</v>
      </c>
      <c r="O76" s="511" t="s">
        <v>1318</v>
      </c>
      <c r="P76" s="511" t="s">
        <v>1310</v>
      </c>
      <c r="Q76" s="572"/>
      <c r="R76" s="552"/>
      <c r="S76" s="552"/>
      <c r="T76" s="511"/>
      <c r="W76" s="549"/>
      <c r="X76" s="440"/>
      <c r="Y76" s="552">
        <v>3205506332.3619251</v>
      </c>
      <c r="Z76" s="552">
        <v>19632000</v>
      </c>
      <c r="AA76" s="552"/>
      <c r="AB76" s="552"/>
      <c r="AC76" s="552"/>
      <c r="AE76" s="552"/>
      <c r="AF76" s="552"/>
      <c r="AG76" s="552"/>
    </row>
    <row r="77" spans="14:33">
      <c r="N77">
        <v>37402</v>
      </c>
      <c r="O77" s="511" t="s">
        <v>1319</v>
      </c>
      <c r="P77" s="511" t="s">
        <v>1310</v>
      </c>
      <c r="Q77" s="572"/>
      <c r="R77" s="552"/>
      <c r="S77" s="552"/>
      <c r="T77" s="511"/>
      <c r="W77" s="549"/>
      <c r="X77" s="440"/>
      <c r="Y77" s="552">
        <v>0</v>
      </c>
      <c r="Z77" s="552">
        <v>-894930766.53991437</v>
      </c>
      <c r="AA77" s="552"/>
      <c r="AB77" s="552"/>
      <c r="AC77" s="552"/>
      <c r="AE77" s="552"/>
      <c r="AF77" s="552"/>
      <c r="AG77" s="552"/>
    </row>
    <row r="78" spans="14:33">
      <c r="N78">
        <v>37402</v>
      </c>
      <c r="O78" s="511" t="s">
        <v>1320</v>
      </c>
      <c r="P78" s="511" t="s">
        <v>1310</v>
      </c>
      <c r="Q78" s="572"/>
      <c r="R78" s="552"/>
      <c r="S78" s="552"/>
      <c r="T78" s="511"/>
      <c r="W78" s="549"/>
      <c r="X78" s="440"/>
      <c r="Y78" s="552"/>
      <c r="Z78" s="552">
        <v>0</v>
      </c>
      <c r="AA78" s="552"/>
      <c r="AB78" s="552"/>
      <c r="AC78" s="552"/>
      <c r="AE78" s="552"/>
      <c r="AF78" s="552"/>
      <c r="AG78" s="552"/>
    </row>
    <row r="79" spans="14:33">
      <c r="N79">
        <v>37402</v>
      </c>
      <c r="O79" s="511" t="s">
        <v>1321</v>
      </c>
      <c r="P79" s="511" t="s">
        <v>1310</v>
      </c>
      <c r="Q79" s="572"/>
      <c r="R79" s="552"/>
      <c r="S79" s="552"/>
      <c r="T79" s="511"/>
      <c r="W79" s="549"/>
      <c r="X79" s="440"/>
      <c r="Y79" s="552"/>
      <c r="Z79" s="552"/>
      <c r="AA79" s="552"/>
      <c r="AB79" s="552"/>
      <c r="AC79" s="552"/>
      <c r="AE79" s="552"/>
      <c r="AF79" s="552"/>
      <c r="AG79" s="552"/>
    </row>
    <row r="80" spans="14:33">
      <c r="N80">
        <v>37402</v>
      </c>
      <c r="O80" s="511" t="s">
        <v>1322</v>
      </c>
      <c r="P80" s="511" t="s">
        <v>1310</v>
      </c>
      <c r="Q80" s="572"/>
      <c r="R80" s="552"/>
      <c r="S80" s="552"/>
      <c r="T80" s="511"/>
      <c r="W80" s="440"/>
      <c r="X80" s="640" t="s">
        <v>1849</v>
      </c>
      <c r="Y80" s="552"/>
      <c r="Z80" s="552"/>
      <c r="AA80" s="552"/>
      <c r="AB80" s="552"/>
      <c r="AC80" s="552"/>
      <c r="AE80" s="552"/>
      <c r="AF80" s="552"/>
      <c r="AG80" s="552"/>
    </row>
    <row r="81" spans="14:33">
      <c r="N81" s="441">
        <v>374</v>
      </c>
      <c r="O81" s="512"/>
      <c r="P81" s="512"/>
      <c r="Q81" s="552">
        <f>Y18+Y19</f>
        <v>20391776.989999998</v>
      </c>
      <c r="R81" s="552">
        <f t="shared" ref="R81:S81" si="14">Z18+Z19</f>
        <v>-1034404.7086766624</v>
      </c>
      <c r="S81" s="552">
        <f t="shared" si="14"/>
        <v>19357372.281323336</v>
      </c>
      <c r="T81" s="511"/>
      <c r="W81" s="641" t="s">
        <v>1819</v>
      </c>
      <c r="X81" s="642" t="s">
        <v>1820</v>
      </c>
      <c r="Y81" s="552">
        <v>110180929.97000003</v>
      </c>
      <c r="Z81" s="552"/>
      <c r="AA81" s="552"/>
      <c r="AB81" s="552"/>
      <c r="AC81" s="552"/>
      <c r="AE81" s="552"/>
      <c r="AF81" s="552"/>
      <c r="AG81" s="552"/>
    </row>
    <row r="82" spans="14:33">
      <c r="N82"/>
      <c r="O82" s="511"/>
      <c r="P82" s="511"/>
      <c r="Q82" s="552"/>
      <c r="R82" s="572"/>
      <c r="S82" s="552"/>
      <c r="T82" s="511"/>
      <c r="W82" s="641">
        <v>37400</v>
      </c>
      <c r="X82" s="642" t="s">
        <v>1821</v>
      </c>
      <c r="Y82" s="552">
        <v>16122904.329999998</v>
      </c>
      <c r="Z82" s="552">
        <v>-30142172.028829999</v>
      </c>
      <c r="AA82" s="552"/>
      <c r="AC82" s="552"/>
      <c r="AE82" s="552"/>
      <c r="AF82" s="552"/>
      <c r="AG82" s="552"/>
    </row>
    <row r="83" spans="14:33">
      <c r="N83">
        <v>37500</v>
      </c>
      <c r="O83" s="511" t="s">
        <v>1323</v>
      </c>
      <c r="P83" s="511" t="s">
        <v>1324</v>
      </c>
      <c r="Q83" s="572"/>
      <c r="R83" s="552"/>
      <c r="S83" s="552"/>
      <c r="T83" s="511"/>
      <c r="W83" s="641">
        <v>37500</v>
      </c>
      <c r="X83" s="642" t="s">
        <v>1822</v>
      </c>
      <c r="Y83" s="552">
        <v>31491221.778800014</v>
      </c>
      <c r="Z83" s="552">
        <v>60224.600000000413</v>
      </c>
      <c r="AA83" s="552"/>
      <c r="AB83" s="552"/>
      <c r="AC83" s="552"/>
      <c r="AE83" s="552"/>
      <c r="AF83" s="552"/>
      <c r="AG83" s="552"/>
    </row>
    <row r="84" spans="14:33">
      <c r="N84">
        <v>37500</v>
      </c>
      <c r="O84" s="511" t="s">
        <v>1325</v>
      </c>
      <c r="P84" s="511" t="s">
        <v>1324</v>
      </c>
      <c r="Q84" s="572"/>
      <c r="R84" s="552"/>
      <c r="S84" s="552"/>
      <c r="T84" s="511"/>
      <c r="W84" s="641">
        <v>39000</v>
      </c>
      <c r="X84" s="642" t="s">
        <v>1823</v>
      </c>
      <c r="Y84" s="552">
        <v>438344.31000000006</v>
      </c>
      <c r="Z84" s="552">
        <v>-8865296.4608064573</v>
      </c>
      <c r="AA84" s="552"/>
      <c r="AB84" s="564"/>
      <c r="AC84" s="552"/>
      <c r="AE84" s="552"/>
      <c r="AF84" s="552"/>
      <c r="AG84" s="552"/>
    </row>
    <row r="85" spans="14:33">
      <c r="N85">
        <v>37500</v>
      </c>
      <c r="O85" s="511" t="s">
        <v>1326</v>
      </c>
      <c r="P85" s="511" t="s">
        <v>1324</v>
      </c>
      <c r="Q85" s="572"/>
      <c r="R85" s="552"/>
      <c r="S85" s="552"/>
      <c r="T85" s="511"/>
      <c r="W85" s="641" t="s">
        <v>1824</v>
      </c>
      <c r="X85" s="642" t="s">
        <v>1825</v>
      </c>
      <c r="Y85" s="552">
        <v>10026384.57</v>
      </c>
      <c r="Z85" s="552">
        <v>-35511.640679999924</v>
      </c>
      <c r="AA85" s="552"/>
      <c r="AB85" s="552"/>
      <c r="AC85" s="552"/>
      <c r="AE85" s="552"/>
      <c r="AF85" s="552"/>
      <c r="AG85" s="552"/>
    </row>
    <row r="86" spans="14:33">
      <c r="N86">
        <v>37500</v>
      </c>
      <c r="O86" s="511" t="s">
        <v>1327</v>
      </c>
      <c r="P86" s="511" t="s">
        <v>1324</v>
      </c>
      <c r="Q86" s="572"/>
      <c r="R86" s="552"/>
      <c r="S86" s="552"/>
      <c r="T86" s="511"/>
      <c r="W86" s="642"/>
      <c r="X86" s="642"/>
      <c r="Y86" s="552">
        <v>168259784.95880005</v>
      </c>
      <c r="Z86" s="552">
        <v>-5609699.0405533724</v>
      </c>
      <c r="AA86" s="552"/>
      <c r="AB86" s="552"/>
      <c r="AC86" s="552"/>
      <c r="AE86" s="552"/>
      <c r="AF86" s="552"/>
      <c r="AG86" s="552"/>
    </row>
    <row r="87" spans="14:33">
      <c r="N87">
        <v>37500</v>
      </c>
      <c r="O87" s="511" t="s">
        <v>1328</v>
      </c>
      <c r="P87" s="511" t="s">
        <v>1324</v>
      </c>
      <c r="Q87" s="572"/>
      <c r="R87" s="552"/>
      <c r="S87" s="552"/>
      <c r="T87" s="511"/>
      <c r="W87" s="549"/>
      <c r="X87" s="440"/>
      <c r="Y87" s="552"/>
      <c r="Z87" s="552">
        <v>-44592454.570869833</v>
      </c>
      <c r="AA87" s="552"/>
      <c r="AB87" s="552"/>
      <c r="AC87" s="552"/>
      <c r="AE87" s="552"/>
      <c r="AF87" s="552"/>
      <c r="AG87" s="552"/>
    </row>
    <row r="88" spans="14:33">
      <c r="N88">
        <v>37500</v>
      </c>
      <c r="O88" s="511" t="s">
        <v>1329</v>
      </c>
      <c r="P88" s="511" t="s">
        <v>1324</v>
      </c>
      <c r="Q88" s="572"/>
      <c r="R88" s="552"/>
      <c r="S88" s="552"/>
      <c r="T88" s="511"/>
      <c r="W88" s="549"/>
      <c r="X88" s="440"/>
      <c r="Y88"/>
      <c r="Z88"/>
      <c r="AA88"/>
      <c r="AB88" s="552"/>
      <c r="AC88" s="552"/>
      <c r="AE88" s="552"/>
      <c r="AF88" s="552"/>
      <c r="AG88" s="552"/>
    </row>
    <row r="89" spans="14:33">
      <c r="N89">
        <v>37500</v>
      </c>
      <c r="O89" s="511" t="s">
        <v>1330</v>
      </c>
      <c r="P89" s="511" t="s">
        <v>1324</v>
      </c>
      <c r="Q89" s="572"/>
      <c r="R89" s="552"/>
      <c r="S89" s="552"/>
      <c r="T89" s="511"/>
      <c r="W89" s="549"/>
      <c r="X89" s="440"/>
      <c r="Y89"/>
      <c r="Z89"/>
      <c r="AA89"/>
      <c r="AB89" s="552"/>
      <c r="AC89" s="552"/>
      <c r="AE89" s="552"/>
      <c r="AF89" s="552"/>
      <c r="AG89" s="552"/>
    </row>
    <row r="90" spans="14:33">
      <c r="N90">
        <v>37500</v>
      </c>
      <c r="O90" s="511" t="s">
        <v>1331</v>
      </c>
      <c r="P90" s="511" t="s">
        <v>1324</v>
      </c>
      <c r="Q90" s="572"/>
      <c r="R90" s="552"/>
      <c r="S90" s="552"/>
      <c r="T90" s="511"/>
      <c r="W90" s="549"/>
      <c r="X90" s="440"/>
      <c r="Y90"/>
      <c r="Z90"/>
      <c r="AA90"/>
      <c r="AB90" s="552"/>
      <c r="AC90" s="552"/>
      <c r="AE90" s="552"/>
      <c r="AF90" s="552"/>
      <c r="AG90" s="552"/>
    </row>
    <row r="91" spans="14:33">
      <c r="N91">
        <v>37500</v>
      </c>
      <c r="O91" s="511" t="s">
        <v>1332</v>
      </c>
      <c r="P91" s="511" t="s">
        <v>1324</v>
      </c>
      <c r="Q91" s="572"/>
      <c r="R91" s="552"/>
      <c r="S91" s="552"/>
      <c r="T91" s="512"/>
      <c r="W91" s="549"/>
      <c r="X91" s="440"/>
      <c r="Y91"/>
      <c r="Z91"/>
      <c r="AA91"/>
      <c r="AB91" s="552"/>
      <c r="AC91" s="552"/>
      <c r="AE91" s="552"/>
      <c r="AF91" s="552"/>
      <c r="AG91" s="552"/>
    </row>
    <row r="92" spans="14:33">
      <c r="N92" s="441">
        <v>37500</v>
      </c>
      <c r="O92" s="512" t="s">
        <v>1333</v>
      </c>
      <c r="P92" s="512" t="s">
        <v>1324</v>
      </c>
      <c r="Q92" s="572"/>
      <c r="R92" s="552"/>
      <c r="S92" s="552"/>
      <c r="W92" s="549"/>
      <c r="X92" s="440"/>
      <c r="Y92"/>
      <c r="Z92"/>
      <c r="AA92"/>
      <c r="AB92" s="552"/>
      <c r="AC92" s="575"/>
      <c r="AE92" s="552"/>
      <c r="AF92" s="552"/>
      <c r="AG92" s="552"/>
    </row>
    <row r="93" spans="14:33">
      <c r="N93" s="1">
        <v>37500</v>
      </c>
      <c r="O93" s="1" t="s">
        <v>1334</v>
      </c>
      <c r="P93" s="1" t="s">
        <v>1324</v>
      </c>
      <c r="Q93" s="572"/>
      <c r="R93" s="552"/>
      <c r="S93" s="552"/>
      <c r="T93" s="511"/>
      <c r="W93" s="549"/>
      <c r="X93" s="440"/>
      <c r="Y93"/>
      <c r="Z93"/>
      <c r="AA93"/>
      <c r="AB93" s="552"/>
      <c r="AC93" s="552"/>
      <c r="AE93" s="552"/>
      <c r="AF93" s="552"/>
      <c r="AG93" s="552"/>
    </row>
    <row r="94" spans="14:33">
      <c r="N94">
        <v>37500</v>
      </c>
      <c r="O94" s="511" t="s">
        <v>1335</v>
      </c>
      <c r="P94" s="511" t="s">
        <v>1324</v>
      </c>
      <c r="Q94" s="572"/>
      <c r="R94" s="552"/>
      <c r="S94" s="552"/>
      <c r="T94" s="511"/>
      <c r="W94" s="549"/>
      <c r="X94" s="440"/>
      <c r="Y94"/>
      <c r="Z94"/>
      <c r="AA94"/>
      <c r="AB94" s="552"/>
      <c r="AC94" s="552"/>
      <c r="AE94" s="552"/>
      <c r="AF94" s="552"/>
      <c r="AG94" s="552"/>
    </row>
    <row r="95" spans="14:33">
      <c r="N95">
        <v>37500</v>
      </c>
      <c r="O95" s="511" t="s">
        <v>1336</v>
      </c>
      <c r="P95" s="511" t="s">
        <v>1324</v>
      </c>
      <c r="Q95" s="572"/>
      <c r="R95" s="552"/>
      <c r="S95" s="552"/>
      <c r="T95" s="511"/>
      <c r="W95" s="549"/>
      <c r="X95" s="440"/>
      <c r="Y95"/>
      <c r="Z95"/>
      <c r="AA95"/>
      <c r="AB95" s="552"/>
      <c r="AC95" s="552"/>
      <c r="AE95" s="552"/>
      <c r="AF95" s="552"/>
      <c r="AG95" s="552"/>
    </row>
    <row r="96" spans="14:33">
      <c r="N96">
        <v>37500</v>
      </c>
      <c r="O96" s="511" t="s">
        <v>1337</v>
      </c>
      <c r="P96" s="511" t="s">
        <v>1324</v>
      </c>
      <c r="Q96" s="572"/>
      <c r="R96" s="552"/>
      <c r="S96" s="552"/>
      <c r="T96" s="511"/>
      <c r="W96" s="549"/>
      <c r="X96" s="440"/>
      <c r="Y96"/>
      <c r="Z96"/>
      <c r="AA96"/>
      <c r="AB96" s="552"/>
      <c r="AC96" s="552"/>
      <c r="AE96" s="552"/>
      <c r="AF96" s="552"/>
      <c r="AG96" s="552"/>
    </row>
    <row r="97" spans="14:33">
      <c r="N97">
        <v>37500</v>
      </c>
      <c r="O97" s="511" t="s">
        <v>1338</v>
      </c>
      <c r="P97" s="511" t="s">
        <v>1324</v>
      </c>
      <c r="Q97" s="572"/>
      <c r="R97" s="552"/>
      <c r="S97" s="552"/>
      <c r="T97" s="511"/>
      <c r="W97" s="549"/>
      <c r="X97" s="440"/>
      <c r="Y97"/>
      <c r="Z97"/>
      <c r="AA97"/>
      <c r="AB97" s="552"/>
      <c r="AC97" s="552"/>
      <c r="AE97" s="552"/>
      <c r="AF97" s="552"/>
      <c r="AG97" s="552"/>
    </row>
    <row r="98" spans="14:33">
      <c r="N98">
        <v>37500</v>
      </c>
      <c r="O98" s="511" t="s">
        <v>1339</v>
      </c>
      <c r="P98" s="511" t="s">
        <v>1324</v>
      </c>
      <c r="Q98" s="572"/>
      <c r="R98" s="552"/>
      <c r="S98" s="552"/>
      <c r="T98" s="511"/>
      <c r="W98" s="549"/>
      <c r="X98" s="440"/>
      <c r="Y98"/>
      <c r="Z98"/>
      <c r="AA98"/>
      <c r="AB98" s="552"/>
      <c r="AC98" s="552"/>
      <c r="AE98" s="552"/>
      <c r="AF98" s="552"/>
      <c r="AG98" s="552"/>
    </row>
    <row r="99" spans="14:33">
      <c r="N99">
        <v>37500</v>
      </c>
      <c r="O99" s="511" t="s">
        <v>1340</v>
      </c>
      <c r="P99" s="511" t="s">
        <v>1324</v>
      </c>
      <c r="Q99" s="572"/>
      <c r="R99" s="552"/>
      <c r="S99" s="552"/>
      <c r="T99" s="511"/>
      <c r="W99" s="549"/>
      <c r="X99" s="440"/>
      <c r="Y99"/>
      <c r="Z99"/>
      <c r="AA99"/>
      <c r="AB99" s="552"/>
      <c r="AC99" s="552"/>
      <c r="AE99" s="552"/>
      <c r="AF99" s="552"/>
      <c r="AG99" s="552"/>
    </row>
    <row r="100" spans="14:33">
      <c r="N100" s="441">
        <v>375</v>
      </c>
      <c r="O100" s="512"/>
      <c r="P100" s="512"/>
      <c r="Q100" s="552">
        <v>31491221.778800014</v>
      </c>
      <c r="R100" s="552">
        <v>-8865296.4608064573</v>
      </c>
      <c r="S100" s="552">
        <v>22625925.317993559</v>
      </c>
      <c r="T100" s="511"/>
      <c r="W100" s="549"/>
      <c r="X100" s="440"/>
      <c r="Y100"/>
      <c r="Z100"/>
      <c r="AA100"/>
      <c r="AB100" s="552"/>
      <c r="AC100" s="552"/>
      <c r="AE100" s="552"/>
      <c r="AF100" s="552"/>
      <c r="AG100" s="552"/>
    </row>
    <row r="101" spans="14:33">
      <c r="N101"/>
      <c r="O101" s="511"/>
      <c r="P101" s="511"/>
      <c r="Q101" s="552"/>
      <c r="R101" s="572"/>
      <c r="S101" s="552"/>
      <c r="T101" s="511"/>
      <c r="W101" s="549"/>
      <c r="X101" s="440"/>
      <c r="Y101"/>
      <c r="Z101"/>
      <c r="AA101"/>
      <c r="AB101" s="552"/>
      <c r="AC101" s="552"/>
      <c r="AE101" s="552"/>
      <c r="AF101" s="552"/>
      <c r="AG101" s="552"/>
    </row>
    <row r="102" spans="14:33">
      <c r="N102">
        <v>37600</v>
      </c>
      <c r="O102" s="511" t="s">
        <v>1341</v>
      </c>
      <c r="P102" s="511" t="s">
        <v>1342</v>
      </c>
      <c r="Q102" s="572"/>
      <c r="R102" s="552"/>
      <c r="S102" s="552"/>
      <c r="T102" s="511"/>
      <c r="W102" s="549"/>
      <c r="X102" s="440"/>
      <c r="Y102"/>
      <c r="Z102"/>
      <c r="AA102"/>
      <c r="AB102" s="552"/>
      <c r="AC102" s="552"/>
      <c r="AE102" s="552"/>
      <c r="AF102" s="552"/>
      <c r="AG102" s="552"/>
    </row>
    <row r="103" spans="14:33">
      <c r="N103">
        <v>37600</v>
      </c>
      <c r="O103" s="511" t="s">
        <v>1343</v>
      </c>
      <c r="P103" s="511" t="s">
        <v>1342</v>
      </c>
      <c r="Q103" s="572"/>
      <c r="R103" s="552"/>
      <c r="S103" s="552"/>
      <c r="T103" s="511"/>
      <c r="W103" s="549"/>
      <c r="X103" s="441" t="s">
        <v>1850</v>
      </c>
      <c r="Y103"/>
      <c r="Z103"/>
      <c r="AA103"/>
      <c r="AB103" s="564"/>
      <c r="AC103" s="552"/>
      <c r="AE103" s="552"/>
      <c r="AF103" s="552"/>
      <c r="AG103" s="552"/>
    </row>
    <row r="104" spans="14:33">
      <c r="N104">
        <v>37600</v>
      </c>
      <c r="O104" s="511" t="s">
        <v>1344</v>
      </c>
      <c r="P104" s="511" t="s">
        <v>1342</v>
      </c>
      <c r="Q104" s="572"/>
      <c r="R104" s="552"/>
      <c r="S104" s="552"/>
      <c r="T104" s="511"/>
      <c r="W104" s="549"/>
      <c r="X104" s="441"/>
      <c r="Y104"/>
      <c r="Z104"/>
      <c r="AA104"/>
      <c r="AB104" s="552"/>
      <c r="AC104" s="552"/>
      <c r="AE104" s="552"/>
      <c r="AF104" s="552"/>
      <c r="AG104" s="552"/>
    </row>
    <row r="105" spans="14:33">
      <c r="N105">
        <v>37600</v>
      </c>
      <c r="O105" s="511" t="s">
        <v>1345</v>
      </c>
      <c r="P105" s="511" t="s">
        <v>1342</v>
      </c>
      <c r="Q105" s="572"/>
      <c r="R105" s="552"/>
      <c r="S105" s="552"/>
      <c r="T105" s="511"/>
      <c r="W105" s="554"/>
      <c r="X105" s="440" t="s">
        <v>1851</v>
      </c>
      <c r="Y105"/>
      <c r="Z105"/>
      <c r="AA105"/>
      <c r="AB105" s="552"/>
      <c r="AC105" s="552"/>
      <c r="AE105" s="552"/>
      <c r="AF105" s="552"/>
      <c r="AG105" s="552"/>
    </row>
    <row r="106" spans="14:33">
      <c r="N106">
        <v>37600</v>
      </c>
      <c r="O106" s="511" t="s">
        <v>1346</v>
      </c>
      <c r="P106" s="511" t="s">
        <v>1342</v>
      </c>
      <c r="Q106" s="572"/>
      <c r="R106" s="552"/>
      <c r="S106" s="552"/>
      <c r="T106" s="511"/>
      <c r="W106" s="554"/>
      <c r="X106" s="440"/>
      <c r="Y106"/>
      <c r="Z106"/>
      <c r="AA106"/>
      <c r="AB106" s="552"/>
      <c r="AC106" s="552"/>
      <c r="AE106" s="552"/>
      <c r="AF106" s="552"/>
      <c r="AG106" s="552"/>
    </row>
    <row r="107" spans="14:33">
      <c r="N107">
        <v>37600</v>
      </c>
      <c r="O107" s="511" t="s">
        <v>1347</v>
      </c>
      <c r="P107" s="511" t="s">
        <v>1342</v>
      </c>
      <c r="Q107" s="572"/>
      <c r="R107" s="552"/>
      <c r="S107" s="552"/>
      <c r="T107" s="511"/>
      <c r="W107" s="554"/>
      <c r="X107" s="440" t="s">
        <v>1852</v>
      </c>
      <c r="Y107"/>
      <c r="Z107"/>
      <c r="AA107"/>
      <c r="AB107" s="552"/>
      <c r="AC107" s="552"/>
      <c r="AE107" s="552"/>
      <c r="AF107" s="552"/>
      <c r="AG107" s="552"/>
    </row>
    <row r="108" spans="14:33">
      <c r="N108">
        <v>37600</v>
      </c>
      <c r="O108" s="511" t="s">
        <v>1348</v>
      </c>
      <c r="P108" s="511" t="s">
        <v>1342</v>
      </c>
      <c r="Q108" s="572"/>
      <c r="R108" s="552"/>
      <c r="S108" s="552"/>
      <c r="T108" s="511"/>
      <c r="W108" s="554"/>
      <c r="X108" s="440"/>
      <c r="Y108"/>
      <c r="Z108"/>
      <c r="AA108"/>
      <c r="AB108" s="552"/>
      <c r="AC108" s="552"/>
      <c r="AE108" s="552"/>
      <c r="AF108" s="552"/>
      <c r="AG108" s="552"/>
    </row>
    <row r="109" spans="14:33">
      <c r="N109">
        <v>37600</v>
      </c>
      <c r="O109" s="511" t="s">
        <v>1349</v>
      </c>
      <c r="P109" s="511" t="s">
        <v>1342</v>
      </c>
      <c r="Q109" s="572"/>
      <c r="R109" s="552"/>
      <c r="S109" s="552"/>
      <c r="T109" s="511"/>
      <c r="W109" s="554"/>
      <c r="X109" s="440" t="s">
        <v>1853</v>
      </c>
      <c r="Y109"/>
      <c r="Z109"/>
      <c r="AA109"/>
      <c r="AB109" s="552"/>
      <c r="AC109" s="552"/>
      <c r="AE109" s="552"/>
      <c r="AF109" s="552"/>
      <c r="AG109" s="552"/>
    </row>
    <row r="110" spans="14:33">
      <c r="N110">
        <v>37600</v>
      </c>
      <c r="O110" s="511" t="s">
        <v>1350</v>
      </c>
      <c r="P110" s="511" t="s">
        <v>1342</v>
      </c>
      <c r="Q110" s="572"/>
      <c r="R110" s="552"/>
      <c r="S110" s="552"/>
      <c r="T110" s="511"/>
      <c r="W110" s="549"/>
      <c r="X110" s="440"/>
      <c r="Y110"/>
      <c r="Z110"/>
      <c r="AA110"/>
      <c r="AB110" s="552"/>
      <c r="AC110" s="552"/>
      <c r="AE110" s="552"/>
      <c r="AF110" s="552"/>
      <c r="AG110" s="552"/>
    </row>
    <row r="111" spans="14:33">
      <c r="N111">
        <v>37600</v>
      </c>
      <c r="O111" s="511" t="s">
        <v>1351</v>
      </c>
      <c r="P111" s="511" t="s">
        <v>1342</v>
      </c>
      <c r="Q111" s="572"/>
      <c r="R111" s="552"/>
      <c r="S111" s="552"/>
      <c r="T111" s="511"/>
      <c r="W111" s="549"/>
      <c r="X111" s="440" t="s">
        <v>1854</v>
      </c>
      <c r="Y111"/>
      <c r="Z111"/>
      <c r="AA111"/>
      <c r="AB111" s="552"/>
      <c r="AC111" s="552"/>
      <c r="AE111" s="552"/>
      <c r="AF111" s="552"/>
      <c r="AG111" s="552"/>
    </row>
    <row r="112" spans="14:33">
      <c r="N112">
        <v>37600</v>
      </c>
      <c r="O112" s="511" t="s">
        <v>1352</v>
      </c>
      <c r="P112" s="511" t="s">
        <v>1342</v>
      </c>
      <c r="Q112" s="572"/>
      <c r="R112" s="552"/>
      <c r="S112" s="552"/>
      <c r="T112" s="511"/>
      <c r="W112" s="549"/>
      <c r="X112" s="440" t="s">
        <v>1855</v>
      </c>
      <c r="Y112"/>
      <c r="Z112"/>
      <c r="AA112"/>
      <c r="AB112" s="552"/>
      <c r="AC112" s="552"/>
      <c r="AE112" s="552"/>
      <c r="AF112" s="552"/>
      <c r="AG112" s="552"/>
    </row>
    <row r="113" spans="14:33">
      <c r="N113" s="440">
        <v>37600</v>
      </c>
      <c r="O113" s="516" t="s">
        <v>1353</v>
      </c>
      <c r="P113" s="516" t="s">
        <v>1342</v>
      </c>
      <c r="Q113" s="572"/>
      <c r="R113" s="552"/>
      <c r="S113" s="552"/>
      <c r="T113" s="511"/>
      <c r="W113" s="549"/>
      <c r="X113" s="440" t="s">
        <v>1856</v>
      </c>
      <c r="Y113"/>
      <c r="Z113"/>
      <c r="AA113"/>
      <c r="AB113" s="552"/>
      <c r="AC113" s="552"/>
      <c r="AE113" s="552"/>
      <c r="AF113" s="552"/>
      <c r="AG113" s="552"/>
    </row>
    <row r="114" spans="14:33">
      <c r="N114" s="1">
        <v>37600</v>
      </c>
      <c r="O114" s="1" t="s">
        <v>1354</v>
      </c>
      <c r="P114" s="1" t="s">
        <v>1342</v>
      </c>
      <c r="Q114" s="572"/>
      <c r="R114" s="552"/>
      <c r="S114" s="552"/>
      <c r="T114" s="511"/>
      <c r="W114" s="549"/>
      <c r="X114" s="440"/>
      <c r="Y114"/>
      <c r="Z114"/>
      <c r="AA114"/>
      <c r="AB114" s="552"/>
      <c r="AC114" s="552"/>
      <c r="AE114" s="552"/>
      <c r="AF114" s="552"/>
      <c r="AG114" s="552"/>
    </row>
    <row r="115" spans="14:33">
      <c r="N115">
        <v>37600</v>
      </c>
      <c r="O115" s="511" t="s">
        <v>1355</v>
      </c>
      <c r="P115" s="511" t="s">
        <v>1342</v>
      </c>
      <c r="Q115" s="572"/>
      <c r="R115" s="552"/>
      <c r="S115" s="552"/>
      <c r="T115" s="511"/>
      <c r="W115" s="549"/>
      <c r="X115" s="440"/>
      <c r="Y115" s="440"/>
      <c r="Z115"/>
      <c r="AA115"/>
      <c r="AB115" s="552"/>
      <c r="AC115" s="552"/>
      <c r="AE115" s="552"/>
      <c r="AF115" s="552"/>
      <c r="AG115" s="552"/>
    </row>
    <row r="116" spans="14:33">
      <c r="N116">
        <v>37600</v>
      </c>
      <c r="O116" s="511" t="s">
        <v>1356</v>
      </c>
      <c r="P116" s="511" t="s">
        <v>1342</v>
      </c>
      <c r="Q116" s="572"/>
      <c r="R116" s="552"/>
      <c r="S116" s="552"/>
      <c r="T116" s="511"/>
      <c r="W116" s="549"/>
      <c r="X116" s="440"/>
      <c r="Y116" s="440"/>
      <c r="Z116"/>
      <c r="AA116"/>
      <c r="AB116" s="552"/>
      <c r="AC116" s="552"/>
      <c r="AE116" s="552"/>
      <c r="AF116" s="552"/>
      <c r="AG116" s="552"/>
    </row>
    <row r="117" spans="14:33">
      <c r="N117">
        <v>37600</v>
      </c>
      <c r="O117" s="511" t="s">
        <v>1357</v>
      </c>
      <c r="P117" s="511" t="s">
        <v>1342</v>
      </c>
      <c r="Q117" s="572"/>
      <c r="R117" s="552"/>
      <c r="S117" s="552"/>
      <c r="T117" s="511"/>
      <c r="W117" s="549"/>
      <c r="X117" s="440"/>
      <c r="Y117" s="440"/>
      <c r="Z117"/>
      <c r="AA117"/>
      <c r="AB117" s="552"/>
      <c r="AC117" s="552"/>
      <c r="AE117" s="552"/>
      <c r="AF117" s="552"/>
      <c r="AG117" s="552"/>
    </row>
    <row r="118" spans="14:33">
      <c r="N118">
        <v>37602</v>
      </c>
      <c r="O118" s="511" t="s">
        <v>1358</v>
      </c>
      <c r="P118" s="511" t="s">
        <v>1359</v>
      </c>
      <c r="Q118" s="572"/>
      <c r="R118" s="552"/>
      <c r="S118" s="552"/>
      <c r="T118" s="511"/>
      <c r="W118" s="549"/>
      <c r="X118" s="440"/>
      <c r="Y118" s="440"/>
      <c r="Z118"/>
      <c r="AA118"/>
      <c r="AB118" s="552"/>
      <c r="AC118" s="552"/>
      <c r="AE118" s="552"/>
      <c r="AF118" s="552"/>
      <c r="AG118" s="552"/>
    </row>
    <row r="119" spans="14:33">
      <c r="N119">
        <v>37602</v>
      </c>
      <c r="O119" s="511" t="s">
        <v>1360</v>
      </c>
      <c r="P119" s="511" t="s">
        <v>1359</v>
      </c>
      <c r="Q119" s="572"/>
      <c r="R119" s="552"/>
      <c r="S119" s="552"/>
      <c r="T119" s="511"/>
      <c r="W119" s="549"/>
      <c r="X119" s="440"/>
      <c r="Y119" s="440"/>
      <c r="Z119"/>
      <c r="AA119"/>
      <c r="AB119" s="552"/>
      <c r="AC119" s="552"/>
      <c r="AE119" s="552"/>
      <c r="AF119" s="552"/>
      <c r="AG119" s="552"/>
    </row>
    <row r="120" spans="14:33">
      <c r="N120">
        <v>37602</v>
      </c>
      <c r="O120" s="511" t="s">
        <v>1361</v>
      </c>
      <c r="P120" s="511" t="s">
        <v>1359</v>
      </c>
      <c r="Q120" s="572"/>
      <c r="R120" s="552"/>
      <c r="S120" s="552"/>
      <c r="T120" s="511"/>
      <c r="W120" s="549"/>
      <c r="X120" s="440"/>
      <c r="Y120" s="440"/>
      <c r="Z120"/>
      <c r="AA120"/>
      <c r="AB120" s="552"/>
      <c r="AC120" s="552"/>
      <c r="AE120" s="552"/>
      <c r="AF120" s="552"/>
      <c r="AG120" s="552"/>
    </row>
    <row r="121" spans="14:33">
      <c r="N121">
        <v>37602</v>
      </c>
      <c r="O121" s="511" t="s">
        <v>1362</v>
      </c>
      <c r="P121" s="511" t="s">
        <v>1359</v>
      </c>
      <c r="Q121" s="572"/>
      <c r="R121" s="552"/>
      <c r="S121" s="552"/>
      <c r="T121" s="511"/>
      <c r="W121" s="549"/>
      <c r="X121" s="440"/>
      <c r="Y121" s="440"/>
      <c r="Z121"/>
      <c r="AA121"/>
      <c r="AB121" s="552"/>
      <c r="AC121" s="552"/>
      <c r="AE121" s="552"/>
      <c r="AF121" s="552"/>
      <c r="AG121" s="552"/>
    </row>
    <row r="122" spans="14:33">
      <c r="N122">
        <v>37602</v>
      </c>
      <c r="O122" s="511" t="s">
        <v>1363</v>
      </c>
      <c r="P122" s="511" t="s">
        <v>1359</v>
      </c>
      <c r="Q122" s="572"/>
      <c r="R122" s="552"/>
      <c r="S122" s="552"/>
      <c r="T122" s="511"/>
      <c r="W122" s="549"/>
      <c r="X122" s="440"/>
      <c r="Y122" s="440"/>
      <c r="Z122"/>
      <c r="AA122"/>
      <c r="AB122" s="552"/>
      <c r="AC122" s="552"/>
      <c r="AE122" s="552"/>
      <c r="AF122" s="552"/>
      <c r="AG122" s="552"/>
    </row>
    <row r="123" spans="14:33">
      <c r="N123">
        <v>37602</v>
      </c>
      <c r="O123" s="511" t="s">
        <v>1364</v>
      </c>
      <c r="P123" s="511" t="s">
        <v>1359</v>
      </c>
      <c r="Q123" s="572"/>
      <c r="R123" s="552"/>
      <c r="S123" s="552"/>
      <c r="T123" s="511"/>
      <c r="W123" s="549"/>
      <c r="X123" s="440"/>
      <c r="Y123" s="440"/>
      <c r="Z123"/>
      <c r="AA123"/>
      <c r="AB123" s="552"/>
      <c r="AC123" s="552"/>
      <c r="AE123" s="552"/>
      <c r="AF123" s="552"/>
      <c r="AG123" s="552"/>
    </row>
    <row r="124" spans="14:33">
      <c r="N124">
        <v>37602</v>
      </c>
      <c r="O124" s="511" t="s">
        <v>1365</v>
      </c>
      <c r="P124" s="511" t="s">
        <v>1359</v>
      </c>
      <c r="Q124" s="572"/>
      <c r="R124" s="552"/>
      <c r="S124" s="552"/>
      <c r="T124" s="511"/>
      <c r="W124" s="549"/>
      <c r="X124" s="440"/>
      <c r="Y124" s="440"/>
      <c r="Z124"/>
      <c r="AA124"/>
      <c r="AB124" s="552"/>
      <c r="AC124" s="552"/>
      <c r="AE124" s="552"/>
      <c r="AF124" s="552"/>
      <c r="AG124" s="552"/>
    </row>
    <row r="125" spans="14:33">
      <c r="N125">
        <v>37602</v>
      </c>
      <c r="O125" s="511" t="s">
        <v>1366</v>
      </c>
      <c r="P125" s="511" t="s">
        <v>1359</v>
      </c>
      <c r="Q125" s="572"/>
      <c r="R125" s="552"/>
      <c r="S125" s="552"/>
      <c r="T125" s="511"/>
      <c r="W125" s="549"/>
      <c r="X125" s="440"/>
      <c r="Y125" s="440"/>
      <c r="Z125"/>
      <c r="AA125"/>
      <c r="AB125" s="552"/>
      <c r="AC125" s="552"/>
      <c r="AE125" s="552"/>
      <c r="AF125" s="552"/>
      <c r="AG125" s="552"/>
    </row>
    <row r="126" spans="14:33">
      <c r="N126">
        <v>37602</v>
      </c>
      <c r="O126" s="511" t="s">
        <v>1367</v>
      </c>
      <c r="P126" s="511" t="s">
        <v>1359</v>
      </c>
      <c r="Q126" s="572"/>
      <c r="R126" s="552"/>
      <c r="S126" s="552"/>
      <c r="T126" s="511"/>
      <c r="W126" s="549"/>
      <c r="X126" s="440"/>
      <c r="Y126" s="440"/>
      <c r="Z126"/>
      <c r="AA126"/>
      <c r="AB126" s="552"/>
      <c r="AC126" s="552"/>
      <c r="AE126" s="552"/>
      <c r="AF126" s="552"/>
      <c r="AG126" s="552"/>
    </row>
    <row r="127" spans="14:33">
      <c r="N127">
        <v>37602</v>
      </c>
      <c r="O127" s="511" t="s">
        <v>1368</v>
      </c>
      <c r="P127" s="511" t="s">
        <v>1359</v>
      </c>
      <c r="Q127" s="572"/>
      <c r="R127" s="552"/>
      <c r="S127" s="552"/>
      <c r="T127" s="511"/>
      <c r="W127" s="549"/>
      <c r="X127" s="440"/>
      <c r="Y127" s="440"/>
      <c r="Z127"/>
      <c r="AA127"/>
      <c r="AB127" s="552"/>
      <c r="AC127" s="552"/>
      <c r="AE127" s="552"/>
      <c r="AF127" s="552"/>
      <c r="AG127" s="552"/>
    </row>
    <row r="128" spans="14:33">
      <c r="N128">
        <v>37602</v>
      </c>
      <c r="O128" s="511" t="s">
        <v>1369</v>
      </c>
      <c r="P128" s="511" t="s">
        <v>1359</v>
      </c>
      <c r="Q128" s="572"/>
      <c r="R128" s="552"/>
      <c r="S128" s="552"/>
      <c r="T128" s="511"/>
      <c r="W128" s="549"/>
      <c r="X128" s="440"/>
      <c r="Y128" s="440"/>
      <c r="Z128"/>
      <c r="AA128"/>
      <c r="AB128" s="552"/>
      <c r="AC128" s="552"/>
      <c r="AE128" s="552"/>
      <c r="AF128" s="552"/>
      <c r="AG128" s="552"/>
    </row>
    <row r="129" spans="1:33">
      <c r="N129">
        <v>37602</v>
      </c>
      <c r="O129" s="511" t="s">
        <v>1370</v>
      </c>
      <c r="P129" s="511" t="s">
        <v>1359</v>
      </c>
      <c r="Q129" s="572"/>
      <c r="R129" s="552"/>
      <c r="S129" s="552"/>
      <c r="T129" s="511"/>
      <c r="W129" s="549"/>
      <c r="X129" s="440"/>
      <c r="Y129" s="440"/>
      <c r="Z129"/>
      <c r="AA129"/>
      <c r="AB129" s="552"/>
      <c r="AC129" s="552"/>
      <c r="AE129" s="552"/>
      <c r="AF129" s="552"/>
      <c r="AG129" s="552"/>
    </row>
    <row r="130" spans="1:33">
      <c r="N130">
        <v>37602</v>
      </c>
      <c r="O130" s="511" t="s">
        <v>1371</v>
      </c>
      <c r="P130" s="511" t="s">
        <v>1359</v>
      </c>
      <c r="Q130" s="572"/>
      <c r="R130" s="552"/>
      <c r="S130" s="552"/>
      <c r="T130" s="511"/>
      <c r="W130" s="549"/>
      <c r="X130" s="440"/>
      <c r="Y130" s="440"/>
      <c r="Z130"/>
      <c r="AA130"/>
      <c r="AB130" s="552"/>
      <c r="AC130" s="552"/>
      <c r="AE130" s="552"/>
      <c r="AF130" s="552"/>
      <c r="AG130" s="552"/>
    </row>
    <row r="131" spans="1:33">
      <c r="N131">
        <v>37602</v>
      </c>
      <c r="O131" s="511" t="s">
        <v>1372</v>
      </c>
      <c r="P131" s="511" t="s">
        <v>1359</v>
      </c>
      <c r="Q131" s="572"/>
      <c r="R131" s="552"/>
      <c r="S131" s="552"/>
      <c r="T131" s="511"/>
      <c r="W131" s="549"/>
      <c r="X131" s="440"/>
      <c r="Y131" s="440"/>
      <c r="Z131"/>
      <c r="AA131"/>
      <c r="AB131" s="552"/>
      <c r="AC131" s="552"/>
      <c r="AE131" s="552"/>
      <c r="AF131" s="552"/>
      <c r="AG131" s="552"/>
    </row>
    <row r="132" spans="1:33">
      <c r="N132">
        <v>37602</v>
      </c>
      <c r="O132" s="511" t="s">
        <v>1373</v>
      </c>
      <c r="P132" s="511" t="s">
        <v>1359</v>
      </c>
      <c r="Q132" s="572"/>
      <c r="R132" s="552"/>
      <c r="S132" s="552"/>
      <c r="T132" s="511"/>
      <c r="W132" s="549"/>
      <c r="X132" s="440"/>
      <c r="Y132" s="440"/>
      <c r="Z132"/>
      <c r="AA132"/>
      <c r="AB132" s="552"/>
      <c r="AC132" s="552"/>
      <c r="AE132" s="552"/>
      <c r="AF132" s="552"/>
      <c r="AG132" s="552"/>
    </row>
    <row r="133" spans="1:33">
      <c r="N133">
        <v>37602</v>
      </c>
      <c r="O133" s="511" t="s">
        <v>1374</v>
      </c>
      <c r="P133" s="511" t="s">
        <v>1359</v>
      </c>
      <c r="Q133" s="572"/>
      <c r="R133" s="552"/>
      <c r="S133" s="552"/>
      <c r="T133" s="511"/>
      <c r="W133" s="549"/>
      <c r="X133" s="440"/>
      <c r="Y133" s="440"/>
      <c r="Z133"/>
      <c r="AA133"/>
      <c r="AB133" s="552"/>
      <c r="AC133" s="552"/>
      <c r="AE133" s="552"/>
      <c r="AF133" s="552"/>
      <c r="AG133" s="552"/>
    </row>
    <row r="134" spans="1:33">
      <c r="N134">
        <v>37602</v>
      </c>
      <c r="O134" s="511" t="s">
        <v>1375</v>
      </c>
      <c r="P134" s="511" t="s">
        <v>1359</v>
      </c>
      <c r="Q134" s="572"/>
      <c r="R134" s="552"/>
      <c r="S134" s="552"/>
      <c r="T134" s="511"/>
      <c r="W134" s="549"/>
      <c r="X134" s="440"/>
      <c r="Y134" s="440"/>
      <c r="Z134"/>
      <c r="AA134"/>
      <c r="AB134" s="552"/>
      <c r="AC134" s="552"/>
      <c r="AE134" s="552"/>
      <c r="AF134" s="552"/>
      <c r="AG134" s="552"/>
    </row>
    <row r="135" spans="1:33">
      <c r="N135">
        <v>37602</v>
      </c>
      <c r="O135" s="511" t="s">
        <v>1376</v>
      </c>
      <c r="P135" s="511" t="s">
        <v>1359</v>
      </c>
      <c r="Q135" s="572"/>
      <c r="R135" s="552"/>
      <c r="S135" s="552"/>
      <c r="T135" s="511"/>
      <c r="W135" s="549"/>
      <c r="X135" s="440"/>
      <c r="Y135" s="440"/>
      <c r="Z135"/>
      <c r="AA135"/>
      <c r="AB135" s="552"/>
      <c r="AC135" s="552"/>
      <c r="AE135" s="552"/>
      <c r="AF135" s="552"/>
      <c r="AG135" s="552"/>
    </row>
    <row r="136" spans="1:33">
      <c r="N136">
        <v>37602</v>
      </c>
      <c r="O136" s="511" t="s">
        <v>1377</v>
      </c>
      <c r="P136" s="511" t="s">
        <v>1359</v>
      </c>
      <c r="Q136" s="572"/>
      <c r="R136" s="552"/>
      <c r="S136" s="552"/>
      <c r="T136" s="511"/>
      <c r="W136" s="549"/>
      <c r="X136" s="440"/>
      <c r="Y136" s="440"/>
      <c r="Z136"/>
      <c r="AA136"/>
      <c r="AB136" s="552"/>
      <c r="AC136" s="552"/>
      <c r="AE136" s="552"/>
      <c r="AF136" s="552"/>
      <c r="AG136" s="552"/>
    </row>
    <row r="137" spans="1:33">
      <c r="N137">
        <v>37602</v>
      </c>
      <c r="O137" s="511" t="s">
        <v>1378</v>
      </c>
      <c r="P137" s="511" t="s">
        <v>1359</v>
      </c>
      <c r="Q137" s="572"/>
      <c r="R137" s="552"/>
      <c r="S137" s="552"/>
      <c r="T137" s="511"/>
      <c r="W137" s="549"/>
      <c r="X137" s="440"/>
      <c r="Y137" s="440"/>
      <c r="Z137"/>
      <c r="AA137"/>
      <c r="AB137" s="552"/>
      <c r="AC137" s="552"/>
      <c r="AE137" s="552"/>
      <c r="AF137" s="552"/>
      <c r="AG137" s="552"/>
    </row>
    <row r="138" spans="1:33">
      <c r="N138">
        <v>37602</v>
      </c>
      <c r="O138" s="511" t="s">
        <v>1379</v>
      </c>
      <c r="P138" s="511" t="s">
        <v>1359</v>
      </c>
      <c r="Q138" s="572"/>
      <c r="R138" s="552"/>
      <c r="S138" s="552"/>
      <c r="T138" s="511"/>
      <c r="W138" s="549"/>
      <c r="X138" s="440"/>
      <c r="Y138" s="440"/>
      <c r="Z138"/>
      <c r="AA138"/>
      <c r="AB138" s="552"/>
      <c r="AC138" s="552"/>
      <c r="AE138" s="552"/>
      <c r="AF138" s="552"/>
      <c r="AG138" s="552"/>
    </row>
    <row r="139" spans="1:33">
      <c r="N139">
        <v>37602</v>
      </c>
      <c r="O139" s="511" t="s">
        <v>1380</v>
      </c>
      <c r="P139" s="511" t="s">
        <v>1359</v>
      </c>
      <c r="Q139" s="572"/>
      <c r="R139" s="552"/>
      <c r="S139" s="552"/>
      <c r="T139" s="511"/>
      <c r="W139" s="549"/>
      <c r="X139" s="440"/>
      <c r="Y139" s="440"/>
      <c r="Z139"/>
      <c r="AA139"/>
      <c r="AB139" s="552"/>
      <c r="AC139" s="552"/>
      <c r="AE139" s="552"/>
      <c r="AF139" s="552"/>
      <c r="AG139" s="552"/>
    </row>
    <row r="140" spans="1:33">
      <c r="N140">
        <v>37602</v>
      </c>
      <c r="O140" s="511" t="s">
        <v>1381</v>
      </c>
      <c r="P140" s="511" t="s">
        <v>1359</v>
      </c>
      <c r="Q140" s="572"/>
      <c r="R140" s="552"/>
      <c r="S140" s="552"/>
      <c r="T140" s="511"/>
      <c r="W140" s="549"/>
      <c r="X140" s="440"/>
      <c r="Y140" s="440"/>
      <c r="Z140"/>
      <c r="AA140"/>
      <c r="AB140" s="552"/>
      <c r="AC140" s="552"/>
      <c r="AE140" s="552"/>
      <c r="AF140" s="552"/>
      <c r="AG140" s="552"/>
    </row>
    <row r="141" spans="1:33">
      <c r="N141">
        <v>37602</v>
      </c>
      <c r="O141" s="511" t="s">
        <v>1382</v>
      </c>
      <c r="P141" s="511" t="s">
        <v>1359</v>
      </c>
      <c r="Q141" s="572"/>
      <c r="R141" s="552"/>
      <c r="S141" s="552"/>
      <c r="T141" s="511"/>
      <c r="W141" s="549"/>
      <c r="X141" s="440"/>
      <c r="Y141" s="440"/>
      <c r="Z141"/>
      <c r="AA141"/>
      <c r="AB141" s="552"/>
      <c r="AC141" s="552"/>
      <c r="AE141" s="552"/>
      <c r="AF141" s="552"/>
      <c r="AG141" s="552"/>
    </row>
    <row r="142" spans="1:33">
      <c r="A142"/>
      <c r="N142">
        <v>37602</v>
      </c>
      <c r="O142" s="511" t="s">
        <v>1383</v>
      </c>
      <c r="P142" s="511" t="s">
        <v>1359</v>
      </c>
      <c r="Q142" s="572"/>
      <c r="R142" s="552"/>
      <c r="S142" s="552"/>
      <c r="T142" s="511"/>
      <c r="W142" s="549"/>
      <c r="X142" s="440"/>
      <c r="Y142" s="440"/>
      <c r="Z142"/>
      <c r="AA142"/>
      <c r="AB142" s="552"/>
      <c r="AC142" s="552"/>
      <c r="AE142" s="552"/>
      <c r="AF142" s="552"/>
      <c r="AG142" s="552"/>
    </row>
    <row r="143" spans="1:33">
      <c r="N143">
        <v>37602</v>
      </c>
      <c r="O143" s="511" t="s">
        <v>1384</v>
      </c>
      <c r="P143" s="511" t="s">
        <v>1359</v>
      </c>
      <c r="Q143" s="572"/>
      <c r="R143" s="552"/>
      <c r="S143" s="552"/>
      <c r="T143" s="511"/>
      <c r="W143" s="549"/>
      <c r="X143" s="440"/>
      <c r="Y143" s="440"/>
      <c r="Z143"/>
      <c r="AA143"/>
      <c r="AB143" s="552"/>
      <c r="AC143" s="552"/>
      <c r="AE143" s="552"/>
      <c r="AF143" s="552"/>
      <c r="AG143" s="552"/>
    </row>
    <row r="144" spans="1:33">
      <c r="N144">
        <v>37602</v>
      </c>
      <c r="O144" s="511" t="s">
        <v>1385</v>
      </c>
      <c r="P144" s="511" t="s">
        <v>1359</v>
      </c>
      <c r="Q144" s="572"/>
      <c r="R144" s="552"/>
      <c r="S144" s="552"/>
      <c r="T144" s="512"/>
      <c r="W144" s="549"/>
      <c r="X144" s="440"/>
      <c r="Y144" s="440"/>
      <c r="Z144"/>
      <c r="AA144"/>
      <c r="AB144" s="552"/>
      <c r="AC144" s="575"/>
      <c r="AE144" s="552"/>
      <c r="AF144" s="552"/>
      <c r="AG144" s="552"/>
    </row>
    <row r="145" spans="14:33">
      <c r="N145">
        <v>37602</v>
      </c>
      <c r="O145" s="511" t="s">
        <v>1386</v>
      </c>
      <c r="P145" s="511" t="s">
        <v>1359</v>
      </c>
      <c r="Q145" s="572"/>
      <c r="R145" s="552"/>
      <c r="S145" s="552"/>
      <c r="W145" s="549"/>
      <c r="X145" s="440"/>
      <c r="Y145" s="440"/>
      <c r="Z145"/>
      <c r="AA145"/>
      <c r="AB145" s="552"/>
      <c r="AC145" s="552"/>
      <c r="AE145" s="552"/>
      <c r="AF145" s="552"/>
      <c r="AG145" s="552"/>
    </row>
    <row r="146" spans="14:33">
      <c r="N146">
        <v>37602</v>
      </c>
      <c r="O146" s="511" t="s">
        <v>1387</v>
      </c>
      <c r="P146" s="511" t="s">
        <v>1359</v>
      </c>
      <c r="Q146" s="572"/>
      <c r="R146" s="552"/>
      <c r="S146" s="552"/>
      <c r="T146" s="511"/>
      <c r="W146" s="549"/>
      <c r="X146" s="440"/>
      <c r="Y146" s="440"/>
      <c r="Z146"/>
      <c r="AA146"/>
      <c r="AB146" s="552"/>
      <c r="AC146" s="552"/>
      <c r="AE146" s="552"/>
      <c r="AF146" s="552"/>
      <c r="AG146" s="552"/>
    </row>
    <row r="147" spans="14:33">
      <c r="N147">
        <v>37602</v>
      </c>
      <c r="O147" s="511" t="s">
        <v>1388</v>
      </c>
      <c r="P147" s="511" t="s">
        <v>1359</v>
      </c>
      <c r="Q147" s="572"/>
      <c r="R147" s="552"/>
      <c r="S147" s="552"/>
      <c r="T147" s="511"/>
      <c r="W147" s="549"/>
      <c r="X147" s="440"/>
      <c r="Y147" s="440"/>
      <c r="Z147"/>
      <c r="AA147"/>
      <c r="AB147" s="552"/>
      <c r="AC147" s="552"/>
      <c r="AE147" s="552"/>
      <c r="AF147" s="552"/>
      <c r="AG147" s="552"/>
    </row>
    <row r="148" spans="14:33">
      <c r="N148">
        <v>37602</v>
      </c>
      <c r="O148" s="511" t="s">
        <v>1389</v>
      </c>
      <c r="P148" s="511" t="s">
        <v>1359</v>
      </c>
      <c r="Q148" s="572"/>
      <c r="R148" s="552"/>
      <c r="S148" s="552"/>
      <c r="T148" s="511"/>
      <c r="W148" s="549"/>
      <c r="X148" s="440"/>
      <c r="Y148" s="440"/>
      <c r="Z148"/>
      <c r="AA148"/>
      <c r="AB148" s="552"/>
      <c r="AC148" s="552"/>
      <c r="AE148" s="552"/>
      <c r="AF148" s="552"/>
      <c r="AG148" s="552"/>
    </row>
    <row r="149" spans="14:33">
      <c r="N149">
        <v>37602</v>
      </c>
      <c r="O149" s="511" t="s">
        <v>1390</v>
      </c>
      <c r="P149" s="511" t="s">
        <v>1359</v>
      </c>
      <c r="Q149" s="572"/>
      <c r="R149" s="552"/>
      <c r="S149" s="552"/>
      <c r="T149" s="511"/>
      <c r="W149" s="549"/>
      <c r="X149" s="440"/>
      <c r="Y149" s="440"/>
      <c r="Z149"/>
      <c r="AA149"/>
      <c r="AB149" s="552"/>
      <c r="AC149" s="552"/>
      <c r="AE149" s="552"/>
      <c r="AF149" s="552"/>
      <c r="AG149" s="552"/>
    </row>
    <row r="150" spans="14:33">
      <c r="N150">
        <v>37602</v>
      </c>
      <c r="O150" s="511" t="s">
        <v>1391</v>
      </c>
      <c r="P150" s="511" t="s">
        <v>1359</v>
      </c>
      <c r="Q150" s="572"/>
      <c r="R150" s="552"/>
      <c r="S150" s="552"/>
      <c r="T150" s="511"/>
      <c r="W150" s="549"/>
      <c r="X150" s="440"/>
      <c r="Y150" s="440"/>
      <c r="Z150"/>
      <c r="AA150"/>
      <c r="AB150" s="552"/>
      <c r="AC150" s="552"/>
      <c r="AE150" s="552"/>
      <c r="AF150" s="552"/>
      <c r="AG150" s="552"/>
    </row>
    <row r="151" spans="14:33">
      <c r="N151">
        <v>37602</v>
      </c>
      <c r="O151" s="511" t="s">
        <v>1392</v>
      </c>
      <c r="P151" s="511" t="s">
        <v>1359</v>
      </c>
      <c r="Q151" s="572"/>
      <c r="R151" s="552"/>
      <c r="S151" s="552"/>
      <c r="T151" s="511"/>
      <c r="W151" s="549"/>
      <c r="X151" s="440"/>
      <c r="Y151" s="440"/>
      <c r="Z151"/>
      <c r="AA151"/>
      <c r="AB151" s="552"/>
      <c r="AC151" s="552"/>
      <c r="AE151" s="552"/>
      <c r="AF151" s="552"/>
      <c r="AG151" s="552"/>
    </row>
    <row r="152" spans="14:33">
      <c r="N152">
        <v>37602</v>
      </c>
      <c r="O152" s="511" t="s">
        <v>1393</v>
      </c>
      <c r="P152" s="511" t="s">
        <v>1359</v>
      </c>
      <c r="Q152" s="572"/>
      <c r="R152" s="552"/>
      <c r="S152" s="552"/>
      <c r="T152" s="511"/>
      <c r="W152" s="549"/>
      <c r="X152" s="440"/>
      <c r="Y152" s="440"/>
      <c r="Z152"/>
      <c r="AA152"/>
      <c r="AB152" s="552"/>
      <c r="AC152" s="552"/>
      <c r="AE152" s="552"/>
      <c r="AF152" s="552"/>
      <c r="AG152" s="552"/>
    </row>
    <row r="153" spans="14:33">
      <c r="N153" s="441">
        <v>376</v>
      </c>
      <c r="O153" s="512"/>
      <c r="P153" s="512"/>
      <c r="Q153" s="575">
        <f>Y21+Y22</f>
        <v>1811664327.156565</v>
      </c>
      <c r="R153" s="575">
        <f t="shared" ref="R153:S153" si="15">Z21+Z22</f>
        <v>-434114347.5358966</v>
      </c>
      <c r="S153" s="575">
        <f t="shared" si="15"/>
        <v>1377549979.6206684</v>
      </c>
      <c r="T153" s="511"/>
      <c r="W153" s="549"/>
      <c r="X153" s="440"/>
      <c r="Y153" s="440"/>
      <c r="Z153"/>
      <c r="AA153"/>
      <c r="AB153" s="552"/>
      <c r="AC153" s="552"/>
      <c r="AE153" s="552"/>
      <c r="AF153" s="552"/>
      <c r="AG153" s="552"/>
    </row>
    <row r="154" spans="14:33">
      <c r="N154"/>
      <c r="O154" s="511"/>
      <c r="P154" s="511"/>
      <c r="Q154" s="552"/>
      <c r="R154" s="572"/>
      <c r="S154" s="552"/>
      <c r="T154" s="511"/>
      <c r="W154" s="549"/>
      <c r="X154" s="440"/>
      <c r="Y154" s="440"/>
      <c r="Z154"/>
      <c r="AA154"/>
      <c r="AB154" s="552"/>
      <c r="AC154" s="552"/>
      <c r="AE154" s="552"/>
      <c r="AF154" s="552"/>
      <c r="AG154" s="552"/>
    </row>
    <row r="155" spans="14:33">
      <c r="N155" s="549">
        <v>37700</v>
      </c>
      <c r="O155" s="625"/>
      <c r="P155" t="s">
        <v>1834</v>
      </c>
      <c r="Q155" s="552">
        <f>Y23</f>
        <v>19181092.510000002</v>
      </c>
      <c r="R155" s="552">
        <f t="shared" ref="R155:S155" si="16">Z23</f>
        <v>-1368630.8978499998</v>
      </c>
      <c r="S155" s="552">
        <f t="shared" si="16"/>
        <v>17812461.612150002</v>
      </c>
      <c r="T155" s="511"/>
      <c r="W155" s="549"/>
      <c r="X155" s="440"/>
      <c r="Y155" s="440"/>
      <c r="Z155"/>
      <c r="AA155"/>
      <c r="AB155" s="552"/>
      <c r="AC155" s="552"/>
      <c r="AE155" s="552"/>
      <c r="AF155" s="552"/>
      <c r="AG155" s="552"/>
    </row>
    <row r="156" spans="14:33">
      <c r="N156"/>
      <c r="O156" s="511"/>
      <c r="P156" s="511"/>
      <c r="Q156" s="552"/>
      <c r="R156" s="572"/>
      <c r="S156" s="552"/>
      <c r="T156" s="511"/>
      <c r="W156" s="549"/>
      <c r="X156" s="440"/>
      <c r="Y156" s="440"/>
      <c r="Z156"/>
      <c r="AA156"/>
      <c r="AB156" s="564"/>
      <c r="AC156" s="552"/>
      <c r="AE156" s="552"/>
      <c r="AF156" s="552"/>
      <c r="AG156" s="552"/>
    </row>
    <row r="157" spans="14:33">
      <c r="N157"/>
      <c r="O157" s="511"/>
      <c r="P157" s="511"/>
      <c r="Q157" s="552"/>
      <c r="R157" s="572"/>
      <c r="S157" s="552"/>
      <c r="T157" s="511"/>
      <c r="W157" s="549"/>
      <c r="X157" s="440"/>
      <c r="Y157" s="440"/>
      <c r="Z157"/>
      <c r="AA157"/>
      <c r="AB157" s="564"/>
      <c r="AC157" s="552"/>
      <c r="AE157" s="552"/>
      <c r="AF157" s="552"/>
      <c r="AG157" s="552"/>
    </row>
    <row r="158" spans="14:33">
      <c r="N158">
        <v>37800</v>
      </c>
      <c r="O158" s="511" t="s">
        <v>1394</v>
      </c>
      <c r="P158" s="511" t="s">
        <v>1395</v>
      </c>
      <c r="Q158" s="572"/>
      <c r="R158" s="552"/>
      <c r="S158" s="552"/>
      <c r="T158" s="511"/>
      <c r="W158" s="549"/>
      <c r="X158" s="440"/>
      <c r="Y158" s="440"/>
      <c r="Z158"/>
      <c r="AA158"/>
      <c r="AB158" s="552"/>
      <c r="AC158" s="552"/>
      <c r="AE158" s="552"/>
      <c r="AF158" s="552"/>
      <c r="AG158" s="552"/>
    </row>
    <row r="159" spans="14:33">
      <c r="N159">
        <v>37800</v>
      </c>
      <c r="O159" s="511" t="s">
        <v>1396</v>
      </c>
      <c r="P159" s="511" t="s">
        <v>1395</v>
      </c>
      <c r="Q159" s="572"/>
      <c r="R159" s="552"/>
      <c r="S159" s="552"/>
      <c r="T159" s="511"/>
      <c r="W159" s="549"/>
      <c r="X159" s="440"/>
      <c r="Y159" s="440"/>
      <c r="Z159"/>
      <c r="AA159"/>
      <c r="AB159" s="564"/>
      <c r="AC159" s="552"/>
      <c r="AE159" s="552"/>
      <c r="AF159" s="552"/>
      <c r="AG159" s="552"/>
    </row>
    <row r="160" spans="14:33">
      <c r="N160">
        <v>37800</v>
      </c>
      <c r="O160" s="511" t="s">
        <v>1397</v>
      </c>
      <c r="P160" s="511" t="s">
        <v>1395</v>
      </c>
      <c r="Q160" s="572"/>
      <c r="R160" s="552"/>
      <c r="S160" s="552"/>
      <c r="T160" s="511"/>
      <c r="W160" s="549"/>
      <c r="X160" s="440"/>
      <c r="Y160" s="440"/>
      <c r="Z160"/>
      <c r="AA160"/>
      <c r="AB160" s="552"/>
      <c r="AC160" s="552"/>
      <c r="AE160" s="552"/>
      <c r="AF160" s="552"/>
      <c r="AG160" s="552"/>
    </row>
    <row r="161" spans="12:33">
      <c r="N161">
        <v>37800</v>
      </c>
      <c r="O161" s="511" t="s">
        <v>1398</v>
      </c>
      <c r="P161" s="511" t="s">
        <v>1395</v>
      </c>
      <c r="Q161" s="572"/>
      <c r="R161" s="552"/>
      <c r="S161" s="552"/>
      <c r="T161" s="511"/>
      <c r="W161" s="549"/>
      <c r="X161" s="440"/>
      <c r="Y161" s="440"/>
      <c r="Z161"/>
      <c r="AA161"/>
      <c r="AB161" s="552"/>
      <c r="AC161" s="552"/>
      <c r="AE161" s="552"/>
      <c r="AF161" s="552"/>
      <c r="AG161" s="552"/>
    </row>
    <row r="162" spans="12:33">
      <c r="N162">
        <v>37800</v>
      </c>
      <c r="O162" s="511" t="s">
        <v>1399</v>
      </c>
      <c r="P162" s="511" t="s">
        <v>1395</v>
      </c>
      <c r="Q162" s="572"/>
      <c r="R162" s="552"/>
      <c r="S162" s="552"/>
      <c r="T162" s="511"/>
      <c r="W162" s="549"/>
      <c r="X162" s="440"/>
      <c r="Y162" s="440"/>
      <c r="Z162"/>
      <c r="AA162"/>
      <c r="AB162" s="552"/>
      <c r="AC162" s="552"/>
      <c r="AE162" s="552"/>
      <c r="AF162" s="552"/>
      <c r="AG162" s="552"/>
    </row>
    <row r="163" spans="12:33">
      <c r="N163">
        <v>37800</v>
      </c>
      <c r="O163" s="511" t="s">
        <v>1400</v>
      </c>
      <c r="P163" s="511" t="s">
        <v>1395</v>
      </c>
      <c r="Q163" s="572"/>
      <c r="R163" s="552"/>
      <c r="S163" s="552"/>
      <c r="T163" s="511"/>
      <c r="W163" s="549"/>
      <c r="X163" s="440"/>
      <c r="Y163" s="440"/>
      <c r="Z163"/>
      <c r="AA163"/>
      <c r="AB163" s="552"/>
      <c r="AC163" s="575"/>
      <c r="AE163" s="552"/>
      <c r="AF163" s="552"/>
      <c r="AG163" s="552"/>
    </row>
    <row r="164" spans="12:33">
      <c r="L164" s="565">
        <f>SUM(Q153+Q176+Q195)</f>
        <v>1949170286.1209648</v>
      </c>
      <c r="N164">
        <v>37800</v>
      </c>
      <c r="O164" s="511" t="s">
        <v>1401</v>
      </c>
      <c r="P164" s="511" t="s">
        <v>1395</v>
      </c>
      <c r="Q164" s="572"/>
      <c r="R164" s="552"/>
      <c r="S164" s="552"/>
      <c r="T164" s="512"/>
      <c r="W164" s="549"/>
      <c r="X164" s="440"/>
      <c r="Y164" s="440"/>
      <c r="Z164"/>
      <c r="AA164"/>
      <c r="AB164" s="552"/>
      <c r="AC164" s="552"/>
      <c r="AE164" s="552"/>
      <c r="AF164" s="552"/>
      <c r="AG164" s="552"/>
    </row>
    <row r="165" spans="12:33">
      <c r="N165">
        <v>37800</v>
      </c>
      <c r="O165" s="511" t="s">
        <v>1402</v>
      </c>
      <c r="P165" s="511" t="s">
        <v>1395</v>
      </c>
      <c r="Q165" s="572"/>
      <c r="R165" s="552"/>
      <c r="S165" s="552"/>
      <c r="W165" s="549"/>
      <c r="X165" s="440"/>
      <c r="Y165" s="440"/>
      <c r="Z165"/>
      <c r="AA165"/>
      <c r="AB165" s="552"/>
      <c r="AC165" s="552"/>
      <c r="AE165" s="552"/>
      <c r="AF165" s="552"/>
      <c r="AG165" s="552"/>
    </row>
    <row r="166" spans="12:33">
      <c r="N166">
        <v>37800</v>
      </c>
      <c r="O166" s="511" t="s">
        <v>1403</v>
      </c>
      <c r="P166" s="511" t="s">
        <v>1395</v>
      </c>
      <c r="Q166" s="572"/>
      <c r="R166" s="552"/>
      <c r="S166" s="552"/>
      <c r="T166" s="511"/>
      <c r="W166" s="549"/>
      <c r="X166" s="440"/>
      <c r="Y166" s="440"/>
      <c r="Z166"/>
      <c r="AA166"/>
      <c r="AB166" s="552"/>
      <c r="AC166" s="552"/>
      <c r="AE166" s="552"/>
      <c r="AF166" s="552"/>
      <c r="AG166" s="552"/>
    </row>
    <row r="167" spans="12:33">
      <c r="N167">
        <v>37800</v>
      </c>
      <c r="O167" s="511" t="s">
        <v>1404</v>
      </c>
      <c r="P167" s="511" t="s">
        <v>1395</v>
      </c>
      <c r="Q167" s="572"/>
      <c r="R167" s="552"/>
      <c r="S167" s="552"/>
      <c r="T167" s="511"/>
      <c r="W167" s="549"/>
      <c r="X167" s="440"/>
      <c r="Y167" s="440"/>
      <c r="Z167"/>
      <c r="AA167"/>
      <c r="AB167" s="552"/>
      <c r="AC167" s="552"/>
      <c r="AE167" s="552"/>
      <c r="AF167" s="552"/>
      <c r="AG167" s="552"/>
    </row>
    <row r="168" spans="12:33">
      <c r="N168">
        <v>37800</v>
      </c>
      <c r="O168" s="511" t="s">
        <v>1405</v>
      </c>
      <c r="P168" s="511" t="s">
        <v>1395</v>
      </c>
      <c r="Q168" s="572"/>
      <c r="R168" s="552"/>
      <c r="S168" s="552"/>
      <c r="T168" s="511"/>
      <c r="W168" s="549"/>
      <c r="X168" s="440"/>
      <c r="Y168" s="440"/>
      <c r="Z168"/>
      <c r="AA168"/>
      <c r="AB168" s="552"/>
      <c r="AC168" s="552"/>
      <c r="AE168" s="552"/>
      <c r="AF168" s="552"/>
      <c r="AG168" s="552"/>
    </row>
    <row r="169" spans="12:33">
      <c r="N169">
        <v>37800</v>
      </c>
      <c r="O169" s="511" t="s">
        <v>1406</v>
      </c>
      <c r="P169" s="511" t="s">
        <v>1395</v>
      </c>
      <c r="Q169" s="572"/>
      <c r="R169" s="552"/>
      <c r="S169" s="552"/>
      <c r="T169" s="511"/>
      <c r="W169" s="549"/>
      <c r="X169" s="440"/>
      <c r="Y169" s="440"/>
      <c r="Z169"/>
      <c r="AA169"/>
      <c r="AB169" s="552"/>
      <c r="AC169" s="552"/>
      <c r="AE169" s="552"/>
      <c r="AF169" s="552"/>
      <c r="AG169" s="552"/>
    </row>
    <row r="170" spans="12:33">
      <c r="N170">
        <v>37800</v>
      </c>
      <c r="O170" s="511" t="s">
        <v>1407</v>
      </c>
      <c r="P170" s="511" t="s">
        <v>1395</v>
      </c>
      <c r="Q170" s="572"/>
      <c r="R170" s="552"/>
      <c r="S170" s="552"/>
      <c r="T170" s="511"/>
      <c r="W170" s="549"/>
      <c r="X170" s="440"/>
      <c r="Y170" s="440"/>
      <c r="Z170"/>
      <c r="AA170"/>
      <c r="AB170" s="552"/>
      <c r="AC170" s="552"/>
      <c r="AE170" s="552"/>
      <c r="AF170" s="552"/>
      <c r="AG170" s="552"/>
    </row>
    <row r="171" spans="12:33">
      <c r="N171" s="441">
        <v>37800</v>
      </c>
      <c r="O171" s="512" t="s">
        <v>1408</v>
      </c>
      <c r="P171" s="512" t="s">
        <v>1395</v>
      </c>
      <c r="Q171" s="572"/>
      <c r="R171" s="552"/>
      <c r="S171" s="552"/>
      <c r="T171" s="511"/>
      <c r="W171" s="549"/>
      <c r="X171" s="440"/>
      <c r="Y171" s="440"/>
      <c r="Z171"/>
      <c r="AA171"/>
      <c r="AB171" s="552"/>
      <c r="AC171" s="552"/>
      <c r="AE171" s="552"/>
      <c r="AF171" s="552"/>
      <c r="AG171" s="552"/>
    </row>
    <row r="172" spans="12:33">
      <c r="N172" s="1">
        <v>37800</v>
      </c>
      <c r="O172" s="1" t="s">
        <v>1409</v>
      </c>
      <c r="P172" s="1" t="s">
        <v>1395</v>
      </c>
      <c r="Q172" s="572"/>
      <c r="R172" s="552"/>
      <c r="S172" s="552"/>
      <c r="T172" s="511"/>
      <c r="W172" s="549"/>
      <c r="X172" s="440"/>
      <c r="Y172" s="440"/>
      <c r="Z172"/>
      <c r="AA172"/>
      <c r="AB172" s="552"/>
      <c r="AC172" s="552"/>
      <c r="AE172" s="552"/>
      <c r="AF172" s="552"/>
      <c r="AG172" s="552"/>
    </row>
    <row r="173" spans="12:33">
      <c r="N173">
        <v>37800</v>
      </c>
      <c r="O173" s="511" t="s">
        <v>1410</v>
      </c>
      <c r="P173" s="511" t="s">
        <v>1395</v>
      </c>
      <c r="Q173" s="572"/>
      <c r="R173" s="552"/>
      <c r="S173" s="552"/>
      <c r="T173" s="511"/>
      <c r="W173" s="549"/>
      <c r="X173" s="440"/>
      <c r="Y173" s="440"/>
      <c r="Z173"/>
      <c r="AA173"/>
      <c r="AB173" s="552"/>
      <c r="AC173" s="552"/>
      <c r="AE173" s="552"/>
      <c r="AF173" s="552"/>
      <c r="AG173" s="552"/>
    </row>
    <row r="174" spans="12:33">
      <c r="N174">
        <v>37800</v>
      </c>
      <c r="O174" s="511" t="s">
        <v>1411</v>
      </c>
      <c r="P174" s="511" t="s">
        <v>1395</v>
      </c>
      <c r="Q174" s="572"/>
      <c r="R174" s="552"/>
      <c r="S174" s="552"/>
      <c r="T174" s="511"/>
      <c r="W174" s="549"/>
      <c r="X174" s="440"/>
      <c r="Y174" s="440"/>
      <c r="Z174"/>
      <c r="AA174"/>
      <c r="AB174" s="552"/>
      <c r="AC174" s="552"/>
      <c r="AE174" s="552"/>
      <c r="AF174" s="552"/>
      <c r="AG174" s="552"/>
    </row>
    <row r="175" spans="12:33">
      <c r="N175">
        <v>37800</v>
      </c>
      <c r="O175" s="511" t="s">
        <v>1412</v>
      </c>
      <c r="P175" s="511" t="s">
        <v>1395</v>
      </c>
      <c r="Q175" s="572"/>
      <c r="R175" s="552"/>
      <c r="S175" s="552"/>
      <c r="T175" s="511"/>
      <c r="W175" s="549"/>
      <c r="X175" s="440"/>
      <c r="Y175" s="440"/>
      <c r="Z175"/>
      <c r="AA175"/>
      <c r="AB175" s="552"/>
      <c r="AC175" s="552"/>
      <c r="AE175" s="552"/>
      <c r="AF175" s="552"/>
      <c r="AG175" s="552"/>
    </row>
    <row r="176" spans="12:33">
      <c r="N176" s="441">
        <v>378</v>
      </c>
      <c r="O176" s="512"/>
      <c r="P176" s="512"/>
      <c r="Q176" s="552">
        <f>Y24</f>
        <v>22026123.749599997</v>
      </c>
      <c r="R176" s="552">
        <f t="shared" ref="R176:S176" si="17">Z24</f>
        <v>-5803810.6474795975</v>
      </c>
      <c r="S176" s="552">
        <f t="shared" si="17"/>
        <v>16222313.102120399</v>
      </c>
      <c r="T176" s="511"/>
      <c r="W176" s="549"/>
      <c r="X176" s="440"/>
      <c r="Y176" s="440"/>
      <c r="Z176"/>
      <c r="AA176"/>
      <c r="AB176" s="552"/>
      <c r="AC176" s="552"/>
      <c r="AE176" s="552"/>
      <c r="AF176" s="552"/>
      <c r="AG176" s="552"/>
    </row>
    <row r="177" spans="14:33">
      <c r="N177"/>
      <c r="O177" s="511"/>
      <c r="P177" s="511"/>
      <c r="Q177" s="552"/>
      <c r="R177" s="572"/>
      <c r="S177" s="552"/>
      <c r="T177" s="511"/>
      <c r="W177" s="549"/>
      <c r="X177" s="440"/>
      <c r="Y177" s="440"/>
      <c r="Z177"/>
      <c r="AA177"/>
      <c r="AB177" s="552"/>
      <c r="AC177" s="552"/>
      <c r="AE177" s="552"/>
      <c r="AF177" s="552"/>
      <c r="AG177" s="552"/>
    </row>
    <row r="178" spans="14:33">
      <c r="N178">
        <v>37900</v>
      </c>
      <c r="O178" s="511" t="s">
        <v>1413</v>
      </c>
      <c r="P178" s="511" t="s">
        <v>1414</v>
      </c>
      <c r="Q178" s="572"/>
      <c r="R178" s="552"/>
      <c r="S178" s="552"/>
      <c r="T178" s="511"/>
      <c r="W178" s="549"/>
      <c r="X178" s="440"/>
      <c r="Y178" s="440"/>
      <c r="Z178"/>
      <c r="AA178"/>
      <c r="AB178" s="552"/>
      <c r="AC178" s="552"/>
      <c r="AE178" s="552"/>
      <c r="AF178" s="552"/>
      <c r="AG178" s="552"/>
    </row>
    <row r="179" spans="14:33">
      <c r="N179">
        <v>37900</v>
      </c>
      <c r="O179" s="511" t="s">
        <v>1415</v>
      </c>
      <c r="P179" s="511" t="s">
        <v>1414</v>
      </c>
      <c r="Q179" s="572"/>
      <c r="R179" s="552"/>
      <c r="S179" s="552"/>
      <c r="T179" s="511"/>
      <c r="W179" s="549"/>
      <c r="X179" s="440"/>
      <c r="Y179" s="440"/>
      <c r="Z179"/>
      <c r="AA179"/>
      <c r="AB179" s="564"/>
      <c r="AC179" s="552"/>
      <c r="AE179" s="552"/>
      <c r="AF179" s="552"/>
      <c r="AG179" s="552"/>
    </row>
    <row r="180" spans="14:33">
      <c r="N180">
        <v>37900</v>
      </c>
      <c r="O180" s="511" t="s">
        <v>1416</v>
      </c>
      <c r="P180" s="511" t="s">
        <v>1414</v>
      </c>
      <c r="Q180" s="572"/>
      <c r="R180" s="552"/>
      <c r="S180" s="552"/>
      <c r="T180" s="511"/>
      <c r="W180" s="549"/>
      <c r="X180" s="440"/>
      <c r="Y180" s="440"/>
      <c r="Z180"/>
      <c r="AA180"/>
      <c r="AB180" s="552"/>
      <c r="AC180" s="552"/>
      <c r="AE180" s="552"/>
      <c r="AF180" s="552"/>
      <c r="AG180" s="552"/>
    </row>
    <row r="181" spans="14:33">
      <c r="N181">
        <v>37900</v>
      </c>
      <c r="O181" s="511" t="s">
        <v>1417</v>
      </c>
      <c r="P181" s="511" t="s">
        <v>1414</v>
      </c>
      <c r="Q181" s="572"/>
      <c r="R181" s="552"/>
      <c r="S181" s="552"/>
      <c r="T181" s="511"/>
      <c r="W181" s="549"/>
      <c r="X181" s="440"/>
      <c r="Y181" s="440"/>
      <c r="Z181"/>
      <c r="AA181"/>
      <c r="AB181" s="552"/>
      <c r="AC181" s="575"/>
      <c r="AE181" s="552"/>
      <c r="AF181" s="552"/>
      <c r="AG181" s="552"/>
    </row>
    <row r="182" spans="14:33">
      <c r="N182">
        <v>37900</v>
      </c>
      <c r="O182" s="511" t="s">
        <v>1418</v>
      </c>
      <c r="P182" s="511" t="s">
        <v>1414</v>
      </c>
      <c r="Q182" s="572"/>
      <c r="R182" s="552"/>
      <c r="S182" s="552"/>
      <c r="T182" s="511"/>
      <c r="W182" s="549"/>
      <c r="X182" s="440"/>
      <c r="Y182" s="440"/>
      <c r="Z182"/>
      <c r="AA182"/>
      <c r="AB182" s="552"/>
      <c r="AC182" s="552"/>
      <c r="AE182" s="552"/>
      <c r="AF182" s="552"/>
      <c r="AG182" s="552"/>
    </row>
    <row r="183" spans="14:33">
      <c r="N183">
        <v>37900</v>
      </c>
      <c r="O183" s="511" t="s">
        <v>1419</v>
      </c>
      <c r="P183" s="511" t="s">
        <v>1414</v>
      </c>
      <c r="Q183" s="572"/>
      <c r="R183" s="552"/>
      <c r="S183" s="552"/>
      <c r="T183" s="512"/>
      <c r="W183" s="549"/>
      <c r="X183" s="440"/>
      <c r="Y183" s="440"/>
      <c r="Z183"/>
      <c r="AA183"/>
      <c r="AB183" s="552"/>
      <c r="AC183" s="552"/>
      <c r="AE183" s="552"/>
      <c r="AF183" s="552"/>
      <c r="AG183" s="552"/>
    </row>
    <row r="184" spans="14:33">
      <c r="N184">
        <v>37900</v>
      </c>
      <c r="O184" s="511" t="s">
        <v>1420</v>
      </c>
      <c r="P184" s="511" t="s">
        <v>1414</v>
      </c>
      <c r="Q184" s="572"/>
      <c r="R184" s="552"/>
      <c r="S184" s="552"/>
      <c r="W184" s="549"/>
      <c r="X184" s="440"/>
      <c r="Y184" s="440"/>
      <c r="Z184"/>
      <c r="AA184"/>
      <c r="AB184" s="552"/>
      <c r="AC184" s="552"/>
      <c r="AE184" s="552"/>
      <c r="AF184" s="552"/>
      <c r="AG184" s="552"/>
    </row>
    <row r="185" spans="14:33">
      <c r="N185">
        <v>37900</v>
      </c>
      <c r="O185" s="511" t="s">
        <v>1421</v>
      </c>
      <c r="P185" s="511" t="s">
        <v>1414</v>
      </c>
      <c r="Q185" s="572"/>
      <c r="R185" s="552"/>
      <c r="S185" s="552"/>
      <c r="T185" s="511"/>
      <c r="W185" s="549"/>
      <c r="X185" s="440"/>
      <c r="Y185" s="440"/>
      <c r="Z185"/>
      <c r="AA185"/>
      <c r="AB185" s="552"/>
      <c r="AC185" s="552"/>
      <c r="AE185" s="552"/>
      <c r="AF185" s="552"/>
      <c r="AG185" s="552"/>
    </row>
    <row r="186" spans="14:33">
      <c r="N186">
        <v>37900</v>
      </c>
      <c r="O186" s="511" t="s">
        <v>1422</v>
      </c>
      <c r="P186" s="511" t="s">
        <v>1414</v>
      </c>
      <c r="Q186" s="572"/>
      <c r="R186" s="552"/>
      <c r="S186" s="552"/>
      <c r="T186" s="511"/>
      <c r="W186" s="549"/>
      <c r="X186" s="440"/>
      <c r="Y186" s="440"/>
      <c r="Z186"/>
      <c r="AA186"/>
      <c r="AB186" s="552"/>
      <c r="AC186" s="552"/>
      <c r="AE186" s="552"/>
      <c r="AF186" s="552"/>
      <c r="AG186" s="552"/>
    </row>
    <row r="187" spans="14:33">
      <c r="N187">
        <v>37900</v>
      </c>
      <c r="O187" s="511" t="s">
        <v>1423</v>
      </c>
      <c r="P187" s="511" t="s">
        <v>1414</v>
      </c>
      <c r="Q187" s="572"/>
      <c r="R187" s="552"/>
      <c r="S187" s="552"/>
      <c r="T187" s="511"/>
      <c r="W187" s="549"/>
      <c r="X187" s="440"/>
      <c r="Y187" s="440"/>
      <c r="Z187"/>
      <c r="AA187"/>
      <c r="AB187" s="552"/>
      <c r="AC187" s="552"/>
      <c r="AE187" s="552"/>
      <c r="AF187" s="552"/>
      <c r="AG187" s="552"/>
    </row>
    <row r="188" spans="14:33">
      <c r="N188">
        <v>37900</v>
      </c>
      <c r="O188" s="511" t="s">
        <v>1424</v>
      </c>
      <c r="P188" s="511" t="s">
        <v>1414</v>
      </c>
      <c r="Q188" s="572"/>
      <c r="R188" s="552"/>
      <c r="S188" s="552"/>
      <c r="T188" s="511"/>
      <c r="W188" s="549"/>
      <c r="X188" s="440"/>
      <c r="Y188" s="440"/>
      <c r="Z188"/>
      <c r="AA188"/>
      <c r="AB188" s="552"/>
      <c r="AC188" s="552"/>
      <c r="AE188" s="552"/>
      <c r="AF188" s="552"/>
      <c r="AG188" s="552"/>
    </row>
    <row r="189" spans="14:33">
      <c r="N189">
        <v>37900</v>
      </c>
      <c r="O189" s="511" t="s">
        <v>1425</v>
      </c>
      <c r="P189" s="511" t="s">
        <v>1414</v>
      </c>
      <c r="Q189" s="572"/>
      <c r="R189" s="552"/>
      <c r="S189" s="552"/>
      <c r="T189" s="511"/>
      <c r="W189" s="549"/>
      <c r="X189" s="440"/>
      <c r="Y189" s="440"/>
      <c r="Z189"/>
      <c r="AA189"/>
      <c r="AB189" s="552"/>
      <c r="AC189" s="552"/>
      <c r="AE189" s="552"/>
      <c r="AF189" s="552"/>
      <c r="AG189" s="552"/>
    </row>
    <row r="190" spans="14:33">
      <c r="N190">
        <v>37900</v>
      </c>
      <c r="O190" s="511" t="s">
        <v>1426</v>
      </c>
      <c r="P190" s="511" t="s">
        <v>1414</v>
      </c>
      <c r="Q190" s="572"/>
      <c r="R190" s="552"/>
      <c r="S190" s="552"/>
      <c r="T190" s="511"/>
      <c r="W190" s="549"/>
      <c r="X190" s="440"/>
      <c r="Y190" s="440"/>
      <c r="Z190"/>
      <c r="AA190"/>
      <c r="AB190" s="552"/>
      <c r="AC190" s="552"/>
      <c r="AE190" s="552"/>
      <c r="AF190" s="552"/>
      <c r="AG190" s="552"/>
    </row>
    <row r="191" spans="14:33">
      <c r="N191">
        <v>37900</v>
      </c>
      <c r="O191" s="511" t="s">
        <v>1427</v>
      </c>
      <c r="P191" s="511" t="s">
        <v>1414</v>
      </c>
      <c r="Q191" s="572"/>
      <c r="R191" s="552"/>
      <c r="S191" s="552"/>
      <c r="T191" s="511"/>
      <c r="W191" s="549"/>
      <c r="X191" s="440"/>
      <c r="Y191" s="440"/>
      <c r="Z191"/>
      <c r="AA191"/>
      <c r="AB191" s="552"/>
      <c r="AC191" s="552"/>
      <c r="AE191" s="552"/>
      <c r="AF191" s="552"/>
      <c r="AG191" s="552"/>
    </row>
    <row r="192" spans="14:33">
      <c r="N192">
        <v>37900</v>
      </c>
      <c r="O192" s="511" t="s">
        <v>1428</v>
      </c>
      <c r="P192" s="511" t="s">
        <v>1414</v>
      </c>
      <c r="Q192" s="572"/>
      <c r="R192" s="552"/>
      <c r="S192" s="552"/>
      <c r="T192" s="511"/>
      <c r="W192" s="549"/>
      <c r="X192" s="440"/>
      <c r="Y192" s="440"/>
      <c r="Z192"/>
      <c r="AA192"/>
      <c r="AB192" s="552"/>
      <c r="AC192" s="552"/>
      <c r="AE192" s="552"/>
      <c r="AF192" s="552"/>
      <c r="AG192" s="552"/>
    </row>
    <row r="193" spans="14:33">
      <c r="N193" s="440">
        <v>37900</v>
      </c>
      <c r="O193" s="516" t="s">
        <v>1429</v>
      </c>
      <c r="P193" s="516" t="s">
        <v>1414</v>
      </c>
      <c r="Q193" s="572"/>
      <c r="R193" s="552"/>
      <c r="S193" s="552"/>
      <c r="T193" s="511"/>
      <c r="W193" s="549"/>
      <c r="X193" s="440"/>
      <c r="Y193" s="440"/>
      <c r="Z193"/>
      <c r="AA193"/>
      <c r="AB193" s="552"/>
      <c r="AC193" s="552"/>
      <c r="AE193" s="552"/>
      <c r="AF193" s="552"/>
      <c r="AG193" s="552"/>
    </row>
    <row r="194" spans="14:33">
      <c r="N194" s="1">
        <v>37900</v>
      </c>
      <c r="O194" s="1" t="s">
        <v>1430</v>
      </c>
      <c r="P194" s="1" t="s">
        <v>1414</v>
      </c>
      <c r="Q194" s="572"/>
      <c r="R194" s="552"/>
      <c r="S194" s="552"/>
      <c r="T194" s="511"/>
      <c r="W194" s="549"/>
      <c r="X194" s="440"/>
      <c r="Y194" s="440"/>
      <c r="Z194"/>
      <c r="AA194"/>
      <c r="AB194" s="552"/>
      <c r="AC194" s="552"/>
      <c r="AE194" s="552"/>
      <c r="AF194" s="552"/>
      <c r="AG194" s="552"/>
    </row>
    <row r="195" spans="14:33">
      <c r="N195" s="176">
        <v>379</v>
      </c>
      <c r="Q195" s="575">
        <f>Y25</f>
        <v>115479835.21479999</v>
      </c>
      <c r="R195" s="575">
        <f t="shared" ref="R195:S195" si="18">Z25</f>
        <v>-19180463.104328617</v>
      </c>
      <c r="S195" s="575">
        <f t="shared" si="18"/>
        <v>96299372.110471368</v>
      </c>
      <c r="T195" s="511"/>
      <c r="W195" s="549"/>
      <c r="X195" s="440"/>
      <c r="Y195" s="440"/>
      <c r="Z195"/>
      <c r="AA195"/>
      <c r="AB195" s="552"/>
      <c r="AC195" s="552"/>
      <c r="AE195" s="552"/>
      <c r="AF195" s="552"/>
      <c r="AG195" s="552"/>
    </row>
    <row r="196" spans="14:33">
      <c r="Q196" s="552"/>
      <c r="R196" s="572"/>
      <c r="S196" s="552"/>
      <c r="T196" s="511"/>
      <c r="W196" s="549"/>
      <c r="X196" s="440"/>
      <c r="Y196" s="440"/>
      <c r="Z196"/>
      <c r="AA196"/>
      <c r="AB196" s="552"/>
      <c r="AC196" s="552"/>
      <c r="AE196" s="552"/>
      <c r="AF196" s="552"/>
      <c r="AG196" s="552"/>
    </row>
    <row r="197" spans="14:33">
      <c r="N197">
        <v>38000</v>
      </c>
      <c r="O197" s="511" t="s">
        <v>1431</v>
      </c>
      <c r="P197" s="511" t="s">
        <v>1432</v>
      </c>
      <c r="Q197" s="572"/>
      <c r="R197" s="552"/>
      <c r="S197" s="552"/>
      <c r="T197" s="511"/>
      <c r="W197" s="549"/>
      <c r="X197" s="440"/>
      <c r="Y197" s="440"/>
      <c r="Z197"/>
      <c r="AA197"/>
      <c r="AB197" s="552"/>
      <c r="AC197" s="552"/>
      <c r="AE197" s="552"/>
      <c r="AF197" s="552"/>
      <c r="AG197" s="552"/>
    </row>
    <row r="198" spans="14:33">
      <c r="N198">
        <v>38000</v>
      </c>
      <c r="O198" s="511" t="s">
        <v>1433</v>
      </c>
      <c r="P198" s="511" t="s">
        <v>1432</v>
      </c>
      <c r="Q198" s="572"/>
      <c r="R198" s="552"/>
      <c r="S198" s="552"/>
      <c r="T198" s="511"/>
      <c r="W198" s="549"/>
      <c r="X198" s="440"/>
      <c r="Y198" s="440"/>
      <c r="Z198"/>
      <c r="AA198"/>
      <c r="AB198" s="564"/>
      <c r="AC198" s="552"/>
      <c r="AE198" s="552"/>
      <c r="AF198" s="552"/>
      <c r="AG198" s="552"/>
    </row>
    <row r="199" spans="14:33">
      <c r="N199">
        <v>38000</v>
      </c>
      <c r="O199" s="511" t="s">
        <v>1434</v>
      </c>
      <c r="P199" s="511" t="s">
        <v>1432</v>
      </c>
      <c r="Q199" s="572"/>
      <c r="R199" s="552"/>
      <c r="S199" s="552"/>
      <c r="T199" s="511"/>
      <c r="W199" s="549"/>
      <c r="X199" s="440"/>
      <c r="Y199" s="440"/>
      <c r="Z199"/>
      <c r="AA199"/>
      <c r="AB199" s="552"/>
      <c r="AC199" s="552"/>
      <c r="AE199" s="552"/>
      <c r="AF199" s="552"/>
      <c r="AG199" s="552"/>
    </row>
    <row r="200" spans="14:33">
      <c r="N200">
        <v>38000</v>
      </c>
      <c r="O200" s="511" t="s">
        <v>1435</v>
      </c>
      <c r="P200" s="511" t="s">
        <v>1432</v>
      </c>
      <c r="Q200" s="572"/>
      <c r="R200" s="552"/>
      <c r="S200" s="552"/>
      <c r="T200" s="511"/>
      <c r="W200" s="549"/>
      <c r="X200" s="440"/>
      <c r="Y200" s="440"/>
      <c r="Z200"/>
      <c r="AA200"/>
      <c r="AB200" s="552"/>
      <c r="AC200" s="552"/>
      <c r="AE200" s="552"/>
      <c r="AF200" s="552"/>
      <c r="AG200" s="552"/>
    </row>
    <row r="201" spans="14:33">
      <c r="N201">
        <v>38000</v>
      </c>
      <c r="O201" s="511" t="s">
        <v>1436</v>
      </c>
      <c r="P201" s="511" t="s">
        <v>1432</v>
      </c>
      <c r="Q201" s="572"/>
      <c r="R201" s="552"/>
      <c r="S201" s="552"/>
      <c r="T201" s="511"/>
      <c r="W201" s="549"/>
      <c r="X201" s="440"/>
      <c r="Y201" s="440"/>
      <c r="Z201"/>
      <c r="AA201"/>
      <c r="AB201" s="552"/>
      <c r="AC201" s="552"/>
      <c r="AE201" s="552"/>
      <c r="AF201" s="552"/>
      <c r="AG201" s="552"/>
    </row>
    <row r="202" spans="14:33">
      <c r="N202">
        <v>38000</v>
      </c>
      <c r="O202" s="511" t="s">
        <v>1437</v>
      </c>
      <c r="P202" s="511" t="s">
        <v>1432</v>
      </c>
      <c r="Q202" s="572"/>
      <c r="R202" s="552"/>
      <c r="S202" s="552"/>
      <c r="T202" s="511"/>
      <c r="W202" s="549"/>
      <c r="X202" s="440"/>
      <c r="Y202" s="440"/>
      <c r="Z202"/>
      <c r="AA202"/>
      <c r="AB202" s="552"/>
      <c r="AC202" s="552"/>
      <c r="AE202" s="552"/>
      <c r="AF202" s="552"/>
      <c r="AG202" s="552"/>
    </row>
    <row r="203" spans="14:33">
      <c r="N203">
        <v>38000</v>
      </c>
      <c r="O203" s="511" t="s">
        <v>1438</v>
      </c>
      <c r="P203" s="511" t="s">
        <v>1432</v>
      </c>
      <c r="Q203" s="572"/>
      <c r="R203" s="552"/>
      <c r="S203" s="552"/>
      <c r="T203" s="511"/>
      <c r="W203" s="549"/>
      <c r="X203" s="440"/>
      <c r="Y203" s="440"/>
      <c r="Z203"/>
      <c r="AA203"/>
      <c r="AB203" s="552"/>
      <c r="AC203" s="552"/>
      <c r="AE203" s="552"/>
      <c r="AF203" s="552"/>
      <c r="AG203" s="552"/>
    </row>
    <row r="204" spans="14:33">
      <c r="N204">
        <v>38000</v>
      </c>
      <c r="O204" s="511" t="s">
        <v>1439</v>
      </c>
      <c r="P204" s="511" t="s">
        <v>1432</v>
      </c>
      <c r="Q204" s="572"/>
      <c r="R204" s="552"/>
      <c r="S204" s="552"/>
      <c r="T204" s="511"/>
      <c r="W204" s="549"/>
      <c r="X204" s="440"/>
      <c r="Y204" s="440"/>
      <c r="Z204"/>
      <c r="AA204"/>
      <c r="AB204" s="552"/>
      <c r="AC204" s="552"/>
      <c r="AE204" s="552"/>
      <c r="AF204" s="552"/>
      <c r="AG204" s="552"/>
    </row>
    <row r="205" spans="14:33">
      <c r="N205">
        <v>38000</v>
      </c>
      <c r="O205" s="511" t="s">
        <v>1440</v>
      </c>
      <c r="P205" s="511" t="s">
        <v>1432</v>
      </c>
      <c r="Q205" s="572"/>
      <c r="R205" s="552"/>
      <c r="S205" s="552"/>
      <c r="T205" s="511"/>
      <c r="W205" s="549"/>
      <c r="X205" s="440"/>
      <c r="Y205" s="440"/>
      <c r="Z205"/>
      <c r="AA205"/>
      <c r="AB205" s="552"/>
      <c r="AC205" s="552"/>
      <c r="AE205" s="552"/>
      <c r="AF205" s="552"/>
      <c r="AG205" s="552"/>
    </row>
    <row r="206" spans="14:33">
      <c r="N206">
        <v>38000</v>
      </c>
      <c r="O206" s="511" t="s">
        <v>1441</v>
      </c>
      <c r="P206" s="511" t="s">
        <v>1432</v>
      </c>
      <c r="Q206" s="572"/>
      <c r="R206" s="552"/>
      <c r="S206" s="552"/>
      <c r="T206" s="511"/>
      <c r="W206" s="549"/>
      <c r="X206" s="440"/>
      <c r="Y206" s="440"/>
      <c r="Z206"/>
      <c r="AA206"/>
      <c r="AB206" s="552"/>
      <c r="AC206" s="552"/>
      <c r="AE206" s="552"/>
      <c r="AF206" s="552"/>
      <c r="AG206" s="552"/>
    </row>
    <row r="207" spans="14:33">
      <c r="N207">
        <v>38000</v>
      </c>
      <c r="O207" s="511" t="s">
        <v>1442</v>
      </c>
      <c r="P207" s="511" t="s">
        <v>1432</v>
      </c>
      <c r="Q207" s="572"/>
      <c r="R207" s="552"/>
      <c r="S207" s="552"/>
      <c r="T207" s="511"/>
      <c r="W207" s="549"/>
      <c r="X207" s="440"/>
      <c r="Y207" s="440"/>
      <c r="Z207" s="552"/>
      <c r="AA207" s="552"/>
      <c r="AB207" s="552"/>
      <c r="AC207" s="552"/>
      <c r="AE207" s="552"/>
      <c r="AF207" s="552"/>
      <c r="AG207" s="552"/>
    </row>
    <row r="208" spans="14:33">
      <c r="N208">
        <v>38000</v>
      </c>
      <c r="O208" s="511" t="s">
        <v>1443</v>
      </c>
      <c r="P208" s="511" t="s">
        <v>1432</v>
      </c>
      <c r="Q208" s="572"/>
      <c r="R208" s="552"/>
      <c r="S208" s="552"/>
      <c r="T208" s="511"/>
      <c r="W208" s="549"/>
      <c r="X208" s="440"/>
      <c r="Y208" s="440"/>
      <c r="Z208" s="552"/>
      <c r="AA208" s="552"/>
      <c r="AB208" s="552"/>
      <c r="AC208" s="552"/>
      <c r="AE208" s="552"/>
      <c r="AF208" s="552"/>
      <c r="AG208" s="552"/>
    </row>
    <row r="209" spans="11:33">
      <c r="N209">
        <v>38000</v>
      </c>
      <c r="O209" s="511" t="s">
        <v>1444</v>
      </c>
      <c r="P209" s="511" t="s">
        <v>1432</v>
      </c>
      <c r="Q209" s="572"/>
      <c r="R209" s="552"/>
      <c r="S209" s="552"/>
      <c r="T209" s="511"/>
      <c r="W209" s="549"/>
      <c r="X209" s="440"/>
      <c r="Y209" s="440"/>
      <c r="Z209" s="552"/>
      <c r="AA209" s="552"/>
      <c r="AB209" s="552"/>
      <c r="AC209" s="552"/>
      <c r="AE209" s="552"/>
      <c r="AF209" s="552"/>
      <c r="AG209" s="552"/>
    </row>
    <row r="210" spans="11:33">
      <c r="N210">
        <v>38000</v>
      </c>
      <c r="O210" s="511" t="s">
        <v>1445</v>
      </c>
      <c r="P210" s="511" t="s">
        <v>1432</v>
      </c>
      <c r="Q210" s="572"/>
      <c r="R210" s="552"/>
      <c r="S210" s="552"/>
      <c r="T210" s="511"/>
      <c r="W210" s="549"/>
      <c r="X210" s="440"/>
      <c r="Y210" s="440"/>
      <c r="Z210" s="552"/>
      <c r="AA210" s="552"/>
      <c r="AB210" s="552"/>
      <c r="AC210" s="575"/>
      <c r="AE210" s="552"/>
      <c r="AF210" s="552"/>
      <c r="AG210" s="552"/>
    </row>
    <row r="211" spans="11:33">
      <c r="N211">
        <v>38002</v>
      </c>
      <c r="O211" s="511" t="s">
        <v>1446</v>
      </c>
      <c r="P211" s="511" t="s">
        <v>1447</v>
      </c>
      <c r="Q211" s="572"/>
      <c r="R211" s="552"/>
      <c r="S211" s="552"/>
      <c r="T211" s="511"/>
      <c r="W211" s="549"/>
      <c r="X211" s="440"/>
      <c r="Y211" s="440"/>
      <c r="Z211" s="552"/>
      <c r="AA211" s="552"/>
      <c r="AB211" s="552"/>
      <c r="AC211" s="552"/>
      <c r="AE211" s="552"/>
      <c r="AF211" s="552"/>
      <c r="AG211" s="552"/>
    </row>
    <row r="212" spans="11:33">
      <c r="N212">
        <v>38002</v>
      </c>
      <c r="O212" s="511" t="s">
        <v>1448</v>
      </c>
      <c r="P212" s="511" t="s">
        <v>1447</v>
      </c>
      <c r="Q212" s="572"/>
      <c r="R212" s="552"/>
      <c r="S212" s="552"/>
      <c r="T212" s="511"/>
      <c r="W212" s="549"/>
      <c r="X212" s="440"/>
      <c r="Y212" s="440"/>
      <c r="Z212" s="552"/>
      <c r="AA212" s="552"/>
      <c r="AB212" s="552"/>
      <c r="AC212" s="552"/>
      <c r="AE212" s="552"/>
      <c r="AF212" s="552"/>
      <c r="AG212" s="552"/>
    </row>
    <row r="213" spans="11:33">
      <c r="N213">
        <v>38002</v>
      </c>
      <c r="O213" s="511" t="s">
        <v>1449</v>
      </c>
      <c r="P213" s="511" t="s">
        <v>1447</v>
      </c>
      <c r="Q213" s="572"/>
      <c r="R213" s="552"/>
      <c r="S213" s="552"/>
      <c r="T213" s="512"/>
      <c r="W213" s="549"/>
      <c r="X213" s="440"/>
      <c r="Y213" s="440"/>
      <c r="Z213" s="552"/>
      <c r="AA213" s="552"/>
      <c r="AB213" s="552"/>
      <c r="AC213" s="552"/>
      <c r="AE213" s="552"/>
      <c r="AF213" s="552"/>
      <c r="AG213" s="552"/>
    </row>
    <row r="214" spans="11:33">
      <c r="N214" s="440">
        <v>38002</v>
      </c>
      <c r="O214" s="516" t="s">
        <v>1450</v>
      </c>
      <c r="P214" s="516" t="s">
        <v>1447</v>
      </c>
      <c r="Q214" s="572"/>
      <c r="R214" s="552"/>
      <c r="S214" s="552"/>
      <c r="W214" s="549"/>
      <c r="X214" s="440"/>
      <c r="Y214" s="440"/>
      <c r="Z214" s="552"/>
      <c r="AA214" s="552"/>
      <c r="AB214" s="552"/>
      <c r="AC214" s="552"/>
      <c r="AE214" s="552"/>
      <c r="AF214" s="552"/>
      <c r="AG214" s="552"/>
    </row>
    <row r="215" spans="11:33">
      <c r="N215" s="1">
        <v>38002</v>
      </c>
      <c r="O215" s="1" t="s">
        <v>1451</v>
      </c>
      <c r="P215" s="1" t="s">
        <v>1447</v>
      </c>
      <c r="Q215" s="572"/>
      <c r="R215" s="552"/>
      <c r="S215" s="552"/>
      <c r="T215" s="511"/>
      <c r="W215" s="549"/>
      <c r="X215" s="440"/>
      <c r="Y215" s="440"/>
      <c r="Z215" s="552"/>
      <c r="AA215" s="552"/>
      <c r="AB215" s="552"/>
      <c r="AC215" s="575"/>
      <c r="AE215" s="552"/>
      <c r="AF215" s="552"/>
      <c r="AG215" s="552"/>
    </row>
    <row r="216" spans="11:33">
      <c r="N216">
        <v>38002</v>
      </c>
      <c r="O216" s="511" t="s">
        <v>1452</v>
      </c>
      <c r="P216" s="511" t="s">
        <v>1447</v>
      </c>
      <c r="Q216" s="572"/>
      <c r="R216" s="552"/>
      <c r="S216" s="552"/>
      <c r="T216" s="511"/>
      <c r="W216" s="549"/>
      <c r="X216" s="440"/>
      <c r="Y216" s="440"/>
      <c r="Z216" s="552"/>
      <c r="AA216" s="552"/>
      <c r="AB216" s="552"/>
      <c r="AC216" s="552"/>
      <c r="AE216" s="552"/>
      <c r="AF216" s="552"/>
      <c r="AG216" s="552"/>
    </row>
    <row r="217" spans="11:33">
      <c r="N217">
        <v>38002</v>
      </c>
      <c r="O217" s="511" t="s">
        <v>1453</v>
      </c>
      <c r="P217" s="511" t="s">
        <v>1447</v>
      </c>
      <c r="Q217" s="572"/>
      <c r="R217" s="552"/>
      <c r="S217" s="552"/>
      <c r="T217" s="511"/>
      <c r="W217" s="549"/>
      <c r="X217" s="440"/>
      <c r="Y217" s="440"/>
      <c r="Z217" s="552"/>
      <c r="AA217" s="552"/>
      <c r="AB217" s="552"/>
      <c r="AC217" s="552"/>
      <c r="AE217" s="552"/>
      <c r="AF217" s="552"/>
      <c r="AG217" s="552"/>
    </row>
    <row r="218" spans="11:33">
      <c r="N218">
        <v>38002</v>
      </c>
      <c r="O218" s="511" t="s">
        <v>1454</v>
      </c>
      <c r="P218" s="511" t="s">
        <v>1447</v>
      </c>
      <c r="Q218" s="572"/>
      <c r="R218" s="552"/>
      <c r="S218" s="552"/>
      <c r="T218" s="511"/>
      <c r="W218" s="549"/>
      <c r="X218" s="440"/>
      <c r="Y218" s="440"/>
      <c r="Z218" s="552"/>
      <c r="AA218" s="552"/>
      <c r="AB218" s="552"/>
      <c r="AC218" s="552"/>
      <c r="AE218" s="552"/>
      <c r="AF218" s="552"/>
      <c r="AG218" s="552"/>
    </row>
    <row r="219" spans="11:33">
      <c r="K219" s="565"/>
      <c r="N219">
        <v>38002</v>
      </c>
      <c r="O219" s="511" t="s">
        <v>1455</v>
      </c>
      <c r="P219" s="511" t="s">
        <v>1447</v>
      </c>
      <c r="Q219" s="572"/>
      <c r="R219" s="552"/>
      <c r="S219" s="552"/>
      <c r="T219" s="512"/>
      <c r="W219" s="549"/>
      <c r="X219" s="440"/>
      <c r="Y219" s="440"/>
      <c r="Z219" s="552"/>
      <c r="AA219" s="552"/>
      <c r="AB219" s="552"/>
      <c r="AC219" s="552"/>
      <c r="AE219" s="552"/>
      <c r="AF219" s="552"/>
      <c r="AG219" s="552"/>
    </row>
    <row r="220" spans="11:33">
      <c r="N220">
        <v>38002</v>
      </c>
      <c r="O220" s="511" t="s">
        <v>1456</v>
      </c>
      <c r="P220" s="511" t="s">
        <v>1447</v>
      </c>
      <c r="Q220" s="572"/>
      <c r="R220" s="552"/>
      <c r="S220" s="552"/>
      <c r="W220" s="549"/>
      <c r="X220" s="440"/>
      <c r="Y220" s="440"/>
      <c r="Z220" s="552"/>
      <c r="AA220" s="552"/>
      <c r="AB220" s="552"/>
      <c r="AC220" s="552"/>
      <c r="AE220" s="552"/>
      <c r="AF220" s="552"/>
      <c r="AG220" s="552"/>
    </row>
    <row r="221" spans="11:33">
      <c r="N221">
        <v>38002</v>
      </c>
      <c r="O221" s="511" t="s">
        <v>1457</v>
      </c>
      <c r="P221" s="511" t="s">
        <v>1447</v>
      </c>
      <c r="Q221" s="572"/>
      <c r="R221" s="552"/>
      <c r="S221" s="552"/>
      <c r="T221" s="511"/>
      <c r="W221" s="549"/>
      <c r="X221" s="440"/>
      <c r="Y221" s="440"/>
      <c r="Z221" s="552"/>
      <c r="AA221" s="552"/>
      <c r="AB221" s="552"/>
      <c r="AC221" s="552"/>
      <c r="AE221" s="552"/>
      <c r="AF221" s="552"/>
      <c r="AG221" s="552"/>
    </row>
    <row r="222" spans="11:33">
      <c r="N222">
        <v>38002</v>
      </c>
      <c r="O222" s="511" t="s">
        <v>1458</v>
      </c>
      <c r="P222" s="511" t="s">
        <v>1447</v>
      </c>
      <c r="Q222" s="572"/>
      <c r="R222" s="552"/>
      <c r="S222" s="552"/>
      <c r="T222" s="511"/>
      <c r="W222" s="549"/>
      <c r="X222" s="440"/>
      <c r="Y222" s="440"/>
      <c r="Z222" s="552"/>
      <c r="AA222" s="552"/>
      <c r="AB222" s="552"/>
      <c r="AC222" s="552"/>
      <c r="AE222" s="552"/>
      <c r="AF222" s="552"/>
      <c r="AG222" s="552"/>
    </row>
    <row r="223" spans="11:33">
      <c r="N223">
        <v>38002</v>
      </c>
      <c r="O223" s="511" t="s">
        <v>1459</v>
      </c>
      <c r="P223" s="511" t="s">
        <v>1447</v>
      </c>
      <c r="Q223" s="572"/>
      <c r="R223" s="552"/>
      <c r="S223" s="552"/>
      <c r="T223" s="511"/>
      <c r="W223" s="549"/>
      <c r="X223" s="440"/>
      <c r="Y223" s="440"/>
      <c r="Z223" s="552"/>
      <c r="AA223" s="552"/>
      <c r="AB223" s="552"/>
      <c r="AC223" s="552"/>
      <c r="AE223" s="552"/>
      <c r="AF223" s="552"/>
      <c r="AG223" s="552"/>
    </row>
    <row r="224" spans="11:33">
      <c r="N224">
        <v>38002</v>
      </c>
      <c r="O224" s="511" t="s">
        <v>1460</v>
      </c>
      <c r="P224" s="511" t="s">
        <v>1447</v>
      </c>
      <c r="Q224" s="572"/>
      <c r="R224" s="552"/>
      <c r="S224" s="552"/>
      <c r="T224" s="511"/>
      <c r="W224" s="549"/>
      <c r="X224" s="440"/>
      <c r="Y224" s="440"/>
      <c r="Z224" s="552"/>
      <c r="AA224" s="552"/>
      <c r="AB224" s="552"/>
      <c r="AC224" s="552"/>
      <c r="AE224" s="552"/>
      <c r="AF224" s="552"/>
      <c r="AG224" s="552"/>
    </row>
    <row r="225" spans="14:33">
      <c r="N225" s="441">
        <v>380</v>
      </c>
      <c r="O225" s="512"/>
      <c r="P225" s="512"/>
      <c r="Q225" s="575">
        <f>Y26+Y27</f>
        <v>660651858.1487987</v>
      </c>
      <c r="R225" s="575">
        <f t="shared" ref="R225:S225" si="19">Z26+Z27</f>
        <v>-254428065.32415855</v>
      </c>
      <c r="S225" s="575">
        <f t="shared" si="19"/>
        <v>406223792.82464021</v>
      </c>
      <c r="T225" s="511"/>
      <c r="W225" s="549"/>
      <c r="X225" s="440"/>
      <c r="Y225" s="440"/>
      <c r="Z225" s="552"/>
      <c r="AA225" s="552"/>
      <c r="AB225" s="552"/>
      <c r="AC225" s="552"/>
      <c r="AE225" s="552"/>
      <c r="AF225" s="552"/>
      <c r="AG225" s="552"/>
    </row>
    <row r="226" spans="14:33">
      <c r="N226"/>
      <c r="O226" s="511"/>
      <c r="P226" s="511"/>
      <c r="Q226" s="552"/>
      <c r="R226" s="572"/>
      <c r="S226" s="552"/>
      <c r="T226" s="511"/>
      <c r="W226" s="549"/>
      <c r="X226" s="440"/>
      <c r="Y226" s="440"/>
      <c r="Z226" s="552"/>
      <c r="AA226" s="552"/>
      <c r="AB226" s="552"/>
      <c r="AC226" s="552"/>
      <c r="AE226" s="552"/>
      <c r="AF226" s="552"/>
      <c r="AG226" s="552"/>
    </row>
    <row r="227" spans="14:33">
      <c r="N227">
        <v>38100</v>
      </c>
      <c r="O227" s="511" t="s">
        <v>1461</v>
      </c>
      <c r="P227" s="511" t="s">
        <v>1462</v>
      </c>
      <c r="Q227" s="572"/>
      <c r="R227" s="552"/>
      <c r="S227" s="552"/>
      <c r="T227" s="511"/>
      <c r="W227" s="549"/>
      <c r="X227" s="440"/>
      <c r="Y227" s="440"/>
      <c r="Z227" s="552"/>
      <c r="AA227" s="552"/>
      <c r="AB227" s="552"/>
      <c r="AC227" s="552"/>
      <c r="AE227" s="552"/>
      <c r="AF227" s="552"/>
      <c r="AG227" s="552"/>
    </row>
    <row r="228" spans="14:33">
      <c r="N228">
        <v>38100</v>
      </c>
      <c r="O228" s="511" t="s">
        <v>1463</v>
      </c>
      <c r="P228" s="511" t="s">
        <v>1462</v>
      </c>
      <c r="Q228" s="572"/>
      <c r="R228" s="552"/>
      <c r="S228" s="552"/>
      <c r="T228" s="511"/>
      <c r="W228" s="549"/>
      <c r="X228" s="440"/>
      <c r="Y228" s="440"/>
      <c r="Z228" s="564"/>
      <c r="AA228" s="564"/>
      <c r="AB228" s="564"/>
      <c r="AC228" s="552"/>
      <c r="AE228" s="552"/>
      <c r="AF228" s="552"/>
      <c r="AG228" s="552"/>
    </row>
    <row r="229" spans="14:33">
      <c r="N229">
        <v>38100</v>
      </c>
      <c r="O229" s="511" t="s">
        <v>1464</v>
      </c>
      <c r="P229" s="511" t="s">
        <v>1462</v>
      </c>
      <c r="Q229" s="572"/>
      <c r="R229" s="552"/>
      <c r="S229" s="552"/>
      <c r="T229" s="511"/>
      <c r="W229" s="549"/>
      <c r="X229" s="440"/>
      <c r="Y229" s="440"/>
      <c r="Z229" s="552"/>
      <c r="AA229" s="552"/>
      <c r="AB229" s="552"/>
      <c r="AC229" s="552"/>
      <c r="AE229" s="552"/>
      <c r="AF229" s="552"/>
      <c r="AG229" s="552"/>
    </row>
    <row r="230" spans="14:33">
      <c r="N230">
        <v>38100</v>
      </c>
      <c r="O230" s="511" t="s">
        <v>1465</v>
      </c>
      <c r="P230" s="511" t="s">
        <v>1462</v>
      </c>
      <c r="Q230" s="572"/>
      <c r="R230" s="552"/>
      <c r="S230" s="552"/>
      <c r="T230" s="511"/>
      <c r="W230" s="549"/>
      <c r="X230" s="440"/>
      <c r="Y230" s="440"/>
      <c r="Z230" s="552"/>
      <c r="AA230" s="552"/>
      <c r="AB230" s="552"/>
      <c r="AC230" s="575"/>
      <c r="AE230" s="552"/>
      <c r="AF230" s="552"/>
      <c r="AG230" s="552"/>
    </row>
    <row r="231" spans="14:33">
      <c r="N231" s="441">
        <v>381</v>
      </c>
      <c r="O231" s="512"/>
      <c r="P231" s="512"/>
      <c r="Q231" s="575">
        <f>Y28</f>
        <v>99373636.144800037</v>
      </c>
      <c r="R231" s="575">
        <f t="shared" ref="R231:S231" si="20">Z28</f>
        <v>-41918299.232456945</v>
      </c>
      <c r="S231" s="575">
        <f t="shared" si="20"/>
        <v>57455336.912343092</v>
      </c>
      <c r="T231" s="511"/>
      <c r="W231" s="549"/>
      <c r="X231" s="440"/>
      <c r="Y231" s="440"/>
      <c r="Z231" s="552"/>
      <c r="AA231" s="552"/>
      <c r="AB231" s="552"/>
      <c r="AC231" s="552"/>
      <c r="AE231" s="552"/>
      <c r="AF231" s="552"/>
      <c r="AG231" s="552"/>
    </row>
    <row r="232" spans="14:33">
      <c r="N232"/>
      <c r="O232" s="511"/>
      <c r="P232" s="511"/>
      <c r="Q232" s="552"/>
      <c r="R232" s="572"/>
      <c r="S232" s="552"/>
      <c r="T232" s="511"/>
      <c r="W232" s="549"/>
      <c r="X232" s="440"/>
      <c r="Y232" s="440"/>
      <c r="Z232" s="552"/>
      <c r="AA232" s="552"/>
      <c r="AB232" s="552"/>
      <c r="AC232" s="552"/>
      <c r="AE232" s="552"/>
      <c r="AF232" s="552"/>
      <c r="AG232" s="552"/>
    </row>
    <row r="233" spans="14:33">
      <c r="N233">
        <v>38200</v>
      </c>
      <c r="O233" s="511" t="s">
        <v>1466</v>
      </c>
      <c r="P233" s="511" t="s">
        <v>1467</v>
      </c>
      <c r="Q233" s="572"/>
      <c r="R233" s="552"/>
      <c r="S233" s="552"/>
      <c r="T233" s="511"/>
      <c r="W233" s="549"/>
      <c r="X233" s="440"/>
      <c r="Y233" s="440"/>
      <c r="Z233" s="552"/>
      <c r="AA233" s="552"/>
      <c r="AB233" s="552"/>
      <c r="AC233" s="552"/>
      <c r="AE233" s="552"/>
      <c r="AF233" s="552"/>
      <c r="AG233" s="552"/>
    </row>
    <row r="234" spans="14:33">
      <c r="N234">
        <v>38200</v>
      </c>
      <c r="O234" s="511" t="s">
        <v>1468</v>
      </c>
      <c r="P234" s="511" t="s">
        <v>1467</v>
      </c>
      <c r="Q234" s="572"/>
      <c r="R234" s="552"/>
      <c r="S234" s="552"/>
      <c r="T234" s="511"/>
      <c r="W234" s="549"/>
      <c r="X234" s="440"/>
      <c r="Y234" s="440"/>
      <c r="Z234" s="564"/>
      <c r="AA234" s="564"/>
      <c r="AB234" s="564"/>
      <c r="AC234" s="552"/>
      <c r="AE234" s="552"/>
      <c r="AF234" s="552"/>
      <c r="AG234" s="552"/>
    </row>
    <row r="235" spans="14:33">
      <c r="N235">
        <v>38200</v>
      </c>
      <c r="O235" s="511" t="s">
        <v>1469</v>
      </c>
      <c r="P235" s="511" t="s">
        <v>1467</v>
      </c>
      <c r="Q235" s="572"/>
      <c r="R235" s="552"/>
      <c r="S235" s="552"/>
      <c r="T235" s="512"/>
      <c r="W235" s="549"/>
      <c r="X235" s="440"/>
      <c r="Y235" s="440"/>
      <c r="Z235" s="552"/>
      <c r="AA235" s="552"/>
      <c r="AB235" s="552"/>
      <c r="AC235" s="552"/>
      <c r="AE235" s="552"/>
      <c r="AF235" s="552"/>
      <c r="AG235" s="552"/>
    </row>
    <row r="236" spans="14:33">
      <c r="N236">
        <v>38200</v>
      </c>
      <c r="O236" s="511" t="s">
        <v>1470</v>
      </c>
      <c r="P236" s="511" t="s">
        <v>1467</v>
      </c>
      <c r="Q236" s="572"/>
      <c r="R236" s="552"/>
      <c r="S236" s="552"/>
      <c r="W236" s="549"/>
      <c r="X236" s="440"/>
      <c r="Y236" s="440"/>
      <c r="Z236" s="552"/>
      <c r="AA236" s="552"/>
      <c r="AB236" s="552"/>
      <c r="AC236" s="552"/>
      <c r="AE236" s="552"/>
      <c r="AF236" s="552"/>
      <c r="AG236" s="552"/>
    </row>
    <row r="237" spans="14:33">
      <c r="N237">
        <v>38200</v>
      </c>
      <c r="O237" s="511" t="s">
        <v>1471</v>
      </c>
      <c r="P237" s="511" t="s">
        <v>1467</v>
      </c>
      <c r="Q237" s="572"/>
      <c r="R237" s="552"/>
      <c r="S237" s="552"/>
      <c r="T237" s="511"/>
      <c r="W237" s="549"/>
      <c r="X237" s="440"/>
      <c r="Y237" s="440"/>
      <c r="Z237" s="552"/>
      <c r="AA237" s="552"/>
      <c r="AB237" s="552"/>
      <c r="AC237" s="552"/>
      <c r="AE237" s="552"/>
      <c r="AF237" s="552"/>
      <c r="AG237" s="552"/>
    </row>
    <row r="238" spans="14:33">
      <c r="N238">
        <v>38200</v>
      </c>
      <c r="O238" s="511" t="s">
        <v>1472</v>
      </c>
      <c r="P238" s="511" t="s">
        <v>1467</v>
      </c>
      <c r="Q238" s="572"/>
      <c r="R238" s="552"/>
      <c r="S238" s="552"/>
      <c r="T238" s="511"/>
      <c r="W238" s="549"/>
      <c r="X238" s="440"/>
      <c r="Y238" s="440"/>
      <c r="Z238" s="552"/>
      <c r="AA238" s="552"/>
      <c r="AB238" s="552"/>
      <c r="AC238" s="552"/>
      <c r="AE238" s="552"/>
      <c r="AF238" s="552"/>
      <c r="AG238" s="552"/>
    </row>
    <row r="239" spans="14:33">
      <c r="N239">
        <v>38200</v>
      </c>
      <c r="O239" s="511" t="s">
        <v>1473</v>
      </c>
      <c r="P239" s="511" t="s">
        <v>1467</v>
      </c>
      <c r="Q239" s="572"/>
      <c r="R239" s="552"/>
      <c r="S239" s="552"/>
      <c r="T239" s="511"/>
      <c r="W239" s="549"/>
      <c r="X239" s="440"/>
      <c r="Y239" s="440"/>
      <c r="Z239" s="552"/>
      <c r="AA239" s="552"/>
      <c r="AB239" s="552"/>
      <c r="AC239" s="552"/>
      <c r="AE239" s="552"/>
      <c r="AF239" s="552"/>
      <c r="AG239" s="552"/>
    </row>
    <row r="240" spans="14:33">
      <c r="N240">
        <v>38200</v>
      </c>
      <c r="O240" s="511" t="s">
        <v>1474</v>
      </c>
      <c r="P240" s="511" t="s">
        <v>1467</v>
      </c>
      <c r="Q240" s="572"/>
      <c r="R240" s="552"/>
      <c r="S240" s="552"/>
      <c r="T240" s="511"/>
      <c r="W240" s="549"/>
      <c r="X240" s="440"/>
      <c r="Y240" s="440"/>
      <c r="Z240" s="552"/>
      <c r="AA240" s="552"/>
      <c r="AB240" s="552"/>
      <c r="AC240" s="552"/>
      <c r="AE240" s="552"/>
      <c r="AF240" s="552"/>
      <c r="AG240" s="552"/>
    </row>
    <row r="241" spans="14:33">
      <c r="N241">
        <v>38200</v>
      </c>
      <c r="O241" s="511" t="s">
        <v>1475</v>
      </c>
      <c r="P241" s="511" t="s">
        <v>1467</v>
      </c>
      <c r="Q241" s="572"/>
      <c r="R241" s="552"/>
      <c r="S241" s="552"/>
      <c r="T241" s="511"/>
      <c r="W241" s="549"/>
      <c r="X241" s="440"/>
      <c r="Y241" s="440"/>
      <c r="Z241" s="552"/>
      <c r="AA241" s="552"/>
      <c r="AB241" s="552"/>
      <c r="AC241" s="552"/>
      <c r="AE241" s="552"/>
      <c r="AF241" s="552"/>
      <c r="AG241" s="552"/>
    </row>
    <row r="242" spans="14:33">
      <c r="N242">
        <v>38200</v>
      </c>
      <c r="O242" s="511" t="s">
        <v>1476</v>
      </c>
      <c r="P242" s="511" t="s">
        <v>1467</v>
      </c>
      <c r="Q242" s="572"/>
      <c r="R242" s="552"/>
      <c r="S242" s="552"/>
      <c r="T242" s="511"/>
      <c r="W242" s="549"/>
      <c r="X242" s="440"/>
      <c r="Y242" s="440"/>
      <c r="Z242" s="552"/>
      <c r="AA242" s="552"/>
      <c r="AB242" s="552"/>
      <c r="AC242" s="552"/>
      <c r="AE242" s="552"/>
      <c r="AF242" s="552"/>
      <c r="AG242" s="552"/>
    </row>
    <row r="243" spans="14:33">
      <c r="N243">
        <v>38200</v>
      </c>
      <c r="O243" s="511" t="s">
        <v>1477</v>
      </c>
      <c r="P243" s="511" t="s">
        <v>1467</v>
      </c>
      <c r="Q243" s="572"/>
      <c r="R243" s="552"/>
      <c r="S243" s="552"/>
      <c r="T243" s="511"/>
      <c r="W243" s="549"/>
      <c r="X243" s="440"/>
      <c r="Y243" s="440"/>
      <c r="Z243" s="552"/>
      <c r="AA243" s="552"/>
      <c r="AB243" s="552"/>
      <c r="AC243" s="552"/>
      <c r="AE243" s="552"/>
      <c r="AF243" s="552"/>
      <c r="AG243" s="552"/>
    </row>
    <row r="244" spans="14:33">
      <c r="N244">
        <v>38200</v>
      </c>
      <c r="O244" s="511" t="s">
        <v>1478</v>
      </c>
      <c r="P244" s="511" t="s">
        <v>1467</v>
      </c>
      <c r="Q244" s="572"/>
      <c r="R244" s="552"/>
      <c r="S244" s="552"/>
      <c r="T244" s="511"/>
      <c r="W244" s="549"/>
      <c r="X244" s="440"/>
      <c r="Y244" s="440"/>
      <c r="Z244" s="552"/>
      <c r="AA244" s="552"/>
      <c r="AB244" s="552"/>
      <c r="AC244" s="552"/>
      <c r="AE244" s="552"/>
      <c r="AF244" s="552"/>
      <c r="AG244" s="552"/>
    </row>
    <row r="245" spans="14:33">
      <c r="N245">
        <v>38200</v>
      </c>
      <c r="O245" s="511" t="s">
        <v>1479</v>
      </c>
      <c r="P245" s="511" t="s">
        <v>1467</v>
      </c>
      <c r="Q245" s="572"/>
      <c r="R245" s="552"/>
      <c r="S245" s="552"/>
      <c r="T245" s="511"/>
      <c r="W245" s="549"/>
      <c r="X245" s="440"/>
      <c r="Y245" s="440"/>
      <c r="Z245" s="552"/>
      <c r="AA245" s="552"/>
      <c r="AB245" s="552"/>
      <c r="AC245" s="552"/>
      <c r="AE245" s="552"/>
      <c r="AF245" s="552"/>
      <c r="AG245" s="552"/>
    </row>
    <row r="246" spans="14:33">
      <c r="N246">
        <v>38200</v>
      </c>
      <c r="O246" s="511" t="s">
        <v>1480</v>
      </c>
      <c r="P246" s="511" t="s">
        <v>1467</v>
      </c>
      <c r="Q246" s="572"/>
      <c r="R246" s="552"/>
      <c r="S246" s="552"/>
      <c r="T246" s="511"/>
      <c r="W246" s="549"/>
      <c r="X246" s="440"/>
      <c r="Y246" s="440"/>
      <c r="Z246" s="552"/>
      <c r="AA246" s="552"/>
      <c r="AB246" s="552"/>
      <c r="AC246" s="575"/>
      <c r="AE246" s="552"/>
      <c r="AF246" s="552"/>
      <c r="AG246" s="552"/>
    </row>
    <row r="247" spans="14:33">
      <c r="N247" s="441">
        <v>382</v>
      </c>
      <c r="O247" s="512"/>
      <c r="P247" s="512"/>
      <c r="Q247" s="575">
        <f>Y29</f>
        <v>103939507.0885774</v>
      </c>
      <c r="R247" s="575">
        <f t="shared" ref="R247:S247" si="21">Z29</f>
        <v>-38027889.649522685</v>
      </c>
      <c r="S247" s="575">
        <f t="shared" si="21"/>
        <v>65911617.43905472</v>
      </c>
      <c r="T247" s="511"/>
      <c r="W247" s="549"/>
      <c r="X247" s="440"/>
      <c r="Y247" s="440"/>
      <c r="Z247" s="552"/>
      <c r="AA247" s="552"/>
      <c r="AB247" s="552"/>
      <c r="AC247" s="552"/>
      <c r="AE247" s="552"/>
      <c r="AF247" s="552"/>
      <c r="AG247" s="552"/>
    </row>
    <row r="248" spans="14:33">
      <c r="N248"/>
      <c r="O248" s="511"/>
      <c r="P248" s="511"/>
      <c r="Q248" s="552"/>
      <c r="R248" s="572"/>
      <c r="S248" s="552"/>
      <c r="T248" s="511"/>
      <c r="W248" s="549"/>
      <c r="X248" s="440"/>
      <c r="Y248" s="440"/>
      <c r="Z248" s="552"/>
      <c r="AA248" s="552"/>
      <c r="AB248" s="552"/>
      <c r="AC248" s="552"/>
      <c r="AE248" s="552"/>
      <c r="AF248" s="552"/>
      <c r="AG248" s="552"/>
    </row>
    <row r="249" spans="14:33">
      <c r="N249">
        <v>38300</v>
      </c>
      <c r="O249" s="511" t="s">
        <v>1481</v>
      </c>
      <c r="P249" s="511" t="s">
        <v>1482</v>
      </c>
      <c r="Q249" s="572"/>
      <c r="R249" s="552"/>
      <c r="S249" s="552"/>
      <c r="T249" s="511"/>
      <c r="W249" s="549"/>
      <c r="X249" s="440"/>
      <c r="Y249" s="440"/>
      <c r="Z249" s="552"/>
      <c r="AA249" s="552"/>
      <c r="AB249" s="552"/>
      <c r="AC249" s="552"/>
      <c r="AE249" s="552"/>
      <c r="AF249" s="552"/>
      <c r="AG249" s="552"/>
    </row>
    <row r="250" spans="14:33">
      <c r="N250" s="440">
        <v>38300</v>
      </c>
      <c r="O250" s="516" t="s">
        <v>1483</v>
      </c>
      <c r="P250" s="516" t="s">
        <v>1482</v>
      </c>
      <c r="Q250" s="572"/>
      <c r="R250" s="552"/>
      <c r="S250" s="552"/>
      <c r="T250" s="511"/>
      <c r="W250" s="549"/>
      <c r="X250" s="440"/>
      <c r="Y250" s="440"/>
      <c r="Z250" s="564"/>
      <c r="AA250" s="564"/>
      <c r="AB250" s="564"/>
      <c r="AC250" s="552"/>
      <c r="AE250" s="552"/>
      <c r="AF250" s="552"/>
      <c r="AG250" s="552"/>
    </row>
    <row r="251" spans="14:33">
      <c r="N251" s="1">
        <v>38300</v>
      </c>
      <c r="O251" s="1" t="s">
        <v>1484</v>
      </c>
      <c r="P251" s="1" t="s">
        <v>1482</v>
      </c>
      <c r="Q251" s="572"/>
      <c r="R251" s="552"/>
      <c r="S251" s="552"/>
      <c r="T251" s="511"/>
      <c r="W251" s="549"/>
      <c r="X251" s="440"/>
      <c r="Y251" s="440"/>
      <c r="Z251" s="552"/>
      <c r="AA251" s="552"/>
      <c r="AB251" s="552"/>
      <c r="AC251" s="552"/>
      <c r="AE251" s="552"/>
      <c r="AF251" s="552"/>
      <c r="AG251" s="552"/>
    </row>
    <row r="252" spans="14:33">
      <c r="N252">
        <v>38300</v>
      </c>
      <c r="O252" s="511" t="s">
        <v>1485</v>
      </c>
      <c r="P252" s="511" t="s">
        <v>1482</v>
      </c>
      <c r="Q252" s="572"/>
      <c r="R252" s="552"/>
      <c r="S252" s="552"/>
      <c r="T252" s="512"/>
      <c r="W252" s="549"/>
      <c r="X252" s="440"/>
      <c r="Y252" s="440"/>
      <c r="Z252" s="552"/>
      <c r="AA252" s="552"/>
      <c r="AB252" s="552"/>
      <c r="AC252" s="552"/>
      <c r="AE252" s="552"/>
      <c r="AF252" s="552"/>
      <c r="AG252" s="552"/>
    </row>
    <row r="253" spans="14:33">
      <c r="N253">
        <v>38300</v>
      </c>
      <c r="O253" s="511" t="s">
        <v>1486</v>
      </c>
      <c r="P253" s="511" t="s">
        <v>1482</v>
      </c>
      <c r="Q253" s="572"/>
      <c r="R253" s="552"/>
      <c r="S253" s="552"/>
      <c r="W253" s="549"/>
      <c r="X253" s="440"/>
      <c r="Y253" s="440"/>
      <c r="Z253" s="552"/>
      <c r="AA253" s="552"/>
      <c r="AB253" s="552"/>
      <c r="AC253" s="552"/>
      <c r="AE253" s="552"/>
      <c r="AF253" s="552"/>
      <c r="AG253" s="552"/>
    </row>
    <row r="254" spans="14:33">
      <c r="N254">
        <v>38300</v>
      </c>
      <c r="O254" s="511" t="s">
        <v>1487</v>
      </c>
      <c r="P254" s="511" t="s">
        <v>1482</v>
      </c>
      <c r="Q254" s="572"/>
      <c r="R254" s="552"/>
      <c r="S254" s="552"/>
      <c r="T254" s="511"/>
      <c r="W254" s="549"/>
      <c r="X254" s="440"/>
      <c r="Y254" s="440"/>
      <c r="Z254" s="552"/>
      <c r="AA254" s="552"/>
      <c r="AB254" s="552"/>
      <c r="AC254" s="552"/>
      <c r="AE254" s="552"/>
      <c r="AF254" s="552"/>
      <c r="AG254" s="552"/>
    </row>
    <row r="255" spans="14:33">
      <c r="N255">
        <v>38300</v>
      </c>
      <c r="O255" s="511" t="s">
        <v>1488</v>
      </c>
      <c r="P255" s="511" t="s">
        <v>1482</v>
      </c>
      <c r="Q255" s="572"/>
      <c r="R255" s="552"/>
      <c r="S255" s="552"/>
      <c r="T255" s="511"/>
      <c r="W255" s="549"/>
      <c r="X255" s="440"/>
      <c r="Y255" s="440"/>
      <c r="Z255" s="552"/>
      <c r="AA255" s="552"/>
      <c r="AB255" s="552"/>
      <c r="AC255" s="552"/>
      <c r="AE255" s="552"/>
      <c r="AF255" s="552"/>
      <c r="AG255" s="552"/>
    </row>
    <row r="256" spans="14:33">
      <c r="N256" s="440">
        <v>38300</v>
      </c>
      <c r="O256" s="516" t="s">
        <v>1489</v>
      </c>
      <c r="P256" s="516" t="s">
        <v>1482</v>
      </c>
      <c r="Q256" s="572"/>
      <c r="R256" s="552"/>
      <c r="S256" s="552"/>
      <c r="T256" s="511"/>
      <c r="W256" s="549"/>
      <c r="X256" s="440"/>
      <c r="Y256" s="440"/>
      <c r="Z256" s="552"/>
      <c r="AA256" s="552"/>
      <c r="AB256" s="552"/>
      <c r="AC256" s="552"/>
      <c r="AE256" s="552"/>
      <c r="AF256" s="552"/>
      <c r="AG256" s="552"/>
    </row>
    <row r="257" spans="14:33">
      <c r="N257" s="1">
        <v>38300</v>
      </c>
      <c r="O257" s="1" t="s">
        <v>1490</v>
      </c>
      <c r="P257" s="1" t="s">
        <v>1482</v>
      </c>
      <c r="Q257" s="572"/>
      <c r="R257" s="552"/>
      <c r="S257" s="552"/>
      <c r="T257" s="511"/>
      <c r="W257" s="549"/>
      <c r="X257" s="440"/>
      <c r="Y257" s="440"/>
      <c r="Z257" s="552"/>
      <c r="AA257" s="552"/>
      <c r="AB257" s="552"/>
      <c r="AC257" s="552"/>
      <c r="AE257" s="552"/>
      <c r="AF257" s="552"/>
      <c r="AG257" s="552"/>
    </row>
    <row r="258" spans="14:33">
      <c r="N258">
        <v>38300</v>
      </c>
      <c r="O258" s="511" t="s">
        <v>1491</v>
      </c>
      <c r="P258" s="511" t="s">
        <v>1482</v>
      </c>
      <c r="Q258" s="572"/>
      <c r="R258" s="552"/>
      <c r="S258" s="552"/>
      <c r="T258" s="511"/>
      <c r="W258" s="549"/>
      <c r="X258" s="440"/>
      <c r="Y258" s="440"/>
      <c r="Z258" s="552"/>
      <c r="AA258" s="552"/>
      <c r="AB258" s="552"/>
      <c r="AC258" s="552"/>
      <c r="AE258" s="552"/>
      <c r="AF258" s="552"/>
      <c r="AG258" s="552"/>
    </row>
    <row r="259" spans="14:33">
      <c r="N259">
        <v>38300</v>
      </c>
      <c r="O259" s="511" t="s">
        <v>1492</v>
      </c>
      <c r="P259" s="511" t="s">
        <v>1482</v>
      </c>
      <c r="Q259" s="572"/>
      <c r="R259" s="552"/>
      <c r="S259" s="552"/>
      <c r="T259" s="511"/>
      <c r="W259" s="549"/>
      <c r="X259" s="440"/>
      <c r="Y259" s="440"/>
      <c r="Z259" s="552"/>
      <c r="AA259" s="552"/>
      <c r="AB259" s="552"/>
      <c r="AC259" s="552"/>
      <c r="AE259" s="552"/>
      <c r="AF259" s="552"/>
      <c r="AG259" s="552"/>
    </row>
    <row r="260" spans="14:33">
      <c r="N260">
        <v>38300</v>
      </c>
      <c r="O260" s="511" t="s">
        <v>1493</v>
      </c>
      <c r="P260" s="511" t="s">
        <v>1482</v>
      </c>
      <c r="Q260" s="572"/>
      <c r="R260" s="552"/>
      <c r="S260" s="552"/>
      <c r="T260" s="511"/>
      <c r="W260" s="549"/>
      <c r="X260" s="440"/>
      <c r="Y260" s="440"/>
      <c r="Z260" s="552"/>
      <c r="AA260" s="552"/>
      <c r="AB260" s="552"/>
      <c r="AC260" s="552"/>
      <c r="AE260" s="552"/>
      <c r="AF260" s="552"/>
      <c r="AG260" s="552"/>
    </row>
    <row r="261" spans="14:33">
      <c r="N261">
        <v>38300</v>
      </c>
      <c r="O261" s="511" t="s">
        <v>1494</v>
      </c>
      <c r="P261" s="511" t="s">
        <v>1482</v>
      </c>
      <c r="Q261" s="572"/>
      <c r="R261" s="552"/>
      <c r="S261" s="552"/>
      <c r="T261" s="511"/>
      <c r="W261" s="549"/>
      <c r="X261" s="440"/>
      <c r="Y261" s="440"/>
      <c r="Z261" s="552"/>
      <c r="AA261" s="552"/>
      <c r="AB261" s="552"/>
      <c r="AC261" s="575"/>
      <c r="AE261" s="552"/>
      <c r="AF261" s="552"/>
      <c r="AG261" s="552"/>
    </row>
    <row r="262" spans="14:33">
      <c r="N262">
        <v>38300</v>
      </c>
      <c r="O262" s="511" t="s">
        <v>1495</v>
      </c>
      <c r="P262" s="511" t="s">
        <v>1482</v>
      </c>
      <c r="Q262" s="572"/>
      <c r="R262" s="552"/>
      <c r="S262" s="552"/>
      <c r="T262" s="511"/>
      <c r="W262" s="549"/>
      <c r="X262" s="440"/>
      <c r="Y262" s="440"/>
      <c r="Z262" s="552"/>
      <c r="AA262" s="552"/>
      <c r="AB262" s="552"/>
      <c r="AC262" s="552"/>
      <c r="AE262" s="552"/>
      <c r="AF262" s="552"/>
      <c r="AG262" s="552"/>
    </row>
    <row r="263" spans="14:33">
      <c r="N263">
        <v>38300</v>
      </c>
      <c r="O263" s="511" t="s">
        <v>1496</v>
      </c>
      <c r="P263" s="511" t="s">
        <v>1482</v>
      </c>
      <c r="Q263" s="572"/>
      <c r="R263" s="552"/>
      <c r="S263" s="552"/>
      <c r="T263" s="511"/>
      <c r="W263" s="549"/>
      <c r="X263" s="440"/>
      <c r="Y263" s="440"/>
      <c r="Z263" s="552"/>
      <c r="AA263" s="552"/>
      <c r="AB263" s="552"/>
      <c r="AC263" s="552"/>
      <c r="AE263" s="552"/>
      <c r="AF263" s="552"/>
      <c r="AG263" s="552"/>
    </row>
    <row r="264" spans="14:33">
      <c r="N264" s="441">
        <v>383</v>
      </c>
      <c r="O264" s="512"/>
      <c r="P264" s="512"/>
      <c r="Q264" s="552">
        <f>Y30</f>
        <v>20651167.042800009</v>
      </c>
      <c r="R264" s="552">
        <f t="shared" ref="R264:S264" si="22">Z30</f>
        <v>-9378152.9004250634</v>
      </c>
      <c r="S264" s="552">
        <f t="shared" si="22"/>
        <v>11273014.142374946</v>
      </c>
      <c r="T264" s="511"/>
      <c r="W264" s="549"/>
      <c r="X264" s="440"/>
      <c r="Y264" s="440"/>
      <c r="Z264" s="552"/>
      <c r="AA264" s="552"/>
      <c r="AB264" s="552"/>
      <c r="AC264" s="552"/>
      <c r="AE264" s="552"/>
      <c r="AF264" s="552"/>
      <c r="AG264" s="552"/>
    </row>
    <row r="265" spans="14:33">
      <c r="N265"/>
      <c r="O265" s="511"/>
      <c r="P265" s="511"/>
      <c r="Q265" s="552"/>
      <c r="R265" s="572"/>
      <c r="S265" s="552"/>
      <c r="T265" s="511"/>
      <c r="W265" s="549"/>
      <c r="X265" s="440"/>
      <c r="Y265" s="440"/>
      <c r="Z265" s="552"/>
      <c r="AA265" s="552"/>
      <c r="AB265" s="552"/>
      <c r="AC265" s="552"/>
      <c r="AE265" s="552"/>
      <c r="AF265" s="552"/>
      <c r="AG265" s="552"/>
    </row>
    <row r="266" spans="14:33">
      <c r="N266">
        <v>38400</v>
      </c>
      <c r="O266" s="511" t="s">
        <v>1497</v>
      </c>
      <c r="P266" s="511" t="s">
        <v>1498</v>
      </c>
      <c r="Q266" s="572"/>
      <c r="R266" s="552"/>
      <c r="S266" s="552"/>
      <c r="T266" s="511"/>
      <c r="W266" s="549"/>
      <c r="X266" s="440"/>
      <c r="Y266" s="440"/>
      <c r="Z266" s="552"/>
      <c r="AA266" s="552"/>
      <c r="AB266" s="552"/>
      <c r="AC266" s="552"/>
      <c r="AE266" s="552"/>
      <c r="AF266" s="552"/>
      <c r="AG266" s="552"/>
    </row>
    <row r="267" spans="14:33">
      <c r="N267">
        <v>38400</v>
      </c>
      <c r="O267" s="511" t="s">
        <v>1499</v>
      </c>
      <c r="P267" s="511" t="s">
        <v>1498</v>
      </c>
      <c r="Q267" s="572"/>
      <c r="R267" s="552"/>
      <c r="S267" s="552"/>
      <c r="T267" s="511"/>
      <c r="W267" s="549"/>
      <c r="X267" s="440"/>
      <c r="Y267" s="440"/>
      <c r="Z267" s="564"/>
      <c r="AA267" s="564"/>
      <c r="AB267" s="564"/>
      <c r="AC267" s="552"/>
      <c r="AE267" s="552"/>
      <c r="AF267" s="552"/>
      <c r="AG267" s="552"/>
    </row>
    <row r="268" spans="14:33">
      <c r="N268">
        <v>38400</v>
      </c>
      <c r="O268" s="511" t="s">
        <v>1500</v>
      </c>
      <c r="P268" s="511" t="s">
        <v>1498</v>
      </c>
      <c r="Q268" s="572"/>
      <c r="R268" s="552"/>
      <c r="S268" s="552"/>
      <c r="T268" s="512"/>
      <c r="W268" s="549"/>
      <c r="X268" s="440"/>
      <c r="Y268" s="440"/>
      <c r="Z268" s="552"/>
      <c r="AA268" s="552"/>
      <c r="AB268" s="552"/>
      <c r="AC268" s="552"/>
      <c r="AE268" s="552"/>
      <c r="AF268" s="552"/>
      <c r="AG268" s="552"/>
    </row>
    <row r="269" spans="14:33">
      <c r="N269">
        <v>38400</v>
      </c>
      <c r="O269" s="511" t="s">
        <v>1501</v>
      </c>
      <c r="P269" s="511" t="s">
        <v>1498</v>
      </c>
      <c r="Q269" s="572"/>
      <c r="R269" s="552"/>
      <c r="S269" s="552"/>
      <c r="W269" s="549"/>
      <c r="X269" s="440"/>
      <c r="Y269" s="440"/>
      <c r="Z269" s="552"/>
      <c r="AA269" s="552"/>
      <c r="AB269" s="552"/>
      <c r="AC269" s="552"/>
      <c r="AE269" s="552"/>
      <c r="AF269" s="552"/>
      <c r="AG269" s="552"/>
    </row>
    <row r="270" spans="14:33">
      <c r="N270">
        <v>38400</v>
      </c>
      <c r="O270" s="511" t="s">
        <v>1502</v>
      </c>
      <c r="P270" s="511" t="s">
        <v>1498</v>
      </c>
      <c r="Q270" s="572"/>
      <c r="R270" s="552"/>
      <c r="S270" s="552"/>
      <c r="T270" s="511"/>
      <c r="W270" s="549"/>
      <c r="X270" s="440"/>
      <c r="Y270" s="440"/>
      <c r="Z270" s="552"/>
      <c r="AA270" s="552"/>
      <c r="AB270" s="552"/>
      <c r="AC270" s="552"/>
      <c r="AE270" s="552"/>
      <c r="AF270" s="552"/>
      <c r="AG270" s="552"/>
    </row>
    <row r="271" spans="14:33">
      <c r="N271">
        <v>38400</v>
      </c>
      <c r="O271" s="511" t="s">
        <v>1503</v>
      </c>
      <c r="P271" s="511" t="s">
        <v>1498</v>
      </c>
      <c r="Q271" s="572"/>
      <c r="R271" s="552"/>
      <c r="S271" s="552"/>
      <c r="T271" s="511"/>
      <c r="W271" s="549"/>
      <c r="X271" s="440"/>
      <c r="Y271" s="440"/>
      <c r="Z271" s="552"/>
      <c r="AA271" s="552"/>
      <c r="AB271" s="552"/>
      <c r="AC271" s="552"/>
      <c r="AE271" s="552"/>
      <c r="AF271" s="552"/>
      <c r="AG271" s="552"/>
    </row>
    <row r="272" spans="14:33">
      <c r="N272">
        <v>38400</v>
      </c>
      <c r="O272" s="511" t="s">
        <v>1504</v>
      </c>
      <c r="P272" s="511" t="s">
        <v>1498</v>
      </c>
      <c r="Q272" s="572"/>
      <c r="R272" s="552"/>
      <c r="S272" s="552"/>
      <c r="T272" s="511"/>
      <c r="W272" s="549"/>
      <c r="X272" s="440"/>
      <c r="Y272" s="440"/>
      <c r="Z272" s="552"/>
      <c r="AA272" s="552"/>
      <c r="AB272" s="552"/>
      <c r="AC272" s="552"/>
      <c r="AE272" s="552"/>
      <c r="AF272" s="552"/>
      <c r="AG272" s="552"/>
    </row>
    <row r="273" spans="14:33">
      <c r="N273">
        <v>38400</v>
      </c>
      <c r="O273" s="511" t="s">
        <v>1505</v>
      </c>
      <c r="P273" s="511" t="s">
        <v>1498</v>
      </c>
      <c r="Q273" s="572"/>
      <c r="R273" s="552"/>
      <c r="S273" s="552"/>
      <c r="T273" s="511"/>
      <c r="W273" s="549"/>
      <c r="X273" s="440"/>
      <c r="Y273" s="440"/>
      <c r="Z273" s="552"/>
      <c r="AA273" s="552"/>
      <c r="AB273" s="552"/>
      <c r="AC273" s="552"/>
      <c r="AE273" s="552"/>
      <c r="AF273" s="552"/>
      <c r="AG273" s="552"/>
    </row>
    <row r="274" spans="14:33">
      <c r="N274" s="440">
        <v>38400</v>
      </c>
      <c r="O274" s="516" t="s">
        <v>1506</v>
      </c>
      <c r="P274" s="516" t="s">
        <v>1498</v>
      </c>
      <c r="Q274" s="572"/>
      <c r="R274" s="552"/>
      <c r="S274" s="552"/>
      <c r="T274" s="511"/>
      <c r="W274" s="549"/>
      <c r="X274" s="440"/>
      <c r="Y274" s="440"/>
      <c r="Z274" s="552"/>
      <c r="AA274" s="552"/>
      <c r="AB274" s="552"/>
      <c r="AC274" s="552"/>
      <c r="AE274" s="552"/>
      <c r="AF274" s="552"/>
      <c r="AG274" s="552"/>
    </row>
    <row r="275" spans="14:33">
      <c r="N275" s="1">
        <v>38400</v>
      </c>
      <c r="O275" s="1" t="s">
        <v>1507</v>
      </c>
      <c r="P275" s="1" t="s">
        <v>1498</v>
      </c>
      <c r="Q275" s="572"/>
      <c r="R275" s="552"/>
      <c r="S275" s="552"/>
      <c r="T275" s="511"/>
      <c r="W275" s="549"/>
      <c r="X275" s="440"/>
      <c r="Y275" s="440"/>
      <c r="Z275" s="552"/>
      <c r="AA275" s="552"/>
      <c r="AB275" s="552"/>
      <c r="AC275" s="552"/>
      <c r="AE275" s="552"/>
      <c r="AF275" s="552"/>
      <c r="AG275" s="552"/>
    </row>
    <row r="276" spans="14:33">
      <c r="N276">
        <v>38400</v>
      </c>
      <c r="O276" s="511" t="s">
        <v>1508</v>
      </c>
      <c r="P276" s="511" t="s">
        <v>1498</v>
      </c>
      <c r="Q276" s="572"/>
      <c r="R276" s="552"/>
      <c r="S276" s="552"/>
      <c r="T276" s="511"/>
      <c r="W276" s="549"/>
      <c r="X276" s="440"/>
      <c r="Y276" s="440"/>
      <c r="Z276" s="552"/>
      <c r="AA276" s="552"/>
      <c r="AB276" s="552"/>
      <c r="AC276" s="552"/>
      <c r="AE276" s="552"/>
      <c r="AF276" s="552"/>
      <c r="AG276" s="552"/>
    </row>
    <row r="277" spans="14:33">
      <c r="N277">
        <v>38400</v>
      </c>
      <c r="O277" s="511" t="s">
        <v>1509</v>
      </c>
      <c r="P277" s="511" t="s">
        <v>1498</v>
      </c>
      <c r="Q277" s="572"/>
      <c r="R277" s="552"/>
      <c r="S277" s="552"/>
      <c r="T277" s="511"/>
      <c r="W277" s="549"/>
      <c r="X277" s="440"/>
      <c r="Y277" s="440"/>
      <c r="Z277" s="552"/>
      <c r="AA277" s="552"/>
      <c r="AB277" s="552"/>
      <c r="AC277" s="575"/>
      <c r="AE277" s="552"/>
      <c r="AF277" s="552"/>
      <c r="AG277" s="552"/>
    </row>
    <row r="278" spans="14:33">
      <c r="N278">
        <v>38400</v>
      </c>
      <c r="O278" s="511" t="s">
        <v>1510</v>
      </c>
      <c r="P278" s="511" t="s">
        <v>1498</v>
      </c>
      <c r="Q278" s="572"/>
      <c r="R278" s="552"/>
      <c r="S278" s="552"/>
      <c r="T278" s="511"/>
      <c r="W278" s="549"/>
      <c r="X278" s="440"/>
      <c r="Y278" s="440"/>
      <c r="Z278" s="552"/>
      <c r="AA278" s="552"/>
      <c r="AB278" s="552"/>
      <c r="AC278" s="552"/>
      <c r="AE278" s="552"/>
      <c r="AF278" s="552"/>
      <c r="AG278" s="552"/>
    </row>
    <row r="279" spans="14:33">
      <c r="N279">
        <v>38400</v>
      </c>
      <c r="O279" s="511" t="s">
        <v>1511</v>
      </c>
      <c r="P279" s="511" t="s">
        <v>1498</v>
      </c>
      <c r="Q279" s="572"/>
      <c r="R279" s="552"/>
      <c r="S279" s="552"/>
      <c r="T279" s="511"/>
      <c r="W279" s="549"/>
      <c r="X279" s="440"/>
      <c r="Y279" s="440"/>
      <c r="Z279" s="552"/>
      <c r="AA279" s="552"/>
      <c r="AB279" s="552"/>
      <c r="AC279" s="552"/>
      <c r="AE279" s="552"/>
      <c r="AF279" s="552"/>
      <c r="AG279" s="552"/>
    </row>
    <row r="280" spans="14:33">
      <c r="N280" s="441">
        <v>384</v>
      </c>
      <c r="O280" s="512"/>
      <c r="P280" s="512"/>
      <c r="Q280" s="575">
        <f>Y31</f>
        <v>38030318.100000001</v>
      </c>
      <c r="R280" s="575">
        <f t="shared" ref="R280:S280" si="23">Z31</f>
        <v>-16175165.074549995</v>
      </c>
      <c r="S280" s="575">
        <f t="shared" si="23"/>
        <v>21855153.025450006</v>
      </c>
      <c r="T280" s="511"/>
      <c r="W280" s="549"/>
      <c r="X280" s="440"/>
      <c r="Y280" s="440"/>
      <c r="Z280" s="552"/>
      <c r="AA280" s="552"/>
      <c r="AB280" s="552"/>
      <c r="AC280" s="575"/>
      <c r="AE280" s="552"/>
      <c r="AF280" s="552"/>
      <c r="AG280" s="552"/>
    </row>
    <row r="281" spans="14:33">
      <c r="N281"/>
      <c r="O281" s="511"/>
      <c r="P281" s="511"/>
      <c r="Q281" s="552"/>
      <c r="R281" s="572"/>
      <c r="S281" s="552"/>
      <c r="T281" s="511"/>
      <c r="W281" s="549"/>
      <c r="X281" s="440"/>
      <c r="Y281" s="440"/>
      <c r="Z281" s="552"/>
      <c r="AA281" s="552"/>
      <c r="AB281" s="552"/>
      <c r="AC281" s="552"/>
      <c r="AE281" s="552"/>
      <c r="AF281" s="552"/>
      <c r="AG281" s="552"/>
    </row>
    <row r="282" spans="14:33">
      <c r="N282">
        <v>38500</v>
      </c>
      <c r="O282" s="511" t="s">
        <v>1512</v>
      </c>
      <c r="P282" s="511" t="s">
        <v>1513</v>
      </c>
      <c r="Q282" s="572"/>
      <c r="R282" s="552"/>
      <c r="S282" s="552"/>
      <c r="T282" s="511"/>
      <c r="W282" s="549"/>
      <c r="X282" s="440"/>
      <c r="Y282" s="440"/>
      <c r="Z282" s="552"/>
      <c r="AA282" s="552"/>
      <c r="AB282" s="552"/>
      <c r="AC282" s="552"/>
      <c r="AE282" s="552"/>
      <c r="AF282" s="552"/>
      <c r="AG282" s="552"/>
    </row>
    <row r="283" spans="14:33">
      <c r="N283">
        <v>38500</v>
      </c>
      <c r="O283" s="511" t="s">
        <v>1514</v>
      </c>
      <c r="P283" s="511" t="s">
        <v>1513</v>
      </c>
      <c r="Q283" s="572"/>
      <c r="R283" s="552"/>
      <c r="S283" s="552"/>
      <c r="T283" s="511"/>
      <c r="W283" s="549"/>
      <c r="X283" s="440"/>
      <c r="Y283" s="440"/>
      <c r="Z283" s="564"/>
      <c r="AA283" s="564"/>
      <c r="AB283" s="564"/>
      <c r="AC283" s="552"/>
      <c r="AE283" s="552"/>
      <c r="AF283" s="552"/>
      <c r="AG283" s="552"/>
    </row>
    <row r="284" spans="14:33">
      <c r="N284">
        <v>38500</v>
      </c>
      <c r="O284" s="511" t="s">
        <v>1515</v>
      </c>
      <c r="P284" s="511" t="s">
        <v>1513</v>
      </c>
      <c r="Q284" s="572"/>
      <c r="R284" s="552"/>
      <c r="S284" s="552"/>
      <c r="T284" s="511"/>
      <c r="W284" s="549"/>
      <c r="X284" s="440"/>
      <c r="Y284" s="440"/>
      <c r="Z284" s="552"/>
      <c r="AA284" s="552"/>
      <c r="AB284" s="552"/>
      <c r="AC284" s="552"/>
      <c r="AE284" s="552"/>
      <c r="AF284" s="552"/>
      <c r="AG284" s="552"/>
    </row>
    <row r="285" spans="14:33">
      <c r="N285">
        <v>38500</v>
      </c>
      <c r="O285" s="511" t="s">
        <v>1516</v>
      </c>
      <c r="P285" s="511" t="s">
        <v>1513</v>
      </c>
      <c r="Q285" s="572"/>
      <c r="R285" s="552"/>
      <c r="S285" s="552"/>
      <c r="T285" s="512"/>
      <c r="W285" s="549"/>
      <c r="X285" s="440"/>
      <c r="Y285" s="440"/>
      <c r="Z285" s="552"/>
      <c r="AA285" s="552"/>
      <c r="AB285" s="552"/>
      <c r="AC285" s="552"/>
      <c r="AE285" s="552"/>
      <c r="AF285" s="552"/>
      <c r="AG285" s="552"/>
    </row>
    <row r="286" spans="14:33">
      <c r="N286">
        <v>38500</v>
      </c>
      <c r="O286" s="511" t="s">
        <v>1517</v>
      </c>
      <c r="P286" s="511" t="s">
        <v>1513</v>
      </c>
      <c r="Q286" s="572"/>
      <c r="R286" s="552"/>
      <c r="S286" s="552"/>
      <c r="W286" s="549"/>
      <c r="X286" s="440"/>
      <c r="Y286" s="440"/>
      <c r="Z286" s="552"/>
      <c r="AA286" s="552"/>
      <c r="AB286" s="552"/>
      <c r="AC286" s="552"/>
      <c r="AE286" s="552"/>
      <c r="AF286" s="552"/>
      <c r="AG286" s="552"/>
    </row>
    <row r="287" spans="14:33">
      <c r="N287">
        <v>38500</v>
      </c>
      <c r="O287" s="511" t="s">
        <v>1518</v>
      </c>
      <c r="P287" s="511" t="s">
        <v>1513</v>
      </c>
      <c r="Q287" s="572"/>
      <c r="R287" s="552"/>
      <c r="S287" s="552"/>
      <c r="T287" s="511"/>
      <c r="W287" s="549"/>
      <c r="X287" s="440"/>
      <c r="Y287" s="440"/>
      <c r="Z287" s="552"/>
      <c r="AA287" s="552"/>
      <c r="AB287" s="552"/>
      <c r="AC287" s="552"/>
      <c r="AE287" s="552"/>
      <c r="AF287" s="552"/>
      <c r="AG287" s="552"/>
    </row>
    <row r="288" spans="14:33">
      <c r="N288">
        <v>38500</v>
      </c>
      <c r="O288" s="511" t="s">
        <v>1519</v>
      </c>
      <c r="P288" s="511" t="s">
        <v>1513</v>
      </c>
      <c r="Q288" s="572"/>
      <c r="R288" s="552"/>
      <c r="S288" s="552"/>
      <c r="T288" s="511"/>
      <c r="W288" s="549"/>
      <c r="X288" s="440"/>
      <c r="Y288" s="440"/>
      <c r="Z288" s="552"/>
      <c r="AA288" s="552"/>
      <c r="AB288" s="552"/>
      <c r="AC288" s="552"/>
      <c r="AE288" s="552"/>
      <c r="AF288" s="552"/>
      <c r="AG288" s="552"/>
    </row>
    <row r="289" spans="14:33">
      <c r="N289">
        <v>38500</v>
      </c>
      <c r="O289" s="511" t="s">
        <v>1520</v>
      </c>
      <c r="P289" s="511" t="s">
        <v>1513</v>
      </c>
      <c r="Q289" s="572"/>
      <c r="R289" s="552"/>
      <c r="S289" s="552"/>
      <c r="T289" s="512"/>
      <c r="W289" s="549"/>
      <c r="X289" s="440"/>
      <c r="Y289" s="440"/>
      <c r="Z289" s="552"/>
      <c r="AA289" s="552"/>
      <c r="AB289" s="552"/>
      <c r="AC289" s="552"/>
      <c r="AE289" s="552"/>
      <c r="AF289" s="552"/>
      <c r="AG289" s="552"/>
    </row>
    <row r="290" spans="14:33">
      <c r="N290">
        <v>38500</v>
      </c>
      <c r="O290" s="511" t="s">
        <v>1521</v>
      </c>
      <c r="P290" s="511" t="s">
        <v>1513</v>
      </c>
      <c r="Q290" s="572"/>
      <c r="R290" s="552"/>
      <c r="S290" s="552"/>
      <c r="W290" s="549"/>
      <c r="X290" s="440"/>
      <c r="Y290" s="440"/>
      <c r="Z290" s="552"/>
      <c r="AA290" s="552"/>
      <c r="AB290" s="552"/>
      <c r="AC290" s="552"/>
      <c r="AE290" s="552"/>
      <c r="AF290" s="552"/>
      <c r="AG290" s="552"/>
    </row>
    <row r="291" spans="14:33">
      <c r="N291">
        <v>38500</v>
      </c>
      <c r="O291" s="511" t="s">
        <v>1522</v>
      </c>
      <c r="P291" s="511" t="s">
        <v>1513</v>
      </c>
      <c r="Q291" s="572"/>
      <c r="R291" s="552"/>
      <c r="S291" s="552"/>
      <c r="T291" s="511"/>
      <c r="W291" s="549"/>
      <c r="X291" s="440"/>
      <c r="Y291" s="440"/>
      <c r="Z291" s="552"/>
      <c r="AA291" s="552"/>
      <c r="AB291" s="552"/>
      <c r="AC291" s="552"/>
      <c r="AE291" s="552"/>
      <c r="AF291" s="552"/>
      <c r="AG291" s="552"/>
    </row>
    <row r="292" spans="14:33">
      <c r="N292">
        <v>38500</v>
      </c>
      <c r="O292" s="511" t="s">
        <v>1523</v>
      </c>
      <c r="P292" s="511" t="s">
        <v>1513</v>
      </c>
      <c r="Q292" s="572"/>
      <c r="R292" s="552"/>
      <c r="S292" s="552"/>
      <c r="T292" s="511"/>
      <c r="W292" s="549"/>
      <c r="X292" s="440"/>
      <c r="Y292" s="440"/>
      <c r="Z292" s="552"/>
      <c r="AA292" s="552"/>
      <c r="AB292" s="552"/>
      <c r="AC292" s="552"/>
      <c r="AE292" s="552"/>
      <c r="AF292" s="552"/>
      <c r="AG292" s="552"/>
    </row>
    <row r="293" spans="14:33">
      <c r="N293" s="440">
        <v>38500</v>
      </c>
      <c r="O293" s="516" t="s">
        <v>1524</v>
      </c>
      <c r="P293" s="516" t="s">
        <v>1513</v>
      </c>
      <c r="Q293" s="572"/>
      <c r="R293" s="552"/>
      <c r="S293" s="552"/>
      <c r="T293" s="568"/>
      <c r="W293" s="549"/>
      <c r="X293" s="440"/>
      <c r="Y293" s="440"/>
      <c r="Z293" s="552"/>
      <c r="AA293" s="552"/>
      <c r="AB293" s="552"/>
      <c r="AC293" s="552"/>
      <c r="AE293" s="552"/>
      <c r="AF293" s="552"/>
      <c r="AG293" s="552"/>
    </row>
    <row r="294" spans="14:33">
      <c r="N294" s="1">
        <v>38500</v>
      </c>
      <c r="O294" s="1" t="s">
        <v>1525</v>
      </c>
      <c r="P294" s="1" t="s">
        <v>1513</v>
      </c>
      <c r="Q294" s="572"/>
      <c r="R294" s="552"/>
      <c r="S294" s="552"/>
      <c r="T294" s="511"/>
      <c r="W294" s="549"/>
      <c r="X294" s="440"/>
      <c r="Y294" s="440"/>
      <c r="Z294" s="552"/>
      <c r="AA294" s="552"/>
      <c r="AB294" s="552"/>
      <c r="AC294" s="552"/>
      <c r="AE294" s="552"/>
      <c r="AF294" s="552"/>
      <c r="AG294" s="552"/>
    </row>
    <row r="295" spans="14:33">
      <c r="N295">
        <v>38500</v>
      </c>
      <c r="O295" s="511" t="s">
        <v>1526</v>
      </c>
      <c r="P295" s="511" t="s">
        <v>1513</v>
      </c>
      <c r="Q295" s="572"/>
      <c r="R295" s="552"/>
      <c r="S295" s="552"/>
      <c r="T295" s="511"/>
      <c r="W295" s="549"/>
      <c r="X295" s="440"/>
      <c r="Y295" s="440"/>
      <c r="Z295" s="552"/>
      <c r="AA295" s="552"/>
      <c r="AB295" s="552"/>
      <c r="AC295" s="552"/>
      <c r="AE295" s="552"/>
      <c r="AF295" s="552"/>
      <c r="AG295" s="552"/>
    </row>
    <row r="296" spans="14:33">
      <c r="N296">
        <v>38500</v>
      </c>
      <c r="O296" s="511" t="s">
        <v>1527</v>
      </c>
      <c r="P296" s="511" t="s">
        <v>1513</v>
      </c>
      <c r="Q296" s="572"/>
      <c r="R296" s="552"/>
      <c r="S296" s="552"/>
      <c r="T296" s="511"/>
      <c r="W296" s="549"/>
      <c r="X296" s="440"/>
      <c r="Y296" s="440"/>
      <c r="Z296" s="552"/>
      <c r="AA296" s="552"/>
      <c r="AB296" s="552"/>
      <c r="AC296" s="575"/>
      <c r="AE296" s="552"/>
      <c r="AF296" s="552"/>
      <c r="AG296" s="552"/>
    </row>
    <row r="297" spans="14:33">
      <c r="N297" s="441">
        <v>385</v>
      </c>
      <c r="O297" s="512"/>
      <c r="P297" s="512"/>
      <c r="Q297" s="575">
        <f>Y32</f>
        <v>15049729.880000001</v>
      </c>
      <c r="R297" s="575">
        <f t="shared" ref="R297:S297" si="24">Z32</f>
        <v>-7327452.85844668</v>
      </c>
      <c r="S297" s="575">
        <f t="shared" si="24"/>
        <v>7722277.0215533208</v>
      </c>
      <c r="T297" s="511"/>
      <c r="W297" s="549"/>
      <c r="X297" s="440"/>
      <c r="Y297" s="440"/>
      <c r="Z297" s="552"/>
      <c r="AA297" s="552"/>
      <c r="AB297" s="552"/>
      <c r="AC297" s="552"/>
      <c r="AE297" s="552"/>
      <c r="AF297" s="552"/>
      <c r="AG297" s="552"/>
    </row>
    <row r="298" spans="14:33">
      <c r="N298"/>
      <c r="O298" s="511"/>
      <c r="P298" s="511"/>
      <c r="Q298" s="552"/>
      <c r="R298" s="572"/>
      <c r="S298" s="552"/>
      <c r="T298" s="511"/>
      <c r="W298" s="549"/>
      <c r="X298" s="440"/>
      <c r="Y298" s="440"/>
      <c r="Z298" s="552"/>
      <c r="AA298" s="552"/>
      <c r="AB298" s="552"/>
      <c r="AC298" s="552"/>
      <c r="AE298" s="552"/>
      <c r="AF298" s="552"/>
      <c r="AG298" s="552"/>
    </row>
    <row r="299" spans="14:33">
      <c r="N299">
        <v>38600</v>
      </c>
      <c r="O299" s="511" t="s">
        <v>1528</v>
      </c>
      <c r="P299" s="511" t="s">
        <v>1529</v>
      </c>
      <c r="Q299" s="572"/>
      <c r="R299" s="552"/>
      <c r="S299" s="552"/>
      <c r="T299" s="511"/>
      <c r="W299" s="549"/>
      <c r="X299" s="440"/>
      <c r="Y299" s="440"/>
      <c r="Z299" s="552"/>
      <c r="AA299" s="552"/>
      <c r="AB299" s="552"/>
      <c r="AC299" s="552"/>
      <c r="AE299" s="552"/>
      <c r="AF299" s="552"/>
      <c r="AG299" s="552"/>
    </row>
    <row r="300" spans="14:33">
      <c r="N300">
        <v>38600</v>
      </c>
      <c r="O300" s="511" t="s">
        <v>1530</v>
      </c>
      <c r="P300" s="511" t="s">
        <v>1529</v>
      </c>
      <c r="Q300" s="572"/>
      <c r="R300" s="552"/>
      <c r="S300" s="552"/>
      <c r="T300" s="511"/>
      <c r="W300" s="549"/>
      <c r="X300" s="440"/>
      <c r="Y300" s="440"/>
      <c r="Z300" s="564"/>
      <c r="AA300" s="564"/>
      <c r="AB300" s="564"/>
      <c r="AC300" s="552"/>
      <c r="AE300" s="552"/>
      <c r="AF300" s="552"/>
      <c r="AG300" s="552"/>
    </row>
    <row r="301" spans="14:33">
      <c r="N301" s="580">
        <v>386</v>
      </c>
      <c r="O301" s="566"/>
      <c r="P301" s="566"/>
      <c r="Q301" s="575"/>
      <c r="R301" s="575"/>
      <c r="S301" s="575"/>
      <c r="T301" s="511"/>
      <c r="W301" s="549"/>
      <c r="X301" s="440"/>
      <c r="Y301" s="440"/>
      <c r="Z301" s="552"/>
      <c r="AA301" s="552"/>
      <c r="AB301" s="552"/>
      <c r="AC301" s="552"/>
      <c r="AE301" s="552"/>
      <c r="AF301" s="552"/>
      <c r="AG301" s="552"/>
    </row>
    <row r="302" spans="14:33">
      <c r="N302"/>
      <c r="O302" s="511"/>
      <c r="P302" s="511"/>
      <c r="Q302" s="552"/>
      <c r="R302" s="572"/>
      <c r="S302" s="552"/>
      <c r="T302" s="511"/>
      <c r="W302" s="549"/>
      <c r="X302" s="440"/>
      <c r="Y302" s="440"/>
      <c r="Z302" s="552"/>
      <c r="AA302" s="552"/>
      <c r="AB302" s="552"/>
      <c r="AC302" s="552"/>
      <c r="AE302" s="552"/>
      <c r="AF302" s="552"/>
      <c r="AG302" s="552"/>
    </row>
    <row r="303" spans="14:33">
      <c r="N303">
        <v>38700</v>
      </c>
      <c r="O303" s="511" t="s">
        <v>1531</v>
      </c>
      <c r="P303" s="511" t="s">
        <v>1532</v>
      </c>
      <c r="Q303" s="572"/>
      <c r="R303" s="552"/>
      <c r="S303" s="552"/>
      <c r="T303" s="511"/>
      <c r="W303" s="549"/>
      <c r="X303" s="440"/>
      <c r="Y303" s="440"/>
      <c r="Z303" s="552"/>
      <c r="AA303" s="552"/>
      <c r="AB303" s="552"/>
      <c r="AC303" s="552"/>
      <c r="AE303" s="552"/>
      <c r="AF303" s="552"/>
      <c r="AG303" s="552"/>
    </row>
    <row r="304" spans="14:33">
      <c r="N304">
        <v>38700</v>
      </c>
      <c r="O304" s="511" t="s">
        <v>1533</v>
      </c>
      <c r="P304" s="511" t="s">
        <v>1532</v>
      </c>
      <c r="Q304" s="572"/>
      <c r="R304" s="552"/>
      <c r="S304" s="552"/>
      <c r="T304" s="511"/>
      <c r="W304" s="549"/>
      <c r="X304" s="440"/>
      <c r="Y304" s="440"/>
      <c r="Z304" s="552"/>
      <c r="AA304" s="552"/>
      <c r="AB304" s="552"/>
      <c r="AC304" s="552"/>
      <c r="AE304" s="552"/>
      <c r="AF304" s="552"/>
      <c r="AG304" s="552"/>
    </row>
    <row r="305" spans="14:33">
      <c r="N305">
        <v>38700</v>
      </c>
      <c r="O305" s="511" t="s">
        <v>1534</v>
      </c>
      <c r="P305" s="511" t="s">
        <v>1532</v>
      </c>
      <c r="Q305" s="572"/>
      <c r="R305" s="552"/>
      <c r="S305" s="552"/>
      <c r="T305" s="511"/>
      <c r="W305" s="549"/>
      <c r="X305" s="440"/>
      <c r="Y305" s="440"/>
      <c r="Z305" s="552"/>
      <c r="AA305" s="552"/>
      <c r="AB305" s="552"/>
      <c r="AC305" s="552"/>
      <c r="AE305" s="552"/>
      <c r="AF305" s="552"/>
      <c r="AG305" s="552"/>
    </row>
    <row r="306" spans="14:33">
      <c r="N306">
        <v>38700</v>
      </c>
      <c r="O306" s="511" t="s">
        <v>1535</v>
      </c>
      <c r="P306" s="511" t="s">
        <v>1532</v>
      </c>
      <c r="Q306" s="572"/>
      <c r="R306" s="552"/>
      <c r="S306" s="552"/>
      <c r="T306" s="512"/>
      <c r="W306" s="549"/>
      <c r="X306" s="440"/>
      <c r="Y306" s="440"/>
      <c r="Z306" s="552"/>
      <c r="AA306" s="552"/>
      <c r="AB306" s="552"/>
      <c r="AC306" s="552"/>
      <c r="AE306" s="552"/>
      <c r="AF306" s="552"/>
      <c r="AG306" s="552"/>
    </row>
    <row r="307" spans="14:33">
      <c r="N307">
        <v>38700</v>
      </c>
      <c r="O307" s="511" t="s">
        <v>1536</v>
      </c>
      <c r="P307" s="511" t="s">
        <v>1532</v>
      </c>
      <c r="Q307" s="572"/>
      <c r="R307" s="552"/>
      <c r="S307" s="552"/>
      <c r="W307" s="549"/>
      <c r="X307" s="440"/>
      <c r="Y307" s="440"/>
      <c r="Z307" s="552"/>
      <c r="AA307" s="552"/>
      <c r="AB307" s="552"/>
      <c r="AC307" s="552"/>
      <c r="AE307" s="552"/>
      <c r="AF307" s="552"/>
      <c r="AG307" s="552"/>
    </row>
    <row r="308" spans="14:33">
      <c r="N308">
        <v>38700</v>
      </c>
      <c r="O308" s="511" t="s">
        <v>1537</v>
      </c>
      <c r="P308" s="511" t="s">
        <v>1532</v>
      </c>
      <c r="Q308" s="572"/>
      <c r="R308" s="552"/>
      <c r="S308" s="552"/>
      <c r="T308" s="511"/>
      <c r="W308" s="549"/>
      <c r="X308" s="440"/>
      <c r="Y308" s="440"/>
      <c r="Z308" s="552"/>
      <c r="AA308" s="552"/>
      <c r="AB308" s="552"/>
      <c r="AC308" s="552"/>
      <c r="AE308" s="552"/>
      <c r="AF308" s="552"/>
      <c r="AG308" s="552"/>
    </row>
    <row r="309" spans="14:33">
      <c r="N309">
        <v>38700</v>
      </c>
      <c r="O309" s="511" t="s">
        <v>1538</v>
      </c>
      <c r="P309" s="511" t="s">
        <v>1532</v>
      </c>
      <c r="Q309" s="572"/>
      <c r="R309" s="552"/>
      <c r="S309" s="552"/>
      <c r="T309" s="511"/>
      <c r="W309" s="549"/>
      <c r="X309" s="440"/>
      <c r="Y309" s="440"/>
      <c r="Z309" s="552"/>
      <c r="AA309" s="552"/>
      <c r="AB309" s="552"/>
      <c r="AC309" s="552"/>
      <c r="AE309" s="552"/>
      <c r="AF309" s="552"/>
      <c r="AG309" s="552"/>
    </row>
    <row r="310" spans="14:33">
      <c r="N310">
        <v>38700</v>
      </c>
      <c r="O310" s="511" t="s">
        <v>1539</v>
      </c>
      <c r="P310" s="511" t="s">
        <v>1532</v>
      </c>
      <c r="Q310" s="572"/>
      <c r="R310" s="552"/>
      <c r="S310" s="552"/>
      <c r="T310" s="511"/>
      <c r="W310" s="549"/>
      <c r="X310" s="440"/>
      <c r="Y310" s="440"/>
      <c r="Z310" s="552"/>
      <c r="AA310" s="552"/>
      <c r="AB310" s="552"/>
      <c r="AC310" s="575"/>
      <c r="AE310" s="552"/>
      <c r="AF310" s="552"/>
      <c r="AG310" s="552"/>
    </row>
    <row r="311" spans="14:33">
      <c r="N311">
        <v>38700</v>
      </c>
      <c r="O311" s="511" t="s">
        <v>1540</v>
      </c>
      <c r="P311" s="511" t="s">
        <v>1532</v>
      </c>
      <c r="Q311" s="572"/>
      <c r="R311" s="552"/>
      <c r="S311" s="552"/>
      <c r="T311" s="511"/>
      <c r="W311" s="549"/>
      <c r="X311" s="440"/>
      <c r="Y311" s="440"/>
      <c r="Z311" s="552"/>
      <c r="AA311" s="552"/>
      <c r="AB311" s="552"/>
      <c r="AC311" s="552"/>
      <c r="AE311" s="552"/>
      <c r="AF311" s="552"/>
      <c r="AG311" s="552"/>
    </row>
    <row r="312" spans="14:33">
      <c r="N312">
        <v>38700</v>
      </c>
      <c r="O312" s="511" t="s">
        <v>1541</v>
      </c>
      <c r="P312" s="511" t="s">
        <v>1532</v>
      </c>
      <c r="Q312" s="572"/>
      <c r="R312" s="552"/>
      <c r="S312" s="552"/>
      <c r="T312" s="511"/>
      <c r="W312" s="549"/>
      <c r="X312" s="440"/>
      <c r="Y312" s="440"/>
      <c r="Z312" s="552"/>
      <c r="AA312" s="552"/>
      <c r="AB312" s="552"/>
      <c r="AC312" s="552"/>
      <c r="AE312" s="552"/>
      <c r="AF312" s="552"/>
      <c r="AG312" s="552"/>
    </row>
    <row r="313" spans="14:33">
      <c r="N313" s="440">
        <v>38700</v>
      </c>
      <c r="O313" s="516" t="s">
        <v>1542</v>
      </c>
      <c r="P313" s="516" t="s">
        <v>1532</v>
      </c>
      <c r="Q313" s="572"/>
      <c r="R313" s="552"/>
      <c r="S313" s="552"/>
      <c r="T313" s="511"/>
      <c r="W313" s="549"/>
      <c r="X313" s="440"/>
      <c r="Y313" s="440"/>
      <c r="Z313" s="552"/>
      <c r="AA313" s="552"/>
      <c r="AB313" s="552"/>
      <c r="AC313" s="552"/>
      <c r="AE313" s="552"/>
      <c r="AF313" s="552"/>
      <c r="AG313" s="552"/>
    </row>
    <row r="314" spans="14:33">
      <c r="N314" s="1">
        <v>38700</v>
      </c>
      <c r="O314" s="1" t="s">
        <v>1543</v>
      </c>
      <c r="P314" s="1" t="s">
        <v>1532</v>
      </c>
      <c r="Q314" s="572"/>
      <c r="R314" s="552"/>
      <c r="S314" s="552"/>
      <c r="T314" s="511"/>
      <c r="W314" s="549"/>
      <c r="X314" s="440"/>
      <c r="Y314" s="440"/>
      <c r="Z314" s="552"/>
      <c r="AA314" s="552"/>
      <c r="AB314" s="552"/>
      <c r="AC314" s="552"/>
      <c r="AE314" s="552"/>
      <c r="AF314" s="552"/>
      <c r="AG314" s="552"/>
    </row>
    <row r="315" spans="14:33">
      <c r="N315">
        <v>38700</v>
      </c>
      <c r="O315" s="511" t="s">
        <v>1544</v>
      </c>
      <c r="P315" s="511" t="s">
        <v>1532</v>
      </c>
      <c r="Q315" s="572"/>
      <c r="R315" s="552"/>
      <c r="S315" s="552"/>
      <c r="T315" s="511"/>
      <c r="W315" s="549"/>
      <c r="X315" s="440"/>
      <c r="Y315" s="440"/>
      <c r="Z315" s="552"/>
      <c r="AA315" s="552"/>
      <c r="AB315" s="552"/>
      <c r="AC315" s="552"/>
      <c r="AE315" s="552"/>
      <c r="AF315" s="552"/>
      <c r="AG315" s="552"/>
    </row>
    <row r="316" spans="14:33">
      <c r="N316">
        <v>38700</v>
      </c>
      <c r="O316" s="511" t="s">
        <v>1545</v>
      </c>
      <c r="P316" s="511" t="s">
        <v>1532</v>
      </c>
      <c r="Q316" s="572"/>
      <c r="R316" s="552"/>
      <c r="S316" s="552"/>
      <c r="T316" s="511"/>
      <c r="W316" s="549"/>
      <c r="X316" s="440"/>
      <c r="Y316" s="440"/>
      <c r="Z316" s="552"/>
      <c r="AA316" s="552"/>
      <c r="AB316" s="552"/>
      <c r="AC316" s="552"/>
      <c r="AE316" s="552"/>
      <c r="AF316" s="552"/>
      <c r="AG316" s="552"/>
    </row>
    <row r="317" spans="14:33">
      <c r="N317">
        <v>38700</v>
      </c>
      <c r="O317" s="511" t="s">
        <v>1546</v>
      </c>
      <c r="P317" s="511" t="s">
        <v>1532</v>
      </c>
      <c r="Q317" s="572"/>
      <c r="R317" s="552"/>
      <c r="S317" s="552"/>
      <c r="T317" s="511"/>
      <c r="W317" s="549"/>
      <c r="X317" s="440"/>
      <c r="Y317" s="440"/>
      <c r="Z317" s="552"/>
      <c r="AA317" s="552"/>
      <c r="AB317" s="552"/>
      <c r="AC317" s="552"/>
      <c r="AE317" s="552"/>
      <c r="AF317" s="552"/>
      <c r="AG317" s="552"/>
    </row>
    <row r="318" spans="14:33">
      <c r="N318" s="441">
        <v>387</v>
      </c>
      <c r="O318" s="512"/>
      <c r="P318" s="512"/>
      <c r="Q318" s="575">
        <f>Y35</f>
        <v>13224333.469999997</v>
      </c>
      <c r="R318" s="575">
        <f t="shared" ref="R318:S318" si="25">Z35</f>
        <v>-5826916.8814499956</v>
      </c>
      <c r="S318" s="575">
        <f t="shared" si="25"/>
        <v>7397416.5885500014</v>
      </c>
      <c r="T318" s="511"/>
      <c r="W318" s="549"/>
      <c r="X318" s="440"/>
      <c r="Y318" s="440"/>
      <c r="Z318" s="552"/>
      <c r="AA318" s="552"/>
      <c r="AB318" s="552"/>
      <c r="AC318" s="552"/>
      <c r="AE318" s="552"/>
      <c r="AF318" s="552"/>
      <c r="AG318" s="552"/>
    </row>
    <row r="319" spans="14:33">
      <c r="N319"/>
      <c r="O319" s="511"/>
      <c r="P319" s="511"/>
      <c r="Q319" s="552"/>
      <c r="R319" s="572"/>
      <c r="S319" s="552"/>
      <c r="T319" s="511"/>
      <c r="W319" s="549"/>
      <c r="X319" s="440"/>
      <c r="Y319" s="440"/>
      <c r="Z319" s="552"/>
      <c r="AA319" s="552"/>
      <c r="AB319" s="552"/>
      <c r="AC319" s="552"/>
      <c r="AE319" s="552"/>
      <c r="AF319" s="552"/>
      <c r="AG319" s="552"/>
    </row>
    <row r="320" spans="14:33">
      <c r="N320">
        <v>39000</v>
      </c>
      <c r="O320" s="511" t="s">
        <v>1547</v>
      </c>
      <c r="P320" s="511" t="s">
        <v>1548</v>
      </c>
      <c r="Q320" s="572"/>
      <c r="R320" s="552"/>
      <c r="S320" s="552"/>
      <c r="T320" s="512"/>
      <c r="W320" s="549"/>
      <c r="X320" s="440"/>
      <c r="Y320" s="440"/>
      <c r="Z320" s="552"/>
      <c r="AA320" s="552"/>
      <c r="AB320" s="552"/>
      <c r="AC320" s="552"/>
      <c r="AE320" s="552"/>
      <c r="AF320" s="552"/>
      <c r="AG320" s="552"/>
    </row>
    <row r="321" spans="14:33">
      <c r="N321">
        <v>39000</v>
      </c>
      <c r="O321" s="511" t="s">
        <v>1549</v>
      </c>
      <c r="P321" s="511" t="s">
        <v>1548</v>
      </c>
      <c r="Q321" s="572"/>
      <c r="R321" s="552"/>
      <c r="S321" s="552"/>
      <c r="W321" s="549"/>
      <c r="X321" s="440"/>
      <c r="Y321" s="440"/>
      <c r="Z321" s="564"/>
      <c r="AA321" s="564"/>
      <c r="AB321" s="564"/>
      <c r="AC321" s="552"/>
      <c r="AE321" s="552"/>
      <c r="AF321" s="552"/>
      <c r="AG321" s="552"/>
    </row>
    <row r="322" spans="14:33">
      <c r="N322">
        <v>39000</v>
      </c>
      <c r="O322" s="511" t="s">
        <v>1550</v>
      </c>
      <c r="P322" s="511" t="s">
        <v>1548</v>
      </c>
      <c r="Q322" s="572"/>
      <c r="R322" s="552"/>
      <c r="S322" s="552"/>
      <c r="T322" s="511"/>
      <c r="W322" s="549"/>
      <c r="X322" s="440"/>
      <c r="Y322" s="440"/>
      <c r="Z322" s="552"/>
      <c r="AA322" s="552"/>
      <c r="AB322" s="552"/>
      <c r="AC322" s="552"/>
      <c r="AE322" s="552"/>
      <c r="AF322" s="552"/>
      <c r="AG322" s="552"/>
    </row>
    <row r="323" spans="14:33">
      <c r="N323">
        <v>39000</v>
      </c>
      <c r="O323" s="511" t="s">
        <v>1773</v>
      </c>
      <c r="P323" s="511" t="s">
        <v>1548</v>
      </c>
      <c r="Q323" s="574"/>
      <c r="R323" s="552"/>
      <c r="S323" s="552"/>
      <c r="T323" s="511"/>
      <c r="W323" s="549"/>
      <c r="X323" s="440"/>
      <c r="Y323" s="440"/>
      <c r="Z323" s="552"/>
      <c r="AA323" s="552"/>
      <c r="AB323" s="552"/>
      <c r="AC323" s="552"/>
      <c r="AE323" s="552"/>
      <c r="AF323" s="552"/>
      <c r="AG323" s="552"/>
    </row>
    <row r="324" spans="14:33">
      <c r="N324">
        <v>39000</v>
      </c>
      <c r="O324" s="511" t="s">
        <v>1551</v>
      </c>
      <c r="P324" s="511" t="s">
        <v>1548</v>
      </c>
      <c r="Q324" s="572"/>
      <c r="R324" s="552"/>
      <c r="S324" s="552"/>
      <c r="T324" s="511"/>
      <c r="W324" s="549"/>
      <c r="X324" s="440"/>
      <c r="Y324" s="440"/>
      <c r="Z324" s="552"/>
      <c r="AA324" s="552"/>
      <c r="AB324" s="552"/>
      <c r="AC324" s="552"/>
      <c r="AE324" s="552"/>
      <c r="AF324" s="552"/>
      <c r="AG324" s="552"/>
    </row>
    <row r="325" spans="14:33">
      <c r="N325">
        <v>39000</v>
      </c>
      <c r="O325" s="511" t="s">
        <v>1552</v>
      </c>
      <c r="P325" s="511" t="s">
        <v>1548</v>
      </c>
      <c r="Q325" s="572"/>
      <c r="R325" s="552"/>
      <c r="S325" s="552"/>
      <c r="T325" s="511"/>
      <c r="W325" s="549"/>
      <c r="X325" s="440"/>
      <c r="Y325" s="440"/>
      <c r="Z325" s="552"/>
      <c r="AA325" s="552"/>
      <c r="AB325" s="552"/>
      <c r="AC325" s="552"/>
      <c r="AE325" s="552"/>
      <c r="AF325" s="552"/>
      <c r="AG325" s="552"/>
    </row>
    <row r="326" spans="14:33">
      <c r="N326">
        <v>39000</v>
      </c>
      <c r="O326" s="511" t="s">
        <v>1553</v>
      </c>
      <c r="P326" s="511" t="s">
        <v>1548</v>
      </c>
      <c r="Q326" s="572"/>
      <c r="R326" s="552"/>
      <c r="S326" s="552"/>
      <c r="T326" s="511"/>
      <c r="W326" s="549"/>
      <c r="X326" s="440"/>
      <c r="Y326" s="440"/>
      <c r="Z326" s="552"/>
      <c r="AA326" s="552"/>
      <c r="AB326" s="552"/>
      <c r="AC326" s="552"/>
      <c r="AE326" s="552"/>
      <c r="AF326" s="552"/>
      <c r="AG326" s="552"/>
    </row>
    <row r="327" spans="14:33">
      <c r="N327">
        <v>39002</v>
      </c>
      <c r="O327" s="511" t="s">
        <v>1554</v>
      </c>
      <c r="P327" s="511" t="s">
        <v>1555</v>
      </c>
      <c r="Q327" s="572"/>
      <c r="R327" s="552"/>
      <c r="S327" s="552"/>
      <c r="T327" s="511"/>
      <c r="W327" s="549"/>
      <c r="X327" s="440"/>
      <c r="Y327" s="440"/>
      <c r="Z327" s="552"/>
      <c r="AA327" s="552"/>
      <c r="AB327" s="552"/>
      <c r="AC327" s="552"/>
      <c r="AE327" s="552"/>
      <c r="AF327" s="552"/>
      <c r="AG327" s="552"/>
    </row>
    <row r="328" spans="14:33">
      <c r="N328">
        <v>39002</v>
      </c>
      <c r="O328" s="511" t="s">
        <v>1556</v>
      </c>
      <c r="P328" s="511" t="s">
        <v>1555</v>
      </c>
      <c r="Q328" s="572"/>
      <c r="R328" s="552"/>
      <c r="S328" s="552"/>
      <c r="T328" s="511"/>
      <c r="W328" s="549"/>
      <c r="X328" s="440"/>
      <c r="Y328" s="440"/>
      <c r="Z328" s="552"/>
      <c r="AA328" s="552"/>
      <c r="AB328" s="552"/>
      <c r="AC328" s="552"/>
      <c r="AE328" s="552"/>
      <c r="AF328" s="552"/>
      <c r="AG328" s="552"/>
    </row>
    <row r="329" spans="14:33">
      <c r="N329">
        <v>39002</v>
      </c>
      <c r="O329" s="511" t="s">
        <v>1557</v>
      </c>
      <c r="P329" s="511" t="s">
        <v>1555</v>
      </c>
      <c r="Q329" s="572"/>
      <c r="R329" s="552"/>
      <c r="S329" s="552"/>
      <c r="T329" s="511"/>
      <c r="W329" s="549"/>
      <c r="X329" s="440"/>
      <c r="Y329" s="440"/>
      <c r="Z329" s="552"/>
      <c r="AA329" s="552"/>
      <c r="AB329" s="552"/>
      <c r="AC329" s="552"/>
      <c r="AE329" s="552"/>
      <c r="AF329" s="552"/>
      <c r="AG329" s="552"/>
    </row>
    <row r="330" spans="14:33">
      <c r="N330">
        <v>39002</v>
      </c>
      <c r="O330" s="511" t="s">
        <v>1558</v>
      </c>
      <c r="P330" s="511" t="s">
        <v>1555</v>
      </c>
      <c r="Q330" s="572"/>
      <c r="R330" s="552"/>
      <c r="S330" s="552"/>
      <c r="T330" s="511"/>
      <c r="W330" s="549"/>
      <c r="X330" s="440"/>
      <c r="Y330" s="440"/>
      <c r="Z330" s="552"/>
      <c r="AA330" s="552"/>
      <c r="AB330" s="552"/>
      <c r="AC330" s="552"/>
      <c r="AE330" s="552"/>
      <c r="AF330" s="552"/>
      <c r="AG330" s="552"/>
    </row>
    <row r="331" spans="14:33">
      <c r="N331">
        <v>39002</v>
      </c>
      <c r="O331" s="511" t="s">
        <v>1559</v>
      </c>
      <c r="P331" s="511" t="s">
        <v>1555</v>
      </c>
      <c r="Q331" s="572"/>
      <c r="R331" s="552"/>
      <c r="S331" s="552"/>
      <c r="T331" s="511"/>
      <c r="W331" s="549"/>
      <c r="X331" s="440"/>
      <c r="Y331" s="440"/>
      <c r="Z331" s="552"/>
      <c r="AA331" s="552"/>
      <c r="AB331" s="552"/>
      <c r="AC331" s="552"/>
      <c r="AE331" s="552"/>
      <c r="AF331" s="552"/>
      <c r="AG331" s="552"/>
    </row>
    <row r="332" spans="14:33">
      <c r="N332">
        <v>39002</v>
      </c>
      <c r="O332" s="511" t="s">
        <v>1560</v>
      </c>
      <c r="P332" s="511" t="s">
        <v>1555</v>
      </c>
      <c r="Q332" s="572"/>
      <c r="R332" s="552"/>
      <c r="S332" s="552"/>
      <c r="T332" s="511"/>
      <c r="W332" s="549"/>
      <c r="X332" s="440"/>
      <c r="Y332" s="440"/>
      <c r="Z332" s="552"/>
      <c r="AA332" s="552"/>
      <c r="AB332" s="552"/>
      <c r="AC332" s="552"/>
      <c r="AE332" s="552"/>
      <c r="AF332" s="552"/>
      <c r="AG332" s="552"/>
    </row>
    <row r="333" spans="14:33">
      <c r="N333" s="441">
        <v>390</v>
      </c>
      <c r="O333" s="512"/>
      <c r="P333" s="512"/>
      <c r="Q333" s="575">
        <f>Y36+Y37</f>
        <v>438344.31000000006</v>
      </c>
      <c r="R333" s="575">
        <f t="shared" ref="R333:S333" si="26">Z36+Z37</f>
        <v>-35511.640679999924</v>
      </c>
      <c r="S333" s="575">
        <f t="shared" si="26"/>
        <v>402832.6693200001</v>
      </c>
      <c r="T333" s="511"/>
      <c r="W333" s="549"/>
      <c r="X333" s="440"/>
      <c r="Y333" s="440"/>
      <c r="Z333" s="552"/>
      <c r="AA333" s="552"/>
      <c r="AB333" s="552"/>
      <c r="AC333" s="552"/>
      <c r="AE333" s="552"/>
      <c r="AF333" s="552"/>
      <c r="AG333" s="552"/>
    </row>
    <row r="334" spans="14:33">
      <c r="N334"/>
      <c r="O334" s="511"/>
      <c r="P334" s="511"/>
      <c r="Q334" s="552"/>
      <c r="R334" s="572"/>
      <c r="S334" s="552"/>
      <c r="T334" s="511"/>
      <c r="W334" s="549"/>
      <c r="X334" s="440"/>
      <c r="Y334" s="440"/>
      <c r="Z334" s="552"/>
      <c r="AA334" s="552"/>
      <c r="AB334" s="552"/>
      <c r="AC334" s="552"/>
      <c r="AE334" s="552"/>
      <c r="AF334" s="552"/>
      <c r="AG334" s="552"/>
    </row>
    <row r="335" spans="14:33">
      <c r="N335" s="440">
        <v>39100</v>
      </c>
      <c r="O335" s="516" t="s">
        <v>1561</v>
      </c>
      <c r="P335" s="516" t="s">
        <v>1562</v>
      </c>
      <c r="Q335" s="572"/>
      <c r="R335" s="552"/>
      <c r="S335" s="552"/>
      <c r="T335" s="511"/>
      <c r="W335" s="549"/>
      <c r="X335" s="440"/>
      <c r="Y335" s="440"/>
      <c r="Z335" s="552"/>
      <c r="AA335" s="552"/>
      <c r="AB335" s="552"/>
      <c r="AC335" s="552"/>
      <c r="AE335" s="552"/>
      <c r="AF335" s="552"/>
      <c r="AG335" s="552"/>
    </row>
    <row r="336" spans="14:33">
      <c r="N336" s="1">
        <v>39100</v>
      </c>
      <c r="O336" s="1" t="s">
        <v>1563</v>
      </c>
      <c r="P336" s="1" t="s">
        <v>1562</v>
      </c>
      <c r="Q336" s="572"/>
      <c r="R336" s="552"/>
      <c r="S336" s="552"/>
      <c r="T336" s="511"/>
      <c r="W336" s="549"/>
      <c r="X336" s="440"/>
      <c r="Y336" s="440"/>
      <c r="Z336" s="564"/>
      <c r="AA336" s="564"/>
      <c r="AB336" s="564"/>
      <c r="AC336" s="552"/>
      <c r="AE336" s="552"/>
      <c r="AF336" s="552"/>
      <c r="AG336" s="552"/>
    </row>
    <row r="337" spans="14:33">
      <c r="N337">
        <v>39100</v>
      </c>
      <c r="O337" s="511" t="s">
        <v>1564</v>
      </c>
      <c r="P337" s="511" t="s">
        <v>1562</v>
      </c>
      <c r="Q337" s="572"/>
      <c r="R337" s="552"/>
      <c r="S337" s="552"/>
      <c r="T337" s="511"/>
      <c r="W337" s="549"/>
      <c r="X337" s="440"/>
      <c r="Y337" s="440"/>
      <c r="Z337" s="552"/>
      <c r="AA337" s="552"/>
      <c r="AB337" s="552"/>
      <c r="AC337" s="552"/>
      <c r="AE337" s="552"/>
      <c r="AF337" s="552"/>
      <c r="AG337" s="552"/>
    </row>
    <row r="338" spans="14:33">
      <c r="N338">
        <v>39100</v>
      </c>
      <c r="O338" s="511" t="s">
        <v>1565</v>
      </c>
      <c r="P338" s="511" t="s">
        <v>1562</v>
      </c>
      <c r="Q338" s="572"/>
      <c r="R338" s="552"/>
      <c r="S338" s="552"/>
      <c r="T338" s="511"/>
      <c r="W338" s="549"/>
      <c r="X338" s="440"/>
      <c r="Y338" s="440"/>
      <c r="Z338" s="552"/>
      <c r="AA338" s="552"/>
      <c r="AB338" s="552"/>
      <c r="AC338" s="552"/>
      <c r="AE338" s="552"/>
      <c r="AF338" s="552"/>
      <c r="AG338" s="552"/>
    </row>
    <row r="339" spans="14:33">
      <c r="N339" s="440">
        <v>39100</v>
      </c>
      <c r="O339" s="516" t="s">
        <v>1566</v>
      </c>
      <c r="P339" s="516" t="s">
        <v>1562</v>
      </c>
      <c r="Q339" s="572"/>
      <c r="R339" s="552"/>
      <c r="S339" s="552"/>
      <c r="T339" s="511"/>
      <c r="W339" s="549"/>
      <c r="X339" s="440"/>
      <c r="Y339" s="440"/>
      <c r="Z339" s="552"/>
      <c r="AA339" s="552"/>
      <c r="AB339" s="552"/>
      <c r="AC339" s="552"/>
      <c r="AE339" s="552"/>
      <c r="AF339" s="552"/>
      <c r="AG339" s="552"/>
    </row>
    <row r="340" spans="14:33">
      <c r="N340" s="1">
        <v>39100</v>
      </c>
      <c r="O340" s="1" t="s">
        <v>1567</v>
      </c>
      <c r="P340" s="1" t="s">
        <v>1562</v>
      </c>
      <c r="Q340" s="572"/>
      <c r="R340" s="552"/>
      <c r="S340" s="552"/>
      <c r="T340" s="511"/>
      <c r="W340" s="549"/>
      <c r="X340" s="440"/>
      <c r="Y340" s="440"/>
      <c r="Z340" s="552"/>
      <c r="AA340" s="552"/>
      <c r="AB340" s="552"/>
      <c r="AC340" s="552"/>
      <c r="AE340" s="552"/>
      <c r="AF340" s="552"/>
      <c r="AG340" s="552"/>
    </row>
    <row r="341" spans="14:33">
      <c r="N341">
        <v>39100</v>
      </c>
      <c r="O341" s="511" t="s">
        <v>1568</v>
      </c>
      <c r="P341" s="511" t="s">
        <v>1562</v>
      </c>
      <c r="Q341" s="572"/>
      <c r="R341" s="552"/>
      <c r="S341" s="552"/>
      <c r="T341" s="511"/>
      <c r="W341" s="549"/>
      <c r="X341" s="440"/>
      <c r="Y341" s="440"/>
      <c r="Z341" s="552"/>
      <c r="AA341" s="552"/>
      <c r="AB341" s="552"/>
      <c r="AC341" s="552"/>
      <c r="AE341" s="552"/>
      <c r="AF341" s="552"/>
      <c r="AG341" s="552"/>
    </row>
    <row r="342" spans="14:33">
      <c r="N342">
        <v>39100</v>
      </c>
      <c r="O342" s="511" t="s">
        <v>1569</v>
      </c>
      <c r="P342" s="511" t="s">
        <v>1562</v>
      </c>
      <c r="Q342" s="572"/>
      <c r="R342" s="552"/>
      <c r="S342" s="552"/>
      <c r="T342" s="511"/>
      <c r="W342" s="549"/>
      <c r="X342" s="440"/>
      <c r="Y342" s="440"/>
      <c r="Z342" s="552"/>
      <c r="AA342" s="552"/>
      <c r="AB342" s="552"/>
      <c r="AC342" s="552"/>
      <c r="AE342" s="552"/>
      <c r="AF342" s="552"/>
      <c r="AG342" s="552"/>
    </row>
    <row r="343" spans="14:33">
      <c r="N343">
        <v>39100</v>
      </c>
      <c r="O343" s="511" t="s">
        <v>1570</v>
      </c>
      <c r="P343" s="511" t="s">
        <v>1562</v>
      </c>
      <c r="Q343" s="572"/>
      <c r="R343" s="552"/>
      <c r="S343" s="552"/>
      <c r="T343" s="511"/>
      <c r="W343" s="549"/>
      <c r="X343" s="440"/>
      <c r="Y343" s="440"/>
      <c r="Z343" s="552"/>
      <c r="AA343" s="552"/>
      <c r="AB343" s="552"/>
      <c r="AC343" s="552"/>
      <c r="AE343" s="552"/>
      <c r="AF343" s="552"/>
      <c r="AG343" s="552"/>
    </row>
    <row r="344" spans="14:33">
      <c r="N344">
        <v>39100</v>
      </c>
      <c r="O344" s="511" t="s">
        <v>1571</v>
      </c>
      <c r="P344" s="511" t="s">
        <v>1562</v>
      </c>
      <c r="Q344" s="572"/>
      <c r="R344" s="552"/>
      <c r="S344" s="552"/>
      <c r="T344" s="511"/>
      <c r="W344" s="549"/>
      <c r="X344" s="440"/>
      <c r="Y344" s="440"/>
      <c r="Z344" s="552"/>
      <c r="AA344" s="552"/>
      <c r="AB344" s="552"/>
      <c r="AC344" s="552"/>
      <c r="AE344" s="552"/>
      <c r="AF344" s="552"/>
      <c r="AG344" s="552"/>
    </row>
    <row r="345" spans="14:33">
      <c r="N345">
        <v>39100</v>
      </c>
      <c r="O345" s="511" t="s">
        <v>1572</v>
      </c>
      <c r="P345" s="511" t="s">
        <v>1562</v>
      </c>
      <c r="Q345" s="572"/>
      <c r="R345" s="552"/>
      <c r="S345" s="552"/>
      <c r="T345" s="511"/>
      <c r="W345" s="549"/>
      <c r="X345" s="440"/>
      <c r="Y345" s="440"/>
      <c r="Z345" s="552"/>
      <c r="AA345" s="552"/>
      <c r="AB345" s="552"/>
      <c r="AC345" s="552"/>
      <c r="AE345" s="552"/>
      <c r="AF345" s="552"/>
      <c r="AG345" s="552"/>
    </row>
    <row r="346" spans="14:33">
      <c r="N346">
        <v>39100</v>
      </c>
      <c r="O346" s="511" t="s">
        <v>1573</v>
      </c>
      <c r="P346" s="511" t="s">
        <v>1562</v>
      </c>
      <c r="Q346" s="572"/>
      <c r="R346" s="552"/>
      <c r="S346" s="552"/>
      <c r="T346" s="511"/>
      <c r="W346" s="549"/>
      <c r="X346" s="440"/>
      <c r="Y346" s="440"/>
      <c r="Z346" s="552"/>
      <c r="AA346" s="552"/>
      <c r="AB346" s="552"/>
      <c r="AC346" s="552"/>
      <c r="AE346" s="552"/>
      <c r="AF346" s="552"/>
      <c r="AG346" s="552"/>
    </row>
    <row r="347" spans="14:33">
      <c r="N347">
        <v>39100</v>
      </c>
      <c r="O347" s="511" t="s">
        <v>1574</v>
      </c>
      <c r="P347" s="511" t="s">
        <v>1562</v>
      </c>
      <c r="Q347" s="572"/>
      <c r="R347" s="552"/>
      <c r="S347" s="552"/>
      <c r="T347" s="511"/>
      <c r="W347" s="549"/>
      <c r="X347" s="440"/>
      <c r="Y347" s="440"/>
      <c r="Z347" s="552"/>
      <c r="AA347" s="552"/>
      <c r="AB347" s="552"/>
      <c r="AC347" s="552"/>
      <c r="AE347" s="552"/>
      <c r="AF347" s="552"/>
      <c r="AG347" s="552"/>
    </row>
    <row r="348" spans="14:33">
      <c r="N348">
        <v>39100</v>
      </c>
      <c r="O348" s="511" t="s">
        <v>1575</v>
      </c>
      <c r="P348" s="511" t="s">
        <v>1562</v>
      </c>
      <c r="Q348" s="572"/>
      <c r="R348" s="552"/>
      <c r="S348" s="552"/>
      <c r="T348" s="511"/>
      <c r="W348" s="549"/>
      <c r="X348" s="440"/>
      <c r="Y348" s="440"/>
      <c r="Z348" s="552"/>
      <c r="AA348" s="552"/>
      <c r="AB348" s="552"/>
      <c r="AC348" s="552"/>
      <c r="AE348" s="552"/>
      <c r="AF348" s="552"/>
      <c r="AG348" s="552"/>
    </row>
    <row r="349" spans="14:33">
      <c r="N349">
        <v>39100</v>
      </c>
      <c r="O349" s="511" t="s">
        <v>1576</v>
      </c>
      <c r="P349" s="511" t="s">
        <v>1562</v>
      </c>
      <c r="Q349" s="572"/>
      <c r="R349" s="552"/>
      <c r="S349" s="552"/>
      <c r="T349" s="511"/>
      <c r="W349" s="549"/>
      <c r="X349" s="440"/>
      <c r="Y349" s="440"/>
      <c r="Z349" s="552"/>
      <c r="AA349" s="552"/>
      <c r="AB349" s="552"/>
      <c r="AC349" s="552"/>
      <c r="AE349" s="552"/>
      <c r="AF349" s="552"/>
      <c r="AG349" s="552"/>
    </row>
    <row r="350" spans="14:33">
      <c r="N350">
        <v>39100</v>
      </c>
      <c r="O350" s="511" t="s">
        <v>1577</v>
      </c>
      <c r="P350" s="511" t="s">
        <v>1562</v>
      </c>
      <c r="Q350" s="572"/>
      <c r="R350" s="552"/>
      <c r="S350" s="552"/>
      <c r="T350" s="511"/>
      <c r="W350" s="549"/>
      <c r="X350" s="440"/>
      <c r="Y350" s="440"/>
      <c r="Z350" s="552"/>
      <c r="AA350" s="552"/>
      <c r="AB350" s="552"/>
      <c r="AC350" s="552"/>
      <c r="AE350" s="552"/>
      <c r="AF350" s="552"/>
      <c r="AG350" s="552"/>
    </row>
    <row r="351" spans="14:33">
      <c r="N351">
        <v>39101</v>
      </c>
      <c r="O351" s="511" t="s">
        <v>1578</v>
      </c>
      <c r="P351" s="511" t="s">
        <v>1579</v>
      </c>
      <c r="Q351" s="572"/>
      <c r="R351" s="552"/>
      <c r="S351" s="552"/>
      <c r="T351" s="511"/>
      <c r="W351" s="549"/>
      <c r="X351" s="440"/>
      <c r="Y351" s="440"/>
      <c r="Z351" s="552"/>
      <c r="AA351" s="552"/>
      <c r="AB351" s="552"/>
      <c r="AC351" s="552"/>
      <c r="AE351" s="552"/>
      <c r="AF351" s="552"/>
      <c r="AG351" s="552"/>
    </row>
    <row r="352" spans="14:33">
      <c r="N352">
        <v>39101</v>
      </c>
      <c r="O352" s="511" t="s">
        <v>1580</v>
      </c>
      <c r="P352" s="511" t="s">
        <v>1579</v>
      </c>
      <c r="Q352" s="572"/>
      <c r="R352" s="552"/>
      <c r="S352" s="552"/>
      <c r="T352" s="511"/>
      <c r="W352" s="549"/>
      <c r="X352" s="440"/>
      <c r="Y352" s="440"/>
      <c r="Z352" s="552"/>
      <c r="AA352" s="552"/>
      <c r="AB352" s="552"/>
      <c r="AC352" s="552"/>
      <c r="AE352" s="552"/>
      <c r="AF352" s="552"/>
      <c r="AG352" s="552"/>
    </row>
    <row r="353" spans="14:33">
      <c r="N353">
        <v>39101</v>
      </c>
      <c r="O353" s="511" t="s">
        <v>1581</v>
      </c>
      <c r="P353" s="511" t="s">
        <v>1579</v>
      </c>
      <c r="Q353" s="572"/>
      <c r="R353" s="552"/>
      <c r="S353" s="552"/>
      <c r="T353" s="511"/>
      <c r="W353" s="549"/>
      <c r="X353" s="440"/>
      <c r="Y353" s="440"/>
      <c r="Z353" s="552"/>
      <c r="AA353" s="552"/>
      <c r="AB353" s="552"/>
      <c r="AC353" s="552"/>
      <c r="AE353" s="552"/>
      <c r="AF353" s="552"/>
      <c r="AG353" s="552"/>
    </row>
    <row r="354" spans="14:33">
      <c r="N354">
        <v>39101</v>
      </c>
      <c r="O354" s="511" t="s">
        <v>1582</v>
      </c>
      <c r="P354" s="511" t="s">
        <v>1579</v>
      </c>
      <c r="Q354" s="572"/>
      <c r="R354" s="552"/>
      <c r="S354" s="552"/>
      <c r="T354" s="511"/>
      <c r="W354" s="549"/>
      <c r="X354" s="440"/>
      <c r="Y354" s="440"/>
      <c r="Z354" s="552"/>
      <c r="AA354" s="552"/>
      <c r="AB354" s="552"/>
      <c r="AC354" s="552"/>
      <c r="AE354" s="552"/>
      <c r="AF354" s="552"/>
      <c r="AG354" s="552"/>
    </row>
    <row r="355" spans="14:33">
      <c r="N355">
        <v>39101</v>
      </c>
      <c r="O355" s="511" t="s">
        <v>1583</v>
      </c>
      <c r="P355" s="511" t="s">
        <v>1579</v>
      </c>
      <c r="Q355" s="572"/>
      <c r="R355" s="552"/>
      <c r="S355" s="552"/>
      <c r="T355" s="511"/>
      <c r="W355" s="549"/>
      <c r="X355" s="440"/>
      <c r="Y355" s="440"/>
      <c r="Z355" s="552"/>
      <c r="AA355" s="552"/>
      <c r="AB355" s="552"/>
      <c r="AC355" s="552"/>
      <c r="AE355" s="552"/>
      <c r="AF355" s="552"/>
      <c r="AG355" s="552"/>
    </row>
    <row r="356" spans="14:33">
      <c r="N356" s="440">
        <v>39101</v>
      </c>
      <c r="O356" s="516" t="s">
        <v>1584</v>
      </c>
      <c r="P356" s="516" t="s">
        <v>1579</v>
      </c>
      <c r="Q356" s="572"/>
      <c r="R356" s="552"/>
      <c r="S356" s="552"/>
      <c r="T356" s="511"/>
      <c r="W356" s="549"/>
      <c r="X356" s="440"/>
      <c r="Y356" s="440"/>
      <c r="Z356" s="552"/>
      <c r="AA356" s="552"/>
      <c r="AB356" s="552"/>
      <c r="AC356" s="552"/>
      <c r="AE356" s="552"/>
      <c r="AF356" s="552"/>
      <c r="AG356" s="552"/>
    </row>
    <row r="357" spans="14:33">
      <c r="N357" s="1">
        <v>39101</v>
      </c>
      <c r="O357" s="1" t="s">
        <v>1585</v>
      </c>
      <c r="P357" s="1" t="s">
        <v>1579</v>
      </c>
      <c r="Q357" s="572"/>
      <c r="R357" s="552"/>
      <c r="S357" s="552"/>
      <c r="T357" s="511"/>
      <c r="W357" s="549"/>
      <c r="X357" s="440"/>
      <c r="Y357" s="440"/>
      <c r="Z357" s="552"/>
      <c r="AA357" s="552"/>
      <c r="AB357" s="552"/>
      <c r="AC357" s="552"/>
      <c r="AE357" s="552"/>
      <c r="AF357" s="552"/>
      <c r="AG357" s="552"/>
    </row>
    <row r="358" spans="14:33">
      <c r="N358">
        <v>39101</v>
      </c>
      <c r="O358" s="511" t="s">
        <v>1586</v>
      </c>
      <c r="P358" s="511" t="s">
        <v>1579</v>
      </c>
      <c r="Q358" s="572"/>
      <c r="R358" s="552"/>
      <c r="S358" s="552"/>
      <c r="T358" s="511"/>
      <c r="W358" s="549"/>
      <c r="X358" s="440"/>
      <c r="Y358" s="440"/>
      <c r="Z358" s="552"/>
      <c r="AA358" s="552"/>
      <c r="AB358" s="552"/>
      <c r="AC358" s="552"/>
      <c r="AE358" s="552"/>
      <c r="AF358" s="552"/>
      <c r="AG358" s="552"/>
    </row>
    <row r="359" spans="14:33">
      <c r="N359">
        <v>39101</v>
      </c>
      <c r="O359" s="511" t="s">
        <v>1587</v>
      </c>
      <c r="P359" s="511" t="s">
        <v>1579</v>
      </c>
      <c r="Q359" s="572"/>
      <c r="R359" s="552"/>
      <c r="S359" s="552"/>
      <c r="T359" s="511"/>
      <c r="W359" s="549"/>
      <c r="X359" s="440"/>
      <c r="Y359" s="440"/>
      <c r="Z359" s="552"/>
      <c r="AA359" s="552"/>
      <c r="AB359" s="552"/>
      <c r="AC359" s="552"/>
      <c r="AE359" s="552"/>
      <c r="AF359" s="552"/>
      <c r="AG359" s="552"/>
    </row>
    <row r="360" spans="14:33">
      <c r="N360">
        <v>39101</v>
      </c>
      <c r="O360" s="511" t="s">
        <v>1588</v>
      </c>
      <c r="P360" s="511" t="s">
        <v>1579</v>
      </c>
      <c r="Q360" s="572"/>
      <c r="R360" s="552"/>
      <c r="S360" s="552"/>
      <c r="T360" s="511"/>
      <c r="W360" s="549"/>
      <c r="X360" s="440"/>
      <c r="Y360" s="440"/>
      <c r="Z360" s="552"/>
      <c r="AA360" s="552"/>
      <c r="AB360" s="552"/>
      <c r="AC360" s="552"/>
      <c r="AE360" s="552"/>
      <c r="AF360" s="552"/>
      <c r="AG360" s="552"/>
    </row>
    <row r="361" spans="14:33">
      <c r="N361">
        <v>39101</v>
      </c>
      <c r="O361" s="511" t="s">
        <v>1589</v>
      </c>
      <c r="P361" s="511" t="s">
        <v>1579</v>
      </c>
      <c r="Q361" s="572"/>
      <c r="R361" s="552"/>
      <c r="S361" s="552"/>
      <c r="T361" s="511"/>
      <c r="W361" s="549"/>
      <c r="X361" s="440"/>
      <c r="Y361" s="440"/>
      <c r="Z361" s="552"/>
      <c r="AA361" s="552"/>
      <c r="AB361" s="552"/>
      <c r="AC361" s="575"/>
      <c r="AE361" s="552"/>
      <c r="AF361" s="552"/>
      <c r="AG361" s="552"/>
    </row>
    <row r="362" spans="14:33">
      <c r="N362">
        <v>39101</v>
      </c>
      <c r="O362" s="511" t="s">
        <v>1590</v>
      </c>
      <c r="P362" s="511" t="s">
        <v>1579</v>
      </c>
      <c r="Q362" s="572"/>
      <c r="R362" s="552"/>
      <c r="S362" s="552"/>
      <c r="T362" s="511"/>
      <c r="W362" s="549"/>
      <c r="X362" s="440"/>
      <c r="Y362" s="440"/>
      <c r="Z362" s="552"/>
      <c r="AA362" s="552"/>
      <c r="AB362" s="552"/>
      <c r="AC362" s="552"/>
      <c r="AE362" s="552"/>
      <c r="AF362" s="552"/>
      <c r="AG362" s="552"/>
    </row>
    <row r="363" spans="14:33">
      <c r="N363">
        <v>39101</v>
      </c>
      <c r="O363" s="511" t="s">
        <v>1591</v>
      </c>
      <c r="P363" s="511" t="s">
        <v>1579</v>
      </c>
      <c r="Q363" s="572"/>
      <c r="R363" s="552"/>
      <c r="S363" s="552"/>
      <c r="T363" s="511"/>
      <c r="W363" s="549"/>
      <c r="X363" s="440"/>
      <c r="Y363" s="440"/>
      <c r="Z363" s="552"/>
      <c r="AA363" s="552"/>
      <c r="AB363" s="552"/>
      <c r="AC363" s="552"/>
      <c r="AE363" s="552"/>
      <c r="AF363" s="552"/>
      <c r="AG363" s="552"/>
    </row>
    <row r="364" spans="14:33">
      <c r="N364">
        <v>39101</v>
      </c>
      <c r="O364" s="511" t="s">
        <v>1592</v>
      </c>
      <c r="P364" s="511" t="s">
        <v>1579</v>
      </c>
      <c r="Q364" s="572"/>
      <c r="R364" s="552"/>
      <c r="S364" s="552"/>
      <c r="T364" s="511"/>
      <c r="W364" s="549"/>
      <c r="X364" s="440"/>
      <c r="Y364" s="440"/>
      <c r="Z364" s="552"/>
      <c r="AA364" s="552"/>
      <c r="AB364" s="552"/>
      <c r="AC364" s="552"/>
      <c r="AE364" s="552"/>
      <c r="AF364" s="552"/>
      <c r="AG364" s="552"/>
    </row>
    <row r="365" spans="14:33">
      <c r="N365">
        <v>39101</v>
      </c>
      <c r="O365" s="511" t="s">
        <v>1593</v>
      </c>
      <c r="P365" s="511" t="s">
        <v>1579</v>
      </c>
      <c r="Q365" s="572"/>
      <c r="R365" s="552"/>
      <c r="S365" s="552"/>
      <c r="T365" s="511"/>
      <c r="W365" s="549"/>
      <c r="X365" s="440"/>
      <c r="Y365" s="440"/>
      <c r="Z365" s="552"/>
      <c r="AA365" s="552"/>
      <c r="AB365" s="552"/>
      <c r="AC365" s="552"/>
      <c r="AE365" s="552"/>
      <c r="AF365" s="552"/>
      <c r="AG365" s="552"/>
    </row>
    <row r="366" spans="14:33">
      <c r="N366">
        <v>39101</v>
      </c>
      <c r="O366" s="511" t="s">
        <v>1594</v>
      </c>
      <c r="P366" s="511" t="s">
        <v>1579</v>
      </c>
      <c r="Q366" s="572"/>
      <c r="R366" s="552"/>
      <c r="S366" s="552"/>
      <c r="T366" s="511"/>
      <c r="W366" s="549"/>
      <c r="X366" s="440"/>
      <c r="Y366" s="440"/>
      <c r="Z366" s="552"/>
      <c r="AA366" s="552"/>
      <c r="AB366" s="552"/>
      <c r="AC366" s="552"/>
      <c r="AE366" s="552"/>
      <c r="AF366" s="552"/>
      <c r="AG366" s="552"/>
    </row>
    <row r="367" spans="14:33">
      <c r="N367">
        <v>39102</v>
      </c>
      <c r="O367" s="511" t="s">
        <v>1595</v>
      </c>
      <c r="P367" s="511" t="s">
        <v>1596</v>
      </c>
      <c r="Q367" s="572"/>
      <c r="R367" s="552"/>
      <c r="S367" s="552"/>
      <c r="T367" s="511"/>
      <c r="W367" s="549"/>
      <c r="X367" s="440"/>
      <c r="Y367" s="440"/>
      <c r="Z367" s="552"/>
      <c r="AA367" s="552"/>
      <c r="AB367" s="552"/>
      <c r="AC367" s="552"/>
      <c r="AE367" s="552"/>
      <c r="AF367" s="552"/>
      <c r="AG367" s="552"/>
    </row>
    <row r="368" spans="14:33">
      <c r="N368">
        <v>39102</v>
      </c>
      <c r="O368" s="511" t="s">
        <v>1597</v>
      </c>
      <c r="P368" s="511" t="s">
        <v>1596</v>
      </c>
      <c r="Q368" s="572"/>
      <c r="R368" s="552"/>
      <c r="S368" s="552"/>
      <c r="T368" s="511"/>
      <c r="W368" s="549"/>
      <c r="X368" s="440"/>
      <c r="Y368" s="440"/>
      <c r="Z368" s="552"/>
      <c r="AA368" s="552"/>
      <c r="AB368" s="552"/>
      <c r="AC368" s="552"/>
      <c r="AE368" s="552"/>
      <c r="AF368" s="552"/>
      <c r="AG368" s="552"/>
    </row>
    <row r="369" spans="14:33">
      <c r="N369">
        <v>39102</v>
      </c>
      <c r="O369" s="511" t="s">
        <v>1598</v>
      </c>
      <c r="P369" s="511" t="s">
        <v>1596</v>
      </c>
      <c r="Q369" s="572"/>
      <c r="R369" s="552"/>
      <c r="S369" s="552"/>
      <c r="T369" s="511"/>
      <c r="W369" s="549"/>
      <c r="X369" s="440"/>
      <c r="Y369" s="440"/>
      <c r="Z369" s="552"/>
      <c r="AA369" s="552"/>
      <c r="AB369" s="552"/>
      <c r="AC369" s="552"/>
      <c r="AE369" s="552"/>
      <c r="AF369" s="552"/>
      <c r="AG369" s="552"/>
    </row>
    <row r="370" spans="14:33">
      <c r="N370" s="440">
        <v>39102</v>
      </c>
      <c r="O370" s="516" t="s">
        <v>1599</v>
      </c>
      <c r="P370" s="516" t="s">
        <v>1596</v>
      </c>
      <c r="Q370" s="572"/>
      <c r="R370" s="552"/>
      <c r="S370" s="552"/>
      <c r="T370" s="511"/>
      <c r="W370" s="549"/>
      <c r="X370" s="440"/>
      <c r="Y370" s="440"/>
      <c r="Z370" s="552"/>
      <c r="AA370" s="552"/>
      <c r="AB370" s="552"/>
      <c r="AC370" s="552"/>
      <c r="AE370" s="552"/>
      <c r="AF370" s="552"/>
      <c r="AG370" s="552"/>
    </row>
    <row r="371" spans="14:33">
      <c r="N371" s="1">
        <v>39102</v>
      </c>
      <c r="O371" s="1" t="s">
        <v>1600</v>
      </c>
      <c r="P371" s="1" t="s">
        <v>1596</v>
      </c>
      <c r="Q371" s="572"/>
      <c r="R371" s="552"/>
      <c r="S371" s="552"/>
      <c r="T371" s="511"/>
      <c r="W371" s="549"/>
      <c r="X371" s="440"/>
      <c r="Y371" s="440"/>
      <c r="Z371" s="552"/>
      <c r="AA371" s="552"/>
      <c r="AB371" s="552"/>
      <c r="AC371" s="552"/>
      <c r="AE371" s="552"/>
      <c r="AF371" s="552"/>
      <c r="AG371" s="552"/>
    </row>
    <row r="372" spans="14:33">
      <c r="N372">
        <v>39102</v>
      </c>
      <c r="O372" s="511" t="s">
        <v>1601</v>
      </c>
      <c r="P372" s="511" t="s">
        <v>1596</v>
      </c>
      <c r="Q372" s="572"/>
      <c r="R372" s="552"/>
      <c r="S372" s="552"/>
      <c r="T372" s="512"/>
      <c r="W372" s="549"/>
      <c r="X372" s="440"/>
      <c r="Y372" s="440"/>
      <c r="Z372" s="552"/>
      <c r="AA372" s="552"/>
      <c r="AB372" s="552"/>
      <c r="AC372" s="552"/>
      <c r="AE372" s="552"/>
      <c r="AF372" s="552"/>
      <c r="AG372" s="552"/>
    </row>
    <row r="373" spans="14:33">
      <c r="N373">
        <v>39102</v>
      </c>
      <c r="O373" s="511" t="s">
        <v>1602</v>
      </c>
      <c r="P373" s="511" t="s">
        <v>1596</v>
      </c>
      <c r="Q373" s="572"/>
      <c r="R373" s="552"/>
      <c r="S373" s="552"/>
      <c r="W373" s="549"/>
      <c r="X373" s="440"/>
      <c r="Y373" s="440"/>
      <c r="Z373" s="552"/>
      <c r="AA373" s="552"/>
      <c r="AB373" s="552"/>
      <c r="AC373" s="552"/>
      <c r="AE373" s="552"/>
      <c r="AF373" s="552"/>
      <c r="AG373" s="552"/>
    </row>
    <row r="374" spans="14:33">
      <c r="N374">
        <v>39102</v>
      </c>
      <c r="O374" s="511" t="s">
        <v>1603</v>
      </c>
      <c r="P374" s="511" t="s">
        <v>1596</v>
      </c>
      <c r="Q374" s="572"/>
      <c r="R374" s="552"/>
      <c r="S374" s="552"/>
      <c r="T374" s="511"/>
      <c r="W374" s="549"/>
      <c r="X374" s="440"/>
      <c r="Y374" s="440"/>
      <c r="Z374" s="552"/>
      <c r="AA374" s="552"/>
      <c r="AB374" s="552"/>
      <c r="AC374" s="552"/>
      <c r="AE374" s="552"/>
      <c r="AF374" s="552"/>
      <c r="AG374" s="552"/>
    </row>
    <row r="375" spans="14:33">
      <c r="N375">
        <v>39102</v>
      </c>
      <c r="O375" s="511" t="s">
        <v>1604</v>
      </c>
      <c r="P375" s="511" t="s">
        <v>1596</v>
      </c>
      <c r="Q375" s="572"/>
      <c r="R375" s="552"/>
      <c r="S375" s="552"/>
      <c r="T375" s="511"/>
      <c r="W375" s="549"/>
      <c r="X375" s="440"/>
      <c r="Y375" s="440"/>
      <c r="Z375" s="552"/>
      <c r="AA375" s="552"/>
      <c r="AB375" s="552"/>
      <c r="AC375" s="552"/>
      <c r="AE375" s="552"/>
      <c r="AF375" s="552"/>
      <c r="AG375" s="552"/>
    </row>
    <row r="376" spans="14:33">
      <c r="N376">
        <v>39102</v>
      </c>
      <c r="O376" s="511" t="s">
        <v>1605</v>
      </c>
      <c r="P376" s="511" t="s">
        <v>1596</v>
      </c>
      <c r="Q376" s="572"/>
      <c r="R376" s="552"/>
      <c r="S376" s="552"/>
      <c r="T376" s="511"/>
      <c r="W376" s="549"/>
      <c r="X376" s="440"/>
      <c r="Y376" s="440"/>
      <c r="Z376" s="552"/>
      <c r="AA376" s="552"/>
      <c r="AB376" s="552"/>
      <c r="AC376" s="552"/>
      <c r="AE376" s="552"/>
      <c r="AF376" s="552"/>
      <c r="AG376" s="552"/>
    </row>
    <row r="377" spans="14:33">
      <c r="N377">
        <v>39102</v>
      </c>
      <c r="O377" s="511" t="s">
        <v>1606</v>
      </c>
      <c r="P377" s="511" t="s">
        <v>1596</v>
      </c>
      <c r="Q377" s="572"/>
      <c r="R377" s="552"/>
      <c r="S377" s="552"/>
      <c r="T377" s="511"/>
      <c r="W377" s="549"/>
      <c r="X377" s="440"/>
      <c r="Y377" s="440"/>
      <c r="Z377" s="552"/>
      <c r="AA377" s="552"/>
      <c r="AB377" s="552"/>
      <c r="AC377" s="552"/>
      <c r="AE377" s="552"/>
      <c r="AF377" s="552"/>
      <c r="AG377" s="552"/>
    </row>
    <row r="378" spans="14:33">
      <c r="N378">
        <v>39102</v>
      </c>
      <c r="O378" s="511" t="s">
        <v>1607</v>
      </c>
      <c r="P378" s="511" t="s">
        <v>1596</v>
      </c>
      <c r="Q378" s="572"/>
      <c r="R378" s="552"/>
      <c r="S378" s="552"/>
      <c r="T378" s="511"/>
      <c r="W378" s="549"/>
      <c r="X378" s="440"/>
      <c r="Y378" s="440"/>
      <c r="Z378" s="552"/>
      <c r="AA378" s="552"/>
      <c r="AB378" s="552"/>
      <c r="AC378" s="552"/>
      <c r="AE378" s="552"/>
      <c r="AF378" s="552"/>
      <c r="AG378" s="552"/>
    </row>
    <row r="379" spans="14:33">
      <c r="N379">
        <v>39102</v>
      </c>
      <c r="O379" s="511" t="s">
        <v>1608</v>
      </c>
      <c r="P379" s="511" t="s">
        <v>1596</v>
      </c>
      <c r="Q379" s="572"/>
      <c r="R379" s="552"/>
      <c r="S379" s="552"/>
      <c r="T379" s="511"/>
      <c r="W379" s="549"/>
      <c r="X379" s="440"/>
      <c r="Y379" s="440"/>
      <c r="Z379" s="552"/>
      <c r="AA379" s="552"/>
      <c r="AB379" s="552"/>
      <c r="AC379" s="552"/>
      <c r="AE379" s="552"/>
      <c r="AF379" s="552"/>
      <c r="AG379" s="552"/>
    </row>
    <row r="380" spans="14:33">
      <c r="N380">
        <v>39102</v>
      </c>
      <c r="O380" s="511" t="s">
        <v>1609</v>
      </c>
      <c r="P380" s="511" t="s">
        <v>1596</v>
      </c>
      <c r="Q380" s="572"/>
      <c r="R380" s="552"/>
      <c r="S380" s="552"/>
      <c r="T380" s="511"/>
      <c r="W380" s="549"/>
      <c r="X380" s="440"/>
      <c r="Y380" s="440"/>
      <c r="Z380" s="552"/>
      <c r="AA380" s="552"/>
      <c r="AB380" s="552"/>
      <c r="AC380" s="552"/>
      <c r="AE380" s="552"/>
      <c r="AF380" s="552"/>
      <c r="AG380" s="552"/>
    </row>
    <row r="381" spans="14:33">
      <c r="N381">
        <v>39102</v>
      </c>
      <c r="O381" s="511" t="s">
        <v>1610</v>
      </c>
      <c r="P381" s="511" t="s">
        <v>1596</v>
      </c>
      <c r="Q381" s="572"/>
      <c r="R381" s="552"/>
      <c r="S381" s="552"/>
      <c r="T381" s="511"/>
      <c r="W381" s="549"/>
      <c r="X381" s="440"/>
      <c r="Y381" s="440"/>
      <c r="Z381" s="552"/>
      <c r="AA381" s="552"/>
      <c r="AB381" s="552"/>
      <c r="AC381" s="552"/>
      <c r="AE381" s="552"/>
      <c r="AF381" s="552"/>
      <c r="AG381" s="552"/>
    </row>
    <row r="382" spans="14:33">
      <c r="N382">
        <v>39102</v>
      </c>
      <c r="O382" s="511" t="s">
        <v>1611</v>
      </c>
      <c r="P382" s="511" t="s">
        <v>1596</v>
      </c>
      <c r="Q382" s="572"/>
      <c r="R382" s="552"/>
      <c r="S382" s="552"/>
      <c r="T382" s="511"/>
      <c r="W382" s="549"/>
      <c r="X382" s="440"/>
      <c r="Y382" s="440"/>
      <c r="Z382" s="552"/>
      <c r="AA382" s="552"/>
      <c r="AB382" s="552"/>
      <c r="AC382" s="552"/>
      <c r="AE382" s="552"/>
      <c r="AF382" s="552"/>
      <c r="AG382" s="552"/>
    </row>
    <row r="383" spans="14:33">
      <c r="N383">
        <v>39103</v>
      </c>
      <c r="O383" s="511" t="s">
        <v>1612</v>
      </c>
      <c r="P383" s="511" t="s">
        <v>1613</v>
      </c>
      <c r="Q383" s="572"/>
      <c r="R383" s="552"/>
      <c r="S383" s="552"/>
      <c r="T383" s="511"/>
      <c r="W383" s="549"/>
      <c r="X383" s="440"/>
      <c r="Y383" s="440"/>
      <c r="Z383" s="552"/>
      <c r="AA383" s="552"/>
      <c r="AB383" s="552"/>
      <c r="AC383" s="552"/>
      <c r="AE383" s="552"/>
      <c r="AF383" s="552"/>
      <c r="AG383" s="552"/>
    </row>
    <row r="384" spans="14:33">
      <c r="N384">
        <v>39103</v>
      </c>
      <c r="O384" s="511" t="s">
        <v>1614</v>
      </c>
      <c r="P384" s="511" t="s">
        <v>1613</v>
      </c>
      <c r="Q384" s="572"/>
      <c r="R384" s="552"/>
      <c r="S384" s="552"/>
      <c r="T384" s="511"/>
      <c r="W384" s="549"/>
      <c r="X384" s="440"/>
      <c r="Y384" s="440"/>
      <c r="Z384" s="552"/>
      <c r="AA384" s="552"/>
      <c r="AB384" s="552"/>
      <c r="AC384" s="552"/>
      <c r="AE384" s="552"/>
      <c r="AF384" s="552"/>
      <c r="AG384" s="552"/>
    </row>
    <row r="385" spans="14:33">
      <c r="N385" s="441">
        <v>391</v>
      </c>
      <c r="O385" s="512"/>
      <c r="P385" s="512"/>
      <c r="Q385" s="575">
        <f>Y38+Y39+Y40+Y41</f>
        <v>10026384.57</v>
      </c>
      <c r="R385" s="575">
        <f t="shared" ref="R385:S385" si="27">Z38+Z39+Z40+Z41</f>
        <v>-5609699.0405533724</v>
      </c>
      <c r="S385" s="575">
        <f t="shared" si="27"/>
        <v>4416685.5294466261</v>
      </c>
      <c r="T385" s="511"/>
      <c r="W385" s="549"/>
      <c r="X385" s="440"/>
      <c r="Y385" s="440"/>
      <c r="Z385" s="552"/>
      <c r="AA385" s="552"/>
      <c r="AB385" s="552"/>
      <c r="AC385" s="552"/>
      <c r="AE385" s="552"/>
      <c r="AF385" s="552"/>
      <c r="AG385" s="552"/>
    </row>
    <row r="386" spans="14:33">
      <c r="N386"/>
      <c r="O386" s="511"/>
      <c r="P386" s="511"/>
      <c r="Q386" s="552"/>
      <c r="R386" s="572"/>
      <c r="S386" s="552"/>
      <c r="T386" s="511"/>
      <c r="W386" s="549"/>
      <c r="X386" s="440"/>
      <c r="Y386" s="440"/>
      <c r="Z386" s="552"/>
      <c r="AA386" s="552"/>
      <c r="AB386" s="552"/>
      <c r="AC386" s="552"/>
      <c r="AE386" s="552"/>
      <c r="AF386" s="552"/>
      <c r="AG386" s="552"/>
    </row>
    <row r="387" spans="14:33">
      <c r="N387">
        <v>39201</v>
      </c>
      <c r="O387" s="511" t="s">
        <v>1615</v>
      </c>
      <c r="P387" s="511" t="s">
        <v>1616</v>
      </c>
      <c r="Q387" s="572"/>
      <c r="R387" s="552"/>
      <c r="S387" s="552"/>
      <c r="T387" s="511"/>
      <c r="W387" s="549"/>
      <c r="X387" s="440"/>
      <c r="Y387" s="440"/>
      <c r="Z387" s="552"/>
      <c r="AA387" s="552"/>
      <c r="AB387" s="552"/>
      <c r="AC387" s="552"/>
      <c r="AE387" s="552"/>
      <c r="AF387" s="552"/>
      <c r="AG387" s="552"/>
    </row>
    <row r="388" spans="14:33">
      <c r="N388">
        <v>39201</v>
      </c>
      <c r="O388" s="511" t="s">
        <v>1617</v>
      </c>
      <c r="P388" s="511" t="s">
        <v>1616</v>
      </c>
      <c r="Q388" s="572"/>
      <c r="R388" s="552"/>
      <c r="S388" s="552"/>
      <c r="T388" s="511"/>
      <c r="W388" s="549"/>
      <c r="X388" s="440"/>
      <c r="Y388" s="440"/>
      <c r="Z388" s="552"/>
      <c r="AA388" s="552"/>
      <c r="AB388" s="552"/>
      <c r="AC388" s="552"/>
      <c r="AE388" s="552"/>
      <c r="AF388" s="552"/>
      <c r="AG388" s="552"/>
    </row>
    <row r="389" spans="14:33">
      <c r="N389">
        <v>39201</v>
      </c>
      <c r="O389" s="511" t="s">
        <v>1618</v>
      </c>
      <c r="P389" s="511" t="s">
        <v>1616</v>
      </c>
      <c r="Q389" s="572"/>
      <c r="R389" s="552"/>
      <c r="S389" s="552"/>
      <c r="T389" s="511"/>
      <c r="W389" s="549"/>
      <c r="X389" s="440"/>
      <c r="Y389" s="440"/>
      <c r="Z389" s="564"/>
      <c r="AA389" s="564"/>
      <c r="AB389" s="564"/>
      <c r="AC389" s="552"/>
      <c r="AE389" s="552"/>
      <c r="AF389" s="552"/>
      <c r="AG389" s="552"/>
    </row>
    <row r="390" spans="14:33">
      <c r="N390">
        <v>39201</v>
      </c>
      <c r="O390" s="511" t="s">
        <v>1619</v>
      </c>
      <c r="P390" s="511" t="s">
        <v>1616</v>
      </c>
      <c r="Q390" s="572"/>
      <c r="R390" s="552"/>
      <c r="S390" s="552"/>
      <c r="T390" s="511"/>
      <c r="W390" s="549"/>
      <c r="X390" s="440"/>
      <c r="Y390" s="440"/>
      <c r="Z390" s="552"/>
      <c r="AA390" s="552"/>
      <c r="AB390" s="552"/>
      <c r="AC390" s="552"/>
      <c r="AE390" s="552"/>
      <c r="AF390" s="552"/>
      <c r="AG390" s="552"/>
    </row>
    <row r="391" spans="14:33">
      <c r="N391">
        <v>39201</v>
      </c>
      <c r="O391" s="511" t="s">
        <v>1620</v>
      </c>
      <c r="P391" s="511" t="s">
        <v>1616</v>
      </c>
      <c r="Q391" s="572"/>
      <c r="R391" s="552"/>
      <c r="S391" s="552"/>
      <c r="T391" s="511"/>
      <c r="W391" s="549"/>
      <c r="X391" s="440"/>
      <c r="Y391" s="440"/>
      <c r="Z391" s="552"/>
      <c r="AA391" s="552"/>
      <c r="AB391" s="552"/>
      <c r="AC391" s="552"/>
      <c r="AE391" s="552"/>
      <c r="AF391" s="552"/>
      <c r="AG391" s="552"/>
    </row>
    <row r="392" spans="14:33">
      <c r="N392">
        <v>39201</v>
      </c>
      <c r="O392" s="511" t="s">
        <v>1621</v>
      </c>
      <c r="P392" s="511" t="s">
        <v>1616</v>
      </c>
      <c r="Q392" s="572"/>
      <c r="R392" s="552"/>
      <c r="S392" s="552"/>
      <c r="T392" s="511"/>
      <c r="W392" s="549"/>
      <c r="X392" s="440"/>
      <c r="Y392" s="440"/>
      <c r="Z392" s="552"/>
      <c r="AA392" s="552"/>
      <c r="AB392" s="552"/>
      <c r="AC392" s="552"/>
      <c r="AE392" s="552"/>
      <c r="AF392" s="552"/>
      <c r="AG392" s="552"/>
    </row>
    <row r="393" spans="14:33">
      <c r="N393">
        <v>39201</v>
      </c>
      <c r="O393" s="511" t="s">
        <v>1622</v>
      </c>
      <c r="P393" s="511" t="s">
        <v>1616</v>
      </c>
      <c r="Q393" s="572"/>
      <c r="R393" s="552"/>
      <c r="S393" s="552"/>
      <c r="T393" s="511"/>
      <c r="W393" s="549"/>
      <c r="X393" s="440"/>
      <c r="Y393" s="440"/>
      <c r="Z393" s="552"/>
      <c r="AA393" s="552"/>
      <c r="AB393" s="552"/>
      <c r="AC393" s="552"/>
      <c r="AE393" s="552"/>
      <c r="AF393" s="552"/>
      <c r="AG393" s="552"/>
    </row>
    <row r="394" spans="14:33">
      <c r="N394">
        <v>39201</v>
      </c>
      <c r="O394" s="511" t="s">
        <v>1623</v>
      </c>
      <c r="P394" s="511" t="s">
        <v>1616</v>
      </c>
      <c r="Q394" s="572"/>
      <c r="R394" s="552"/>
      <c r="S394" s="552"/>
      <c r="T394" s="511"/>
      <c r="W394" s="549"/>
      <c r="X394" s="440"/>
      <c r="Y394" s="440"/>
      <c r="Z394" s="552"/>
      <c r="AA394" s="552"/>
      <c r="AB394" s="552"/>
      <c r="AC394" s="552"/>
      <c r="AE394" s="552"/>
      <c r="AF394" s="552"/>
      <c r="AG394" s="552"/>
    </row>
    <row r="395" spans="14:33">
      <c r="N395">
        <v>39201</v>
      </c>
      <c r="O395" s="511" t="s">
        <v>1624</v>
      </c>
      <c r="P395" s="511" t="s">
        <v>1616</v>
      </c>
      <c r="Q395" s="572"/>
      <c r="R395" s="552"/>
      <c r="S395" s="552"/>
      <c r="T395" s="511"/>
      <c r="W395" s="549"/>
      <c r="X395" s="440"/>
      <c r="Y395" s="440"/>
      <c r="Z395" s="552"/>
      <c r="AA395" s="552"/>
      <c r="AB395" s="552"/>
      <c r="AC395" s="552"/>
      <c r="AE395" s="552"/>
      <c r="AF395" s="552"/>
      <c r="AG395" s="552"/>
    </row>
    <row r="396" spans="14:33">
      <c r="N396">
        <v>39201</v>
      </c>
      <c r="O396" s="511" t="s">
        <v>1625</v>
      </c>
      <c r="P396" s="511" t="s">
        <v>1616</v>
      </c>
      <c r="Q396" s="572"/>
      <c r="R396" s="552"/>
      <c r="S396" s="552"/>
      <c r="T396" s="511"/>
      <c r="W396" s="549"/>
      <c r="X396" s="440"/>
      <c r="Y396" s="440"/>
      <c r="Z396" s="552"/>
      <c r="AA396" s="552"/>
      <c r="AB396" s="552"/>
      <c r="AC396" s="552"/>
      <c r="AE396" s="552"/>
      <c r="AF396" s="552"/>
      <c r="AG396" s="552"/>
    </row>
    <row r="397" spans="14:33">
      <c r="N397">
        <v>39201</v>
      </c>
      <c r="O397" s="511" t="s">
        <v>1626</v>
      </c>
      <c r="P397" s="511" t="s">
        <v>1616</v>
      </c>
      <c r="Q397" s="572"/>
      <c r="R397" s="552"/>
      <c r="S397" s="552"/>
      <c r="T397" s="511"/>
      <c r="W397" s="549"/>
      <c r="X397" s="440"/>
      <c r="Y397" s="440"/>
      <c r="Z397" s="552"/>
      <c r="AA397" s="552"/>
      <c r="AB397" s="552"/>
      <c r="AC397" s="552"/>
      <c r="AE397" s="552"/>
      <c r="AF397" s="552"/>
      <c r="AG397" s="552"/>
    </row>
    <row r="398" spans="14:33">
      <c r="N398">
        <v>39201</v>
      </c>
      <c r="O398" s="511" t="s">
        <v>1627</v>
      </c>
      <c r="P398" s="511" t="s">
        <v>1616</v>
      </c>
      <c r="Q398" s="572"/>
      <c r="R398" s="552"/>
      <c r="S398" s="552"/>
      <c r="T398" s="511"/>
      <c r="W398" s="549"/>
      <c r="X398" s="440"/>
      <c r="Y398" s="440"/>
      <c r="Z398" s="552"/>
      <c r="AA398" s="552"/>
      <c r="AB398" s="552"/>
      <c r="AC398" s="552"/>
      <c r="AE398" s="552"/>
      <c r="AF398" s="552"/>
      <c r="AG398" s="552"/>
    </row>
    <row r="399" spans="14:33">
      <c r="N399">
        <v>39201</v>
      </c>
      <c r="O399" s="511" t="s">
        <v>1628</v>
      </c>
      <c r="P399" s="511" t="s">
        <v>1616</v>
      </c>
      <c r="Q399" s="572"/>
      <c r="R399" s="552"/>
      <c r="S399" s="552"/>
      <c r="T399" s="511"/>
      <c r="W399" s="549"/>
      <c r="X399" s="440"/>
      <c r="Y399" s="440"/>
      <c r="Z399" s="552"/>
      <c r="AA399" s="552"/>
      <c r="AB399" s="552"/>
      <c r="AC399" s="552"/>
      <c r="AE399" s="552"/>
      <c r="AF399" s="552"/>
      <c r="AG399" s="552"/>
    </row>
    <row r="400" spans="14:33">
      <c r="N400">
        <v>39201</v>
      </c>
      <c r="O400" s="511" t="s">
        <v>1629</v>
      </c>
      <c r="P400" s="511" t="s">
        <v>1616</v>
      </c>
      <c r="Q400" s="572"/>
      <c r="R400" s="552"/>
      <c r="S400" s="552"/>
      <c r="T400" s="511"/>
      <c r="W400" s="549"/>
      <c r="X400" s="440"/>
      <c r="Y400" s="440"/>
      <c r="Z400" s="552"/>
      <c r="AA400" s="552"/>
      <c r="AB400" s="552"/>
      <c r="AC400" s="552"/>
      <c r="AE400" s="552"/>
      <c r="AF400" s="552"/>
      <c r="AG400" s="552"/>
    </row>
    <row r="401" spans="14:33">
      <c r="N401">
        <v>39201</v>
      </c>
      <c r="O401" s="511" t="s">
        <v>1630</v>
      </c>
      <c r="P401" s="511" t="s">
        <v>1616</v>
      </c>
      <c r="Q401" s="572"/>
      <c r="R401" s="552"/>
      <c r="S401" s="552"/>
      <c r="T401" s="511"/>
      <c r="W401" s="549"/>
      <c r="X401" s="440"/>
      <c r="Y401" s="440"/>
      <c r="Z401" s="552"/>
      <c r="AA401" s="552"/>
      <c r="AB401" s="552"/>
      <c r="AC401" s="552"/>
      <c r="AE401" s="552"/>
      <c r="AF401" s="552"/>
      <c r="AG401" s="552"/>
    </row>
    <row r="402" spans="14:33">
      <c r="N402">
        <v>39202</v>
      </c>
      <c r="O402" s="511" t="s">
        <v>1631</v>
      </c>
      <c r="P402" s="511" t="s">
        <v>1632</v>
      </c>
      <c r="Q402" s="572"/>
      <c r="R402" s="552"/>
      <c r="S402" s="552"/>
      <c r="T402" s="511"/>
      <c r="W402" s="549"/>
      <c r="X402" s="440"/>
      <c r="Y402" s="440"/>
      <c r="Z402" s="552"/>
      <c r="AA402" s="552"/>
      <c r="AB402" s="552"/>
      <c r="AC402" s="552"/>
      <c r="AE402" s="552"/>
      <c r="AF402" s="552"/>
      <c r="AG402" s="552"/>
    </row>
    <row r="403" spans="14:33">
      <c r="N403">
        <v>39202</v>
      </c>
      <c r="O403" s="511" t="s">
        <v>1633</v>
      </c>
      <c r="P403" s="511" t="s">
        <v>1632</v>
      </c>
      <c r="Q403" s="572"/>
      <c r="R403" s="552"/>
      <c r="S403" s="552"/>
      <c r="T403" s="511"/>
      <c r="W403" s="549"/>
      <c r="X403" s="440"/>
      <c r="Y403" s="440"/>
      <c r="Z403" s="552"/>
      <c r="AA403" s="552"/>
      <c r="AB403" s="552"/>
      <c r="AC403" s="552"/>
      <c r="AE403" s="552"/>
      <c r="AF403" s="552"/>
      <c r="AG403" s="552"/>
    </row>
    <row r="404" spans="14:33">
      <c r="N404">
        <v>39202</v>
      </c>
      <c r="O404" s="511" t="s">
        <v>1634</v>
      </c>
      <c r="P404" s="511" t="s">
        <v>1632</v>
      </c>
      <c r="Q404" s="572"/>
      <c r="R404" s="552"/>
      <c r="S404" s="552"/>
      <c r="T404" s="511"/>
      <c r="W404" s="549"/>
      <c r="X404" s="440"/>
      <c r="Y404" s="440"/>
      <c r="Z404" s="552"/>
      <c r="AA404" s="552"/>
      <c r="AB404" s="552"/>
      <c r="AC404" s="552"/>
      <c r="AE404" s="552"/>
      <c r="AF404" s="552"/>
      <c r="AG404" s="552"/>
    </row>
    <row r="405" spans="14:33">
      <c r="N405">
        <v>39202</v>
      </c>
      <c r="O405" s="511" t="s">
        <v>1635</v>
      </c>
      <c r="P405" s="511" t="s">
        <v>1632</v>
      </c>
      <c r="Q405" s="572"/>
      <c r="R405" s="552"/>
      <c r="S405" s="552"/>
      <c r="T405" s="511"/>
      <c r="W405" s="549"/>
      <c r="X405" s="440"/>
      <c r="Y405" s="440"/>
      <c r="Z405" s="552"/>
      <c r="AA405" s="552"/>
      <c r="AB405" s="552"/>
      <c r="AC405" s="552"/>
      <c r="AE405" s="552"/>
      <c r="AF405" s="552"/>
      <c r="AG405" s="552"/>
    </row>
    <row r="406" spans="14:33">
      <c r="N406">
        <v>39202</v>
      </c>
      <c r="O406" s="511" t="s">
        <v>1636</v>
      </c>
      <c r="P406" s="511" t="s">
        <v>1632</v>
      </c>
      <c r="Q406" s="572"/>
      <c r="R406" s="552"/>
      <c r="S406" s="552"/>
      <c r="T406" s="511"/>
      <c r="W406" s="549"/>
      <c r="X406" s="440"/>
      <c r="Y406" s="440"/>
      <c r="Z406" s="552"/>
      <c r="AA406" s="552"/>
      <c r="AB406" s="552"/>
      <c r="AC406" s="552"/>
      <c r="AE406" s="552"/>
      <c r="AF406" s="552"/>
      <c r="AG406" s="552"/>
    </row>
    <row r="407" spans="14:33">
      <c r="N407">
        <v>39202</v>
      </c>
      <c r="O407" s="511" t="s">
        <v>1637</v>
      </c>
      <c r="P407" s="511" t="s">
        <v>1632</v>
      </c>
      <c r="Q407" s="572"/>
      <c r="R407" s="552"/>
      <c r="S407" s="552"/>
      <c r="T407" s="511"/>
      <c r="W407" s="549"/>
      <c r="X407" s="440"/>
      <c r="Y407" s="440"/>
      <c r="Z407" s="552"/>
      <c r="AA407" s="552"/>
      <c r="AB407" s="552"/>
      <c r="AC407" s="552"/>
      <c r="AE407" s="552"/>
      <c r="AF407" s="552"/>
      <c r="AG407" s="552"/>
    </row>
    <row r="408" spans="14:33">
      <c r="N408">
        <v>39202</v>
      </c>
      <c r="O408" s="511" t="s">
        <v>1638</v>
      </c>
      <c r="P408" s="511" t="s">
        <v>1632</v>
      </c>
      <c r="Q408" s="572"/>
      <c r="R408" s="552"/>
      <c r="S408" s="552"/>
      <c r="T408" s="511"/>
      <c r="W408" s="549"/>
      <c r="X408" s="440"/>
      <c r="Y408" s="440"/>
      <c r="Z408" s="552"/>
      <c r="AA408" s="552"/>
      <c r="AB408" s="552"/>
      <c r="AC408" s="552"/>
      <c r="AE408" s="552"/>
      <c r="AF408" s="552"/>
      <c r="AG408" s="552"/>
    </row>
    <row r="409" spans="14:33">
      <c r="N409">
        <v>39202</v>
      </c>
      <c r="O409" s="511" t="s">
        <v>1639</v>
      </c>
      <c r="P409" s="511" t="s">
        <v>1632</v>
      </c>
      <c r="Q409" s="572"/>
      <c r="R409" s="552"/>
      <c r="S409" s="552"/>
      <c r="T409" s="511"/>
      <c r="W409" s="549"/>
      <c r="X409" s="440"/>
      <c r="Y409" s="440"/>
      <c r="Z409" s="552"/>
      <c r="AA409" s="552"/>
      <c r="AB409" s="552"/>
      <c r="AC409" s="552"/>
      <c r="AE409" s="552"/>
      <c r="AF409" s="552"/>
      <c r="AG409" s="552"/>
    </row>
    <row r="410" spans="14:33">
      <c r="N410">
        <v>39202</v>
      </c>
      <c r="O410" s="511" t="s">
        <v>1640</v>
      </c>
      <c r="P410" s="511" t="s">
        <v>1632</v>
      </c>
      <c r="Q410" s="572"/>
      <c r="R410" s="552"/>
      <c r="S410" s="552"/>
      <c r="T410" s="511"/>
      <c r="W410" s="549"/>
      <c r="X410" s="440"/>
      <c r="Y410" s="440"/>
      <c r="Z410" s="552"/>
      <c r="AA410" s="552"/>
      <c r="AB410" s="552"/>
      <c r="AC410" s="552"/>
      <c r="AE410" s="552"/>
      <c r="AF410" s="552"/>
      <c r="AG410" s="552"/>
    </row>
    <row r="411" spans="14:33">
      <c r="N411">
        <v>39202</v>
      </c>
      <c r="O411" s="511" t="s">
        <v>1641</v>
      </c>
      <c r="P411" s="511" t="s">
        <v>1632</v>
      </c>
      <c r="Q411" s="572"/>
      <c r="R411" s="552"/>
      <c r="S411" s="552"/>
      <c r="T411" s="511"/>
      <c r="W411" s="549"/>
      <c r="X411" s="440"/>
      <c r="Y411" s="440"/>
      <c r="Z411" s="552"/>
      <c r="AA411" s="552"/>
      <c r="AB411" s="552"/>
      <c r="AC411" s="552"/>
      <c r="AE411" s="552"/>
      <c r="AF411" s="552"/>
      <c r="AG411" s="552"/>
    </row>
    <row r="412" spans="14:33">
      <c r="N412">
        <v>39202</v>
      </c>
      <c r="O412" s="511" t="s">
        <v>1642</v>
      </c>
      <c r="P412" s="511" t="s">
        <v>1632</v>
      </c>
      <c r="Q412" s="572"/>
      <c r="R412" s="552"/>
      <c r="S412" s="552"/>
      <c r="T412" s="511"/>
      <c r="W412" s="549"/>
      <c r="X412" s="440"/>
      <c r="Y412" s="440"/>
      <c r="Z412" s="552"/>
      <c r="AA412" s="552"/>
      <c r="AB412" s="552"/>
      <c r="AC412" s="552"/>
      <c r="AE412" s="552"/>
      <c r="AF412" s="552"/>
      <c r="AG412" s="552"/>
    </row>
    <row r="413" spans="14:33">
      <c r="N413">
        <v>39202</v>
      </c>
      <c r="O413" s="511" t="s">
        <v>1643</v>
      </c>
      <c r="P413" s="511" t="s">
        <v>1632</v>
      </c>
      <c r="Q413" s="572"/>
      <c r="R413" s="552"/>
      <c r="S413" s="552"/>
      <c r="T413" s="511"/>
      <c r="W413" s="549"/>
      <c r="X413" s="440"/>
      <c r="Y413" s="440"/>
      <c r="Z413" s="552"/>
      <c r="AA413" s="552"/>
      <c r="AB413" s="552"/>
      <c r="AC413" s="552"/>
      <c r="AE413" s="552"/>
      <c r="AF413" s="552"/>
      <c r="AG413" s="552"/>
    </row>
    <row r="414" spans="14:33">
      <c r="N414">
        <v>39202</v>
      </c>
      <c r="O414" s="511" t="s">
        <v>1644</v>
      </c>
      <c r="P414" s="511" t="s">
        <v>1632</v>
      </c>
      <c r="Q414" s="572"/>
      <c r="R414" s="552"/>
      <c r="S414" s="552"/>
      <c r="T414" s="511"/>
      <c r="W414" s="549"/>
      <c r="X414" s="440"/>
      <c r="Y414" s="440"/>
      <c r="Z414" s="552"/>
      <c r="AA414" s="552"/>
      <c r="AB414" s="552"/>
      <c r="AC414" s="552"/>
      <c r="AE414" s="552"/>
      <c r="AF414" s="552"/>
      <c r="AG414" s="552"/>
    </row>
    <row r="415" spans="14:33">
      <c r="N415">
        <v>39202</v>
      </c>
      <c r="O415" s="511" t="s">
        <v>1645</v>
      </c>
      <c r="P415" s="511" t="s">
        <v>1632</v>
      </c>
      <c r="Q415" s="572"/>
      <c r="R415" s="552"/>
      <c r="S415" s="552"/>
      <c r="T415" s="511"/>
      <c r="W415" s="549"/>
      <c r="X415" s="440"/>
      <c r="Y415" s="440"/>
      <c r="Z415" s="552"/>
      <c r="AA415" s="552"/>
      <c r="AB415" s="552"/>
      <c r="AC415" s="552"/>
      <c r="AE415" s="552"/>
      <c r="AF415" s="552"/>
      <c r="AG415" s="552"/>
    </row>
    <row r="416" spans="14:33">
      <c r="N416">
        <v>39202</v>
      </c>
      <c r="O416" s="511" t="s">
        <v>1646</v>
      </c>
      <c r="P416" s="511" t="s">
        <v>1632</v>
      </c>
      <c r="Q416" s="572"/>
      <c r="R416" s="552"/>
      <c r="S416" s="552"/>
      <c r="T416" s="511"/>
      <c r="W416" s="549"/>
      <c r="X416" s="440"/>
      <c r="Y416" s="440"/>
      <c r="Z416" s="552"/>
      <c r="AA416" s="552"/>
      <c r="AB416" s="552"/>
      <c r="AC416" s="552"/>
      <c r="AE416" s="552"/>
      <c r="AF416" s="552"/>
      <c r="AG416" s="552"/>
    </row>
    <row r="417" spans="14:33">
      <c r="N417">
        <v>39203</v>
      </c>
      <c r="O417" s="511" t="s">
        <v>1647</v>
      </c>
      <c r="P417" s="511" t="s">
        <v>1648</v>
      </c>
      <c r="Q417" s="572"/>
      <c r="R417" s="552"/>
      <c r="S417" s="552"/>
      <c r="T417" s="511"/>
      <c r="W417" s="549"/>
      <c r="X417" s="440"/>
      <c r="Y417" s="440"/>
      <c r="Z417" s="552"/>
      <c r="AA417" s="552"/>
      <c r="AB417" s="552"/>
      <c r="AC417" s="552"/>
      <c r="AE417" s="552"/>
      <c r="AF417" s="552"/>
      <c r="AG417" s="552"/>
    </row>
    <row r="418" spans="14:33">
      <c r="N418">
        <v>39204</v>
      </c>
      <c r="O418" s="511" t="s">
        <v>1649</v>
      </c>
      <c r="P418" s="511" t="s">
        <v>1650</v>
      </c>
      <c r="Q418" s="572"/>
      <c r="R418" s="552"/>
      <c r="S418" s="552"/>
      <c r="T418" s="511"/>
      <c r="W418" s="549"/>
      <c r="X418" s="440"/>
      <c r="Y418" s="440"/>
      <c r="Z418" s="552"/>
      <c r="AA418" s="552"/>
      <c r="AB418" s="552"/>
      <c r="AC418" s="552"/>
      <c r="AE418" s="552"/>
      <c r="AF418" s="552"/>
      <c r="AG418" s="552"/>
    </row>
    <row r="419" spans="14:33">
      <c r="N419">
        <v>39204</v>
      </c>
      <c r="O419" s="511" t="s">
        <v>1651</v>
      </c>
      <c r="P419" s="511" t="s">
        <v>1650</v>
      </c>
      <c r="Q419" s="572"/>
      <c r="R419" s="552"/>
      <c r="S419" s="552"/>
      <c r="T419" s="511"/>
      <c r="W419" s="549"/>
      <c r="X419" s="440"/>
      <c r="Y419" s="440"/>
      <c r="Z419" s="552"/>
      <c r="AA419" s="552"/>
      <c r="AB419" s="552"/>
      <c r="AC419" s="552"/>
      <c r="AE419" s="552"/>
      <c r="AF419" s="552"/>
      <c r="AG419" s="552"/>
    </row>
    <row r="420" spans="14:33">
      <c r="N420">
        <v>39204</v>
      </c>
      <c r="O420" s="511" t="s">
        <v>1652</v>
      </c>
      <c r="P420" s="511" t="s">
        <v>1650</v>
      </c>
      <c r="Q420" s="572"/>
      <c r="R420" s="552"/>
      <c r="S420" s="552"/>
      <c r="T420" s="511"/>
      <c r="W420" s="549"/>
      <c r="X420" s="440"/>
      <c r="Y420" s="440"/>
      <c r="Z420" s="552"/>
      <c r="AA420" s="552"/>
      <c r="AB420" s="552"/>
      <c r="AC420" s="552"/>
      <c r="AE420" s="552"/>
      <c r="AF420" s="552"/>
      <c r="AG420" s="552"/>
    </row>
    <row r="421" spans="14:33">
      <c r="N421">
        <v>39204</v>
      </c>
      <c r="O421" s="511" t="s">
        <v>1653</v>
      </c>
      <c r="P421" s="511" t="s">
        <v>1650</v>
      </c>
      <c r="Q421" s="572"/>
      <c r="R421" s="552"/>
      <c r="S421" s="552"/>
      <c r="T421" s="511"/>
      <c r="W421" s="549"/>
      <c r="X421" s="440"/>
      <c r="Y421" s="440"/>
      <c r="Z421" s="552"/>
      <c r="AA421" s="552"/>
      <c r="AB421" s="552"/>
      <c r="AC421" s="575"/>
      <c r="AE421" s="552"/>
      <c r="AF421" s="552"/>
      <c r="AG421" s="552"/>
    </row>
    <row r="422" spans="14:33">
      <c r="N422">
        <v>39204</v>
      </c>
      <c r="O422" s="511" t="s">
        <v>1654</v>
      </c>
      <c r="P422" s="511" t="s">
        <v>1650</v>
      </c>
      <c r="Q422" s="572"/>
      <c r="R422" s="552"/>
      <c r="S422" s="552"/>
      <c r="T422" s="511"/>
      <c r="W422" s="549"/>
      <c r="X422" s="440"/>
      <c r="Y422" s="440"/>
      <c r="Z422" s="552"/>
      <c r="AA422" s="552"/>
      <c r="AB422" s="552"/>
      <c r="AC422" s="552"/>
      <c r="AE422" s="552"/>
      <c r="AF422" s="552"/>
      <c r="AG422" s="552"/>
    </row>
    <row r="423" spans="14:33">
      <c r="N423">
        <v>39204</v>
      </c>
      <c r="O423" s="511" t="s">
        <v>1655</v>
      </c>
      <c r="P423" s="511" t="s">
        <v>1650</v>
      </c>
      <c r="Q423" s="572"/>
      <c r="R423" s="552"/>
      <c r="S423" s="552"/>
      <c r="T423" s="511"/>
      <c r="W423" s="549"/>
      <c r="X423" s="440"/>
      <c r="Y423" s="440"/>
      <c r="Z423" s="552"/>
      <c r="AA423" s="552"/>
      <c r="AB423" s="552"/>
      <c r="AC423" s="552"/>
      <c r="AE423" s="552"/>
      <c r="AF423" s="552"/>
      <c r="AG423" s="552"/>
    </row>
    <row r="424" spans="14:33">
      <c r="N424" s="440">
        <v>39204</v>
      </c>
      <c r="O424" s="516" t="s">
        <v>1656</v>
      </c>
      <c r="P424" s="516" t="s">
        <v>1650</v>
      </c>
      <c r="Q424" s="572"/>
      <c r="R424" s="552"/>
      <c r="S424" s="552"/>
      <c r="T424" s="511"/>
      <c r="W424" s="549"/>
      <c r="X424" s="440"/>
      <c r="Y424" s="440"/>
      <c r="Z424" s="552"/>
      <c r="AA424" s="552"/>
      <c r="AB424" s="552"/>
      <c r="AC424" s="552"/>
      <c r="AE424" s="552"/>
      <c r="AF424" s="552"/>
      <c r="AG424" s="552"/>
    </row>
    <row r="425" spans="14:33">
      <c r="N425" s="1">
        <v>39204</v>
      </c>
      <c r="O425" s="1" t="s">
        <v>1657</v>
      </c>
      <c r="P425" s="1" t="s">
        <v>1650</v>
      </c>
      <c r="Q425" s="572"/>
      <c r="R425" s="552"/>
      <c r="S425" s="552"/>
      <c r="T425" s="511"/>
      <c r="W425" s="549"/>
      <c r="X425" s="440"/>
      <c r="Y425" s="440"/>
      <c r="Z425" s="552"/>
      <c r="AA425" s="552"/>
      <c r="AB425" s="552"/>
      <c r="AC425" s="552"/>
      <c r="AE425" s="552"/>
      <c r="AF425" s="552"/>
      <c r="AG425" s="552"/>
    </row>
    <row r="426" spans="14:33">
      <c r="N426">
        <v>39204</v>
      </c>
      <c r="O426" s="511" t="s">
        <v>1658</v>
      </c>
      <c r="P426" s="511" t="s">
        <v>1650</v>
      </c>
      <c r="Q426" s="572"/>
      <c r="R426" s="552"/>
      <c r="S426" s="552"/>
      <c r="T426" s="511"/>
      <c r="W426" s="549"/>
      <c r="X426" s="440"/>
      <c r="Y426" s="440"/>
      <c r="Z426" s="552"/>
      <c r="AA426" s="552"/>
      <c r="AB426" s="552"/>
      <c r="AC426" s="552"/>
      <c r="AE426" s="552"/>
      <c r="AF426" s="552"/>
      <c r="AG426" s="552"/>
    </row>
    <row r="427" spans="14:33">
      <c r="N427">
        <v>39204</v>
      </c>
      <c r="O427" s="511" t="s">
        <v>1659</v>
      </c>
      <c r="P427" s="511" t="s">
        <v>1650</v>
      </c>
      <c r="Q427" s="572"/>
      <c r="R427" s="552"/>
      <c r="S427" s="552"/>
      <c r="T427" s="511"/>
      <c r="W427" s="549"/>
      <c r="X427" s="440"/>
      <c r="Y427" s="440"/>
      <c r="Z427" s="552"/>
      <c r="AA427" s="552"/>
      <c r="AB427" s="552"/>
      <c r="AC427" s="552"/>
      <c r="AE427" s="552"/>
      <c r="AF427" s="552"/>
      <c r="AG427" s="552"/>
    </row>
    <row r="428" spans="14:33">
      <c r="N428">
        <v>39204</v>
      </c>
      <c r="O428" s="511" t="s">
        <v>1660</v>
      </c>
      <c r="P428" s="511" t="s">
        <v>1650</v>
      </c>
      <c r="Q428" s="572"/>
      <c r="R428" s="552"/>
      <c r="S428" s="552"/>
      <c r="T428" s="511"/>
      <c r="W428" s="549"/>
      <c r="X428" s="440"/>
      <c r="Y428" s="440"/>
      <c r="Z428" s="552"/>
      <c r="AA428" s="552"/>
      <c r="AB428" s="552"/>
      <c r="AC428" s="552"/>
      <c r="AE428" s="552"/>
      <c r="AF428" s="552"/>
      <c r="AG428" s="552"/>
    </row>
    <row r="429" spans="14:33">
      <c r="N429">
        <v>39204</v>
      </c>
      <c r="O429" s="511" t="s">
        <v>1661</v>
      </c>
      <c r="P429" s="511" t="s">
        <v>1650</v>
      </c>
      <c r="Q429" s="572"/>
      <c r="R429" s="552"/>
      <c r="S429" s="552"/>
      <c r="T429" s="511"/>
      <c r="W429" s="549"/>
      <c r="X429" s="440"/>
      <c r="Y429" s="440"/>
      <c r="Z429" s="552"/>
      <c r="AA429" s="552"/>
      <c r="AB429" s="552"/>
      <c r="AC429" s="552"/>
      <c r="AE429" s="552"/>
      <c r="AF429" s="552"/>
      <c r="AG429" s="552"/>
    </row>
    <row r="430" spans="14:33">
      <c r="N430">
        <v>39204</v>
      </c>
      <c r="O430" s="511" t="s">
        <v>1662</v>
      </c>
      <c r="P430" s="511" t="s">
        <v>1650</v>
      </c>
      <c r="Q430" s="572"/>
      <c r="R430" s="552"/>
      <c r="S430" s="552"/>
      <c r="T430" s="511"/>
      <c r="W430" s="549"/>
      <c r="X430" s="440"/>
      <c r="Y430" s="440"/>
      <c r="Z430" s="552"/>
      <c r="AA430" s="552"/>
      <c r="AB430" s="552"/>
      <c r="AC430" s="552"/>
      <c r="AE430" s="552"/>
      <c r="AF430" s="552"/>
      <c r="AG430" s="552"/>
    </row>
    <row r="431" spans="14:33">
      <c r="N431">
        <v>39204</v>
      </c>
      <c r="O431" s="511" t="s">
        <v>1663</v>
      </c>
      <c r="P431" s="511" t="s">
        <v>1650</v>
      </c>
      <c r="Q431" s="572"/>
      <c r="R431" s="552"/>
      <c r="S431" s="552"/>
      <c r="T431" s="511"/>
      <c r="W431" s="549"/>
      <c r="X431" s="440"/>
      <c r="Y431" s="440"/>
      <c r="Z431" s="552"/>
      <c r="AA431" s="552"/>
      <c r="AB431" s="552"/>
      <c r="AC431" s="552"/>
      <c r="AE431" s="552"/>
      <c r="AF431" s="552"/>
      <c r="AG431" s="552"/>
    </row>
    <row r="432" spans="14:33">
      <c r="N432">
        <v>39204</v>
      </c>
      <c r="O432" s="511" t="s">
        <v>1664</v>
      </c>
      <c r="P432" s="511" t="s">
        <v>1650</v>
      </c>
      <c r="Q432" s="572"/>
      <c r="R432" s="552"/>
      <c r="S432" s="552"/>
      <c r="T432" s="511"/>
      <c r="W432" s="549"/>
      <c r="X432" s="440"/>
      <c r="Y432" s="440"/>
      <c r="Z432" s="552"/>
      <c r="AA432" s="552"/>
      <c r="AB432" s="552"/>
      <c r="AC432" s="575"/>
      <c r="AE432" s="552"/>
      <c r="AF432" s="552"/>
      <c r="AG432" s="552"/>
    </row>
    <row r="433" spans="14:33">
      <c r="N433">
        <v>39205</v>
      </c>
      <c r="O433" s="511" t="s">
        <v>1665</v>
      </c>
      <c r="P433" s="511" t="s">
        <v>1666</v>
      </c>
      <c r="Q433" s="572"/>
      <c r="R433" s="552"/>
      <c r="S433" s="552"/>
      <c r="T433" s="512"/>
      <c r="W433" s="549"/>
      <c r="X433" s="440"/>
      <c r="Y433" s="440"/>
      <c r="Z433" s="552"/>
      <c r="AA433" s="552"/>
      <c r="AB433" s="552"/>
      <c r="AC433" s="552"/>
      <c r="AE433" s="552"/>
      <c r="AF433" s="552"/>
      <c r="AG433" s="552"/>
    </row>
    <row r="434" spans="14:33">
      <c r="N434">
        <v>39205</v>
      </c>
      <c r="O434" s="511" t="s">
        <v>1667</v>
      </c>
      <c r="P434" s="511" t="s">
        <v>1666</v>
      </c>
      <c r="Q434" s="572"/>
      <c r="R434" s="552"/>
      <c r="S434" s="552"/>
      <c r="W434" s="549"/>
      <c r="X434" s="440"/>
      <c r="Y434" s="440"/>
      <c r="Z434" s="552"/>
      <c r="AA434" s="552"/>
      <c r="AB434" s="552"/>
      <c r="AC434" s="552"/>
      <c r="AE434" s="552"/>
      <c r="AF434" s="552"/>
      <c r="AG434" s="552"/>
    </row>
    <row r="435" spans="14:33">
      <c r="N435">
        <v>39205</v>
      </c>
      <c r="O435" s="511" t="s">
        <v>1668</v>
      </c>
      <c r="P435" s="511" t="s">
        <v>1666</v>
      </c>
      <c r="Q435" s="572"/>
      <c r="R435" s="552"/>
      <c r="S435" s="552"/>
      <c r="T435" s="511"/>
      <c r="W435" s="549"/>
      <c r="X435" s="440"/>
      <c r="Y435" s="440"/>
      <c r="Z435" s="552"/>
      <c r="AA435" s="552"/>
      <c r="AB435" s="552"/>
      <c r="AC435" s="552"/>
      <c r="AE435" s="552"/>
      <c r="AF435" s="552"/>
      <c r="AG435" s="552"/>
    </row>
    <row r="436" spans="14:33">
      <c r="N436">
        <v>39205</v>
      </c>
      <c r="O436" s="511" t="s">
        <v>1669</v>
      </c>
      <c r="P436" s="511" t="s">
        <v>1666</v>
      </c>
      <c r="Q436" s="572"/>
      <c r="R436" s="552"/>
      <c r="S436" s="552"/>
      <c r="T436" s="511"/>
      <c r="W436" s="549"/>
      <c r="X436" s="440"/>
      <c r="Y436" s="440"/>
      <c r="Z436" s="552"/>
      <c r="AA436" s="552"/>
      <c r="AB436" s="552"/>
      <c r="AC436" s="552"/>
      <c r="AE436" s="552"/>
      <c r="AF436" s="552"/>
      <c r="AG436" s="552"/>
    </row>
    <row r="437" spans="14:33">
      <c r="N437">
        <v>39205</v>
      </c>
      <c r="O437" s="511" t="s">
        <v>1670</v>
      </c>
      <c r="P437" s="511" t="s">
        <v>1666</v>
      </c>
      <c r="Q437" s="572"/>
      <c r="R437" s="552"/>
      <c r="S437" s="552"/>
      <c r="T437" s="511"/>
      <c r="W437" s="549"/>
      <c r="X437" s="440"/>
      <c r="Y437" s="440"/>
      <c r="Z437" s="552"/>
      <c r="AA437" s="552"/>
      <c r="AB437" s="552"/>
      <c r="AC437" s="552"/>
      <c r="AE437" s="552"/>
      <c r="AF437" s="552"/>
      <c r="AG437" s="552"/>
    </row>
    <row r="438" spans="14:33">
      <c r="N438">
        <v>39205</v>
      </c>
      <c r="O438" s="511" t="s">
        <v>1671</v>
      </c>
      <c r="P438" s="511" t="s">
        <v>1666</v>
      </c>
      <c r="Q438" s="572"/>
      <c r="R438" s="552"/>
      <c r="S438" s="552"/>
      <c r="T438" s="511"/>
      <c r="W438" s="549"/>
      <c r="X438" s="440"/>
      <c r="Y438" s="440"/>
      <c r="Z438" s="552"/>
      <c r="AA438" s="552"/>
      <c r="AB438" s="552"/>
      <c r="AC438" s="552"/>
      <c r="AE438" s="552"/>
      <c r="AF438" s="552"/>
      <c r="AG438" s="552"/>
    </row>
    <row r="439" spans="14:33">
      <c r="N439">
        <v>39205</v>
      </c>
      <c r="O439" s="511" t="s">
        <v>1672</v>
      </c>
      <c r="P439" s="511" t="s">
        <v>1666</v>
      </c>
      <c r="Q439" s="572"/>
      <c r="R439" s="552"/>
      <c r="S439" s="552"/>
      <c r="T439" s="511"/>
      <c r="W439" s="549"/>
      <c r="X439" s="440"/>
      <c r="Y439" s="440"/>
      <c r="Z439" s="552"/>
      <c r="AA439" s="552"/>
      <c r="AB439" s="552"/>
      <c r="AC439" s="552"/>
      <c r="AE439" s="552"/>
      <c r="AF439" s="552"/>
      <c r="AG439" s="552"/>
    </row>
    <row r="440" spans="14:33">
      <c r="N440">
        <v>39205</v>
      </c>
      <c r="O440" s="511" t="s">
        <v>1673</v>
      </c>
      <c r="P440" s="511" t="s">
        <v>1666</v>
      </c>
      <c r="Q440" s="572"/>
      <c r="R440" s="552"/>
      <c r="S440" s="552"/>
      <c r="T440" s="511"/>
      <c r="W440" s="549"/>
      <c r="X440" s="440"/>
      <c r="Y440" s="440"/>
      <c r="Z440" s="552"/>
      <c r="AA440" s="552"/>
      <c r="AB440" s="552"/>
      <c r="AC440" s="552"/>
      <c r="AE440" s="552"/>
      <c r="AF440" s="552"/>
      <c r="AG440" s="552"/>
    </row>
    <row r="441" spans="14:33">
      <c r="N441">
        <v>39205</v>
      </c>
      <c r="O441" s="511" t="s">
        <v>1674</v>
      </c>
      <c r="P441" s="511" t="s">
        <v>1666</v>
      </c>
      <c r="Q441" s="572"/>
      <c r="R441" s="552"/>
      <c r="S441" s="552"/>
      <c r="T441" s="511"/>
      <c r="W441" s="549"/>
      <c r="X441" s="440"/>
      <c r="Y441" s="440"/>
      <c r="Z441" s="552"/>
      <c r="AA441" s="552"/>
      <c r="AB441" s="552"/>
      <c r="AC441" s="552"/>
      <c r="AE441" s="552"/>
      <c r="AF441" s="552"/>
      <c r="AG441" s="552"/>
    </row>
    <row r="442" spans="14:33">
      <c r="N442">
        <v>39205</v>
      </c>
      <c r="O442" s="511" t="s">
        <v>1675</v>
      </c>
      <c r="P442" s="511" t="s">
        <v>1666</v>
      </c>
      <c r="Q442" s="572"/>
      <c r="R442" s="552"/>
      <c r="S442" s="552"/>
      <c r="T442" s="511"/>
      <c r="W442" s="549"/>
      <c r="X442" s="440"/>
      <c r="Y442" s="440"/>
      <c r="Z442" s="552"/>
      <c r="AA442" s="552"/>
      <c r="AB442" s="552"/>
      <c r="AC442" s="552"/>
      <c r="AE442" s="552"/>
      <c r="AF442" s="552"/>
      <c r="AG442" s="552"/>
    </row>
    <row r="443" spans="14:33">
      <c r="N443">
        <v>39205</v>
      </c>
      <c r="O443" s="511" t="s">
        <v>1676</v>
      </c>
      <c r="P443" s="511" t="s">
        <v>1666</v>
      </c>
      <c r="Q443" s="572"/>
      <c r="R443" s="552"/>
      <c r="S443" s="552"/>
      <c r="T443" s="511"/>
      <c r="W443" s="549"/>
      <c r="X443" s="440"/>
      <c r="Y443" s="440"/>
      <c r="Z443" s="552"/>
      <c r="AA443" s="552"/>
      <c r="AB443" s="552"/>
      <c r="AC443" s="552"/>
      <c r="AE443" s="552"/>
      <c r="AF443" s="552"/>
      <c r="AG443" s="552"/>
    </row>
    <row r="444" spans="14:33">
      <c r="N444">
        <v>39205</v>
      </c>
      <c r="O444" s="511" t="s">
        <v>1677</v>
      </c>
      <c r="P444" s="511" t="s">
        <v>1666</v>
      </c>
      <c r="Q444" s="572"/>
      <c r="R444" s="552"/>
      <c r="S444" s="552"/>
      <c r="T444" s="512"/>
      <c r="W444" s="549"/>
      <c r="X444" s="440"/>
      <c r="Y444" s="440"/>
      <c r="Z444" s="552"/>
      <c r="AA444" s="552"/>
      <c r="AB444" s="552"/>
      <c r="AC444" s="552"/>
      <c r="AE444" s="552"/>
      <c r="AF444" s="552"/>
      <c r="AG444" s="552"/>
    </row>
    <row r="445" spans="14:33">
      <c r="N445">
        <v>39205</v>
      </c>
      <c r="O445" s="511" t="s">
        <v>1678</v>
      </c>
      <c r="P445" s="511" t="s">
        <v>1666</v>
      </c>
      <c r="Q445" s="572"/>
      <c r="R445" s="552"/>
      <c r="S445" s="552"/>
      <c r="W445" s="549"/>
      <c r="X445" s="440"/>
      <c r="Y445" s="440"/>
      <c r="Z445" s="552"/>
      <c r="AA445" s="552"/>
      <c r="AB445" s="552"/>
      <c r="AC445" s="552"/>
      <c r="AE445" s="552"/>
      <c r="AF445" s="552"/>
      <c r="AG445" s="552"/>
    </row>
    <row r="446" spans="14:33">
      <c r="N446" s="441">
        <v>392</v>
      </c>
      <c r="O446" s="512"/>
      <c r="P446" s="512"/>
      <c r="Q446" s="575">
        <f>Y42+Y43+Y44+Y45+Y46</f>
        <v>41664220.717936121</v>
      </c>
      <c r="R446" s="575">
        <f t="shared" ref="R446:S446" si="28">Z42+Z43+Z44+Z45+Z46</f>
        <v>-17283485.235455558</v>
      </c>
      <c r="S446" s="575">
        <f t="shared" si="28"/>
        <v>24380735.482480559</v>
      </c>
      <c r="T446" s="511"/>
      <c r="W446" s="549"/>
      <c r="X446" s="440"/>
      <c r="Y446" s="440"/>
      <c r="Z446" s="552"/>
      <c r="AA446" s="552"/>
      <c r="AB446" s="552"/>
      <c r="AC446" s="552"/>
      <c r="AE446" s="552"/>
      <c r="AF446" s="552"/>
      <c r="AG446" s="552"/>
    </row>
    <row r="447" spans="14:33">
      <c r="N447"/>
      <c r="O447" s="511"/>
      <c r="P447" s="511"/>
      <c r="Q447" s="552"/>
      <c r="R447" s="572"/>
      <c r="S447" s="552"/>
      <c r="T447" s="511"/>
      <c r="W447" s="549"/>
      <c r="X447" s="440"/>
      <c r="Y447" s="440"/>
      <c r="Z447" s="552"/>
      <c r="AA447" s="552"/>
      <c r="AB447" s="552"/>
      <c r="AC447" s="552"/>
      <c r="AE447" s="552"/>
      <c r="AF447" s="552"/>
      <c r="AG447" s="552"/>
    </row>
    <row r="448" spans="14:33">
      <c r="N448">
        <v>39300</v>
      </c>
      <c r="O448" s="511" t="s">
        <v>1679</v>
      </c>
      <c r="P448" s="511" t="s">
        <v>1680</v>
      </c>
      <c r="Q448" s="572"/>
      <c r="R448" s="552"/>
      <c r="S448" s="552"/>
      <c r="T448" s="511"/>
      <c r="W448" s="549"/>
      <c r="X448" s="440"/>
      <c r="Y448" s="440"/>
      <c r="Z448" s="552"/>
      <c r="AA448" s="552"/>
      <c r="AB448" s="552"/>
      <c r="AC448" s="552"/>
      <c r="AE448" s="552"/>
      <c r="AF448" s="552"/>
      <c r="AG448" s="552"/>
    </row>
    <row r="449" spans="10:33">
      <c r="N449">
        <v>39300</v>
      </c>
      <c r="O449" s="511" t="s">
        <v>1681</v>
      </c>
      <c r="P449" s="511" t="s">
        <v>1680</v>
      </c>
      <c r="Q449" s="572"/>
      <c r="R449" s="552"/>
      <c r="S449" s="552"/>
      <c r="T449" s="511"/>
      <c r="W449" s="549"/>
      <c r="X449" s="440"/>
      <c r="Y449" s="440"/>
      <c r="Z449" s="552"/>
      <c r="AA449" s="552"/>
      <c r="AB449" s="552"/>
      <c r="AC449" s="552"/>
      <c r="AE449" s="552"/>
      <c r="AF449" s="552"/>
      <c r="AG449" s="552"/>
    </row>
    <row r="450" spans="10:33">
      <c r="N450">
        <v>39300</v>
      </c>
      <c r="O450" s="511" t="s">
        <v>1682</v>
      </c>
      <c r="P450" s="511" t="s">
        <v>1680</v>
      </c>
      <c r="Q450" s="572"/>
      <c r="R450" s="552"/>
      <c r="S450" s="552"/>
      <c r="T450" s="511"/>
      <c r="W450" s="549"/>
      <c r="X450" s="440"/>
      <c r="Y450" s="440"/>
      <c r="Z450" s="564"/>
      <c r="AA450" s="564"/>
      <c r="AB450" s="564"/>
      <c r="AC450" s="552"/>
      <c r="AE450" s="552"/>
      <c r="AF450" s="552"/>
      <c r="AG450" s="552"/>
    </row>
    <row r="451" spans="10:33">
      <c r="N451">
        <v>39300</v>
      </c>
      <c r="O451" s="511" t="s">
        <v>1683</v>
      </c>
      <c r="P451" s="511" t="s">
        <v>1680</v>
      </c>
      <c r="Q451" s="572"/>
      <c r="R451" s="552"/>
      <c r="S451" s="552"/>
      <c r="T451" s="511"/>
      <c r="W451" s="549"/>
      <c r="X451" s="440"/>
      <c r="Y451" s="440"/>
      <c r="Z451" s="552"/>
      <c r="AA451" s="552"/>
      <c r="AB451" s="552"/>
      <c r="AC451" s="552"/>
      <c r="AE451" s="552"/>
      <c r="AF451" s="552"/>
      <c r="AG451" s="552"/>
    </row>
    <row r="452" spans="10:33">
      <c r="N452">
        <v>39300</v>
      </c>
      <c r="O452" s="511" t="s">
        <v>1684</v>
      </c>
      <c r="P452" s="511" t="s">
        <v>1680</v>
      </c>
      <c r="Q452" s="572"/>
      <c r="R452" s="552"/>
      <c r="S452" s="552"/>
      <c r="T452" s="511"/>
      <c r="W452" s="549"/>
      <c r="X452" s="440"/>
      <c r="Y452" s="440"/>
      <c r="Z452" s="552"/>
      <c r="AA452" s="552"/>
      <c r="AB452" s="552"/>
      <c r="AC452" s="552"/>
      <c r="AE452" s="552"/>
      <c r="AF452" s="552"/>
      <c r="AG452" s="552"/>
    </row>
    <row r="453" spans="10:33">
      <c r="N453">
        <v>39300</v>
      </c>
      <c r="O453" s="511" t="s">
        <v>1685</v>
      </c>
      <c r="P453" s="511" t="s">
        <v>1680</v>
      </c>
      <c r="Q453" s="572"/>
      <c r="R453" s="552"/>
      <c r="S453" s="552"/>
      <c r="T453" s="511"/>
      <c r="W453" s="549"/>
      <c r="X453" s="440"/>
      <c r="Y453" s="440"/>
      <c r="Z453" s="552"/>
      <c r="AA453" s="552"/>
      <c r="AB453" s="552"/>
      <c r="AC453" s="552"/>
      <c r="AE453" s="552"/>
      <c r="AF453" s="552"/>
      <c r="AG453" s="552"/>
    </row>
    <row r="454" spans="10:33">
      <c r="N454">
        <v>39300</v>
      </c>
      <c r="O454" s="511" t="s">
        <v>1686</v>
      </c>
      <c r="P454" s="511" t="s">
        <v>1680</v>
      </c>
      <c r="Q454" s="572"/>
      <c r="R454" s="552"/>
      <c r="S454" s="552"/>
      <c r="T454" s="511"/>
      <c r="W454" s="549"/>
      <c r="X454" s="440"/>
      <c r="Y454" s="440"/>
      <c r="Z454" s="552"/>
      <c r="AA454" s="552"/>
      <c r="AB454" s="552"/>
      <c r="AC454" s="575"/>
      <c r="AE454" s="552"/>
      <c r="AF454" s="552"/>
      <c r="AG454" s="552"/>
    </row>
    <row r="455" spans="10:33">
      <c r="N455">
        <v>39300</v>
      </c>
      <c r="O455" s="511" t="s">
        <v>1774</v>
      </c>
      <c r="P455" s="511" t="s">
        <v>1680</v>
      </c>
      <c r="Q455" s="572"/>
      <c r="R455" s="552"/>
      <c r="S455" s="552"/>
      <c r="T455" s="511"/>
      <c r="W455" s="549"/>
      <c r="X455" s="440"/>
      <c r="Y455" s="440"/>
      <c r="Z455" s="552"/>
      <c r="AA455" s="552"/>
      <c r="AB455" s="552"/>
      <c r="AC455" s="552"/>
      <c r="AE455" s="552"/>
      <c r="AF455" s="552"/>
      <c r="AG455" s="552"/>
    </row>
    <row r="456" spans="10:33">
      <c r="N456">
        <v>39300</v>
      </c>
      <c r="O456" s="511" t="s">
        <v>1687</v>
      </c>
      <c r="P456" s="511" t="s">
        <v>1680</v>
      </c>
      <c r="Q456" s="572"/>
      <c r="R456" s="552"/>
      <c r="S456" s="552"/>
      <c r="T456" s="511"/>
      <c r="W456" s="549"/>
      <c r="X456" s="440"/>
      <c r="Y456" s="440"/>
      <c r="Z456" s="552"/>
      <c r="AA456" s="552"/>
      <c r="AB456" s="552"/>
      <c r="AC456" s="552"/>
      <c r="AE456" s="552"/>
      <c r="AF456" s="552"/>
      <c r="AG456" s="552"/>
    </row>
    <row r="457" spans="10:33">
      <c r="J457" s="1" t="s">
        <v>1780</v>
      </c>
      <c r="N457">
        <v>39300</v>
      </c>
      <c r="O457" s="511" t="s">
        <v>1688</v>
      </c>
      <c r="P457" s="511" t="s">
        <v>1680</v>
      </c>
      <c r="Q457" s="572"/>
      <c r="R457" s="552"/>
      <c r="S457" s="552"/>
      <c r="T457" s="511"/>
      <c r="W457" s="549"/>
      <c r="X457" s="440"/>
      <c r="Y457" s="440"/>
      <c r="Z457" s="552"/>
      <c r="AA457" s="552"/>
      <c r="AB457" s="552"/>
      <c r="AC457" s="552"/>
      <c r="AE457" s="552"/>
      <c r="AF457" s="552"/>
      <c r="AG457" s="552"/>
    </row>
    <row r="458" spans="10:33">
      <c r="N458" s="441">
        <v>393</v>
      </c>
      <c r="O458" s="511"/>
      <c r="P458" s="511"/>
      <c r="Q458" s="575">
        <f>Y47</f>
        <v>1283.3900000000001</v>
      </c>
      <c r="R458" s="575">
        <f t="shared" ref="R458:S458" si="29">Z47</f>
        <v>-591.86611000006724</v>
      </c>
      <c r="S458" s="575">
        <f t="shared" si="29"/>
        <v>691.52388999993286</v>
      </c>
      <c r="T458" s="511"/>
      <c r="W458" s="549"/>
      <c r="X458" s="440"/>
      <c r="Y458" s="440"/>
      <c r="Z458" s="552"/>
      <c r="AA458" s="552"/>
      <c r="AB458" s="552"/>
      <c r="AC458" s="552"/>
      <c r="AE458" s="552"/>
      <c r="AF458" s="552"/>
      <c r="AG458" s="552"/>
    </row>
    <row r="459" spans="10:33">
      <c r="N459" s="441"/>
      <c r="O459" s="511"/>
      <c r="P459" s="511"/>
      <c r="Q459" s="552"/>
      <c r="R459" s="572"/>
      <c r="S459" s="552"/>
      <c r="T459" s="511"/>
      <c r="W459" s="549"/>
      <c r="X459" s="440"/>
      <c r="Y459" s="440"/>
      <c r="Z459" s="552"/>
      <c r="AA459" s="552"/>
      <c r="AB459" s="552"/>
      <c r="AC459" s="575"/>
      <c r="AE459" s="552"/>
      <c r="AF459" s="552"/>
      <c r="AG459" s="552"/>
    </row>
    <row r="460" spans="10:33">
      <c r="N460">
        <v>39400</v>
      </c>
      <c r="O460" s="511" t="s">
        <v>1689</v>
      </c>
      <c r="P460" s="511" t="s">
        <v>1690</v>
      </c>
      <c r="Q460" s="572"/>
      <c r="R460" s="552"/>
      <c r="S460" s="552"/>
      <c r="T460" s="511"/>
      <c r="W460" s="549"/>
      <c r="X460" s="440"/>
      <c r="Y460" s="440"/>
      <c r="Z460" s="552"/>
      <c r="AA460" s="552"/>
      <c r="AB460" s="552"/>
      <c r="AC460" s="552"/>
      <c r="AE460" s="552"/>
      <c r="AF460" s="552"/>
      <c r="AG460" s="552"/>
    </row>
    <row r="461" spans="10:33">
      <c r="N461">
        <v>39400</v>
      </c>
      <c r="O461" s="511" t="s">
        <v>1691</v>
      </c>
      <c r="P461" s="511" t="s">
        <v>1690</v>
      </c>
      <c r="Q461" s="572"/>
      <c r="R461" s="552"/>
      <c r="S461" s="552"/>
      <c r="T461" s="511"/>
      <c r="W461" s="549"/>
      <c r="X461" s="440"/>
      <c r="Y461" s="440"/>
      <c r="Z461" s="552"/>
      <c r="AA461" s="552"/>
      <c r="AB461" s="552"/>
      <c r="AC461" s="552"/>
      <c r="AE461" s="552"/>
      <c r="AF461" s="552"/>
      <c r="AG461" s="552"/>
    </row>
    <row r="462" spans="10:33">
      <c r="N462">
        <v>39400</v>
      </c>
      <c r="O462" s="511" t="s">
        <v>1692</v>
      </c>
      <c r="P462" s="511" t="s">
        <v>1690</v>
      </c>
      <c r="Q462" s="572"/>
      <c r="R462" s="552"/>
      <c r="S462" s="552"/>
      <c r="T462" s="511"/>
      <c r="W462" s="549"/>
      <c r="X462" s="440"/>
      <c r="Y462" s="440"/>
      <c r="Z462" s="564"/>
      <c r="AA462" s="564"/>
      <c r="AB462" s="564"/>
      <c r="AC462" s="552"/>
      <c r="AE462" s="552"/>
      <c r="AF462" s="552"/>
      <c r="AG462" s="552"/>
    </row>
    <row r="463" spans="10:33">
      <c r="N463">
        <v>39400</v>
      </c>
      <c r="O463" s="511" t="s">
        <v>1693</v>
      </c>
      <c r="P463" s="511" t="s">
        <v>1690</v>
      </c>
      <c r="Q463" s="572"/>
      <c r="R463" s="552"/>
      <c r="S463" s="552"/>
      <c r="T463" s="512"/>
      <c r="W463" s="549"/>
      <c r="X463" s="440"/>
      <c r="Y463" s="440"/>
      <c r="Z463" s="552"/>
      <c r="AA463" s="552"/>
      <c r="AB463" s="552"/>
      <c r="AC463" s="552"/>
      <c r="AE463" s="552"/>
      <c r="AF463" s="552"/>
      <c r="AG463" s="552"/>
    </row>
    <row r="464" spans="10:33">
      <c r="N464">
        <v>39400</v>
      </c>
      <c r="O464" s="511" t="s">
        <v>1694</v>
      </c>
      <c r="P464" s="511" t="s">
        <v>1690</v>
      </c>
      <c r="Q464" s="572"/>
      <c r="R464" s="552"/>
      <c r="S464" s="552"/>
      <c r="W464" s="549"/>
      <c r="X464" s="440"/>
      <c r="Y464" s="440"/>
      <c r="Z464" s="552"/>
      <c r="AA464" s="552"/>
      <c r="AB464" s="552"/>
      <c r="AC464" s="552"/>
      <c r="AE464" s="552"/>
      <c r="AF464" s="552"/>
      <c r="AG464" s="552"/>
    </row>
    <row r="465" spans="11:33">
      <c r="N465" s="567">
        <v>39400</v>
      </c>
      <c r="O465" s="568" t="s">
        <v>1695</v>
      </c>
      <c r="P465" s="568" t="s">
        <v>1690</v>
      </c>
      <c r="Q465" s="572"/>
      <c r="R465" s="552"/>
      <c r="S465" s="552"/>
      <c r="T465" s="511"/>
      <c r="W465" s="549"/>
      <c r="X465" s="440"/>
      <c r="Y465" s="440"/>
      <c r="Z465" s="552"/>
      <c r="AA465" s="552"/>
      <c r="AB465" s="552"/>
      <c r="AC465" s="552"/>
      <c r="AE465" s="552"/>
      <c r="AF465" s="552"/>
      <c r="AG465" s="552"/>
    </row>
    <row r="466" spans="11:33">
      <c r="N466">
        <v>39400</v>
      </c>
      <c r="O466" s="511" t="s">
        <v>1696</v>
      </c>
      <c r="P466" s="511" t="s">
        <v>1690</v>
      </c>
      <c r="Q466" s="572"/>
      <c r="R466" s="552"/>
      <c r="S466" s="552"/>
      <c r="T466" s="511"/>
      <c r="W466" s="549"/>
      <c r="X466" s="440"/>
      <c r="Y466" s="440"/>
      <c r="Z466" s="552"/>
      <c r="AA466" s="552"/>
      <c r="AB466" s="552"/>
      <c r="AC466" s="552"/>
      <c r="AE466" s="552"/>
      <c r="AF466" s="552"/>
      <c r="AG466" s="552"/>
    </row>
    <row r="467" spans="11:33">
      <c r="N467">
        <v>39400</v>
      </c>
      <c r="O467" s="511" t="s">
        <v>1697</v>
      </c>
      <c r="P467" s="511" t="s">
        <v>1690</v>
      </c>
      <c r="Q467" s="572"/>
      <c r="R467" s="552"/>
      <c r="S467" s="552"/>
      <c r="T467" s="511"/>
      <c r="W467" s="549"/>
      <c r="X467" s="440"/>
      <c r="Y467" s="440"/>
      <c r="Z467" s="552"/>
      <c r="AA467" s="552"/>
      <c r="AB467" s="552"/>
      <c r="AC467" s="552"/>
      <c r="AE467" s="552"/>
      <c r="AF467" s="552"/>
      <c r="AG467" s="552"/>
    </row>
    <row r="468" spans="11:33">
      <c r="N468">
        <v>39400</v>
      </c>
      <c r="O468" s="511" t="s">
        <v>1698</v>
      </c>
      <c r="P468" s="511" t="s">
        <v>1690</v>
      </c>
      <c r="Q468" s="572"/>
      <c r="R468" s="552"/>
      <c r="S468" s="552"/>
      <c r="T468" s="511"/>
      <c r="W468" s="549"/>
      <c r="X468" s="440"/>
      <c r="Y468" s="440"/>
      <c r="Z468" s="552"/>
      <c r="AA468" s="552"/>
      <c r="AB468" s="552"/>
      <c r="AC468" s="552"/>
      <c r="AE468" s="552"/>
      <c r="AF468" s="552"/>
      <c r="AG468" s="552"/>
    </row>
    <row r="469" spans="11:33">
      <c r="N469">
        <v>39400</v>
      </c>
      <c r="O469" s="511" t="s">
        <v>1699</v>
      </c>
      <c r="P469" s="511" t="s">
        <v>1690</v>
      </c>
      <c r="Q469" s="572"/>
      <c r="R469" s="552"/>
      <c r="S469" s="552"/>
      <c r="T469" s="512"/>
      <c r="W469" s="549"/>
      <c r="X469" s="440"/>
      <c r="Y469" s="440"/>
      <c r="Z469" s="552"/>
      <c r="AA469" s="552"/>
      <c r="AB469" s="552"/>
      <c r="AC469" s="552"/>
      <c r="AE469" s="552"/>
      <c r="AF469" s="552"/>
      <c r="AG469" s="552"/>
    </row>
    <row r="470" spans="11:33">
      <c r="K470" s="1" t="s">
        <v>1779</v>
      </c>
      <c r="L470" s="565"/>
      <c r="N470">
        <v>39400</v>
      </c>
      <c r="O470" s="511" t="s">
        <v>1700</v>
      </c>
      <c r="P470" s="511" t="s">
        <v>1690</v>
      </c>
      <c r="Q470" s="572"/>
      <c r="R470" s="552"/>
      <c r="S470" s="552"/>
      <c r="W470" s="549"/>
      <c r="X470" s="440"/>
      <c r="Y470" s="440"/>
      <c r="Z470" s="552"/>
      <c r="AA470" s="552"/>
      <c r="AB470" s="552"/>
      <c r="AC470" s="552"/>
      <c r="AE470" s="552"/>
      <c r="AF470" s="552"/>
      <c r="AG470" s="552"/>
    </row>
    <row r="471" spans="11:33">
      <c r="K471" s="1" t="s">
        <v>1786</v>
      </c>
      <c r="N471">
        <v>39400</v>
      </c>
      <c r="O471" s="511" t="s">
        <v>1701</v>
      </c>
      <c r="P471" s="511" t="s">
        <v>1690</v>
      </c>
      <c r="Q471" s="572"/>
      <c r="R471" s="552"/>
      <c r="S471" s="552"/>
      <c r="T471" s="511"/>
      <c r="W471" s="549"/>
      <c r="X471" s="440"/>
      <c r="Y471" s="440"/>
      <c r="Z471" s="552"/>
      <c r="AA471" s="552"/>
      <c r="AB471" s="552"/>
      <c r="AC471" s="552"/>
      <c r="AE471" s="552"/>
      <c r="AF471" s="552"/>
      <c r="AG471" s="552"/>
    </row>
    <row r="472" spans="11:33">
      <c r="N472">
        <v>39400</v>
      </c>
      <c r="O472" s="511" t="s">
        <v>1702</v>
      </c>
      <c r="P472" s="511" t="s">
        <v>1690</v>
      </c>
      <c r="Q472" s="572"/>
      <c r="R472" s="552"/>
      <c r="S472" s="552"/>
      <c r="T472" s="511"/>
      <c r="W472" s="549"/>
      <c r="X472" s="440"/>
      <c r="Y472" s="440"/>
      <c r="Z472" s="552"/>
      <c r="AA472" s="552"/>
      <c r="AB472" s="552"/>
      <c r="AC472" s="552"/>
      <c r="AE472" s="552"/>
      <c r="AF472" s="552"/>
      <c r="AG472" s="552"/>
    </row>
    <row r="473" spans="11:33">
      <c r="N473">
        <v>39400</v>
      </c>
      <c r="O473" s="511" t="s">
        <v>1703</v>
      </c>
      <c r="P473" s="511" t="s">
        <v>1690</v>
      </c>
      <c r="Q473" s="572"/>
      <c r="R473" s="552"/>
      <c r="S473" s="552"/>
      <c r="T473" s="511"/>
      <c r="W473" s="549"/>
      <c r="X473" s="440"/>
      <c r="Y473" s="440"/>
      <c r="Z473" s="552"/>
      <c r="AA473" s="552"/>
      <c r="AB473" s="552"/>
      <c r="AC473" s="552"/>
      <c r="AE473" s="552"/>
      <c r="AF473" s="552"/>
      <c r="AG473" s="552"/>
    </row>
    <row r="474" spans="11:33">
      <c r="N474">
        <v>39400</v>
      </c>
      <c r="O474" s="511" t="s">
        <v>1704</v>
      </c>
      <c r="P474" s="511" t="s">
        <v>1690</v>
      </c>
      <c r="Q474" s="572"/>
      <c r="R474" s="552"/>
      <c r="S474" s="552"/>
      <c r="T474" s="511"/>
      <c r="W474" s="549"/>
      <c r="X474" s="440"/>
      <c r="Y474" s="440"/>
      <c r="Z474" s="552"/>
      <c r="AA474" s="552"/>
      <c r="AB474" s="552"/>
      <c r="AC474" s="552"/>
      <c r="AE474" s="552"/>
      <c r="AF474" s="552"/>
      <c r="AG474" s="552"/>
    </row>
    <row r="475" spans="11:33">
      <c r="N475">
        <v>39400</v>
      </c>
      <c r="O475" s="511" t="s">
        <v>1705</v>
      </c>
      <c r="P475" s="511" t="s">
        <v>1690</v>
      </c>
      <c r="Q475" s="572"/>
      <c r="R475" s="552"/>
      <c r="S475" s="552"/>
      <c r="T475" s="511"/>
      <c r="W475" s="549"/>
      <c r="X475" s="440"/>
      <c r="Y475" s="440"/>
      <c r="Z475" s="552"/>
      <c r="AA475" s="552"/>
      <c r="AB475" s="552"/>
      <c r="AC475" s="575"/>
      <c r="AE475" s="552"/>
      <c r="AF475" s="552"/>
      <c r="AG475" s="552"/>
    </row>
    <row r="476" spans="11:33">
      <c r="N476">
        <v>39400</v>
      </c>
      <c r="O476" s="511" t="s">
        <v>1706</v>
      </c>
      <c r="P476" s="511" t="s">
        <v>1690</v>
      </c>
      <c r="Q476" s="572"/>
      <c r="R476" s="552"/>
      <c r="S476" s="552"/>
      <c r="T476" s="511"/>
      <c r="W476" s="549"/>
      <c r="X476" s="440"/>
      <c r="Y476" s="440"/>
      <c r="Z476" s="552"/>
      <c r="AA476" s="552"/>
      <c r="AB476" s="552"/>
      <c r="AC476" s="552"/>
      <c r="AE476" s="552"/>
      <c r="AF476" s="552"/>
      <c r="AG476" s="552"/>
    </row>
    <row r="477" spans="11:33">
      <c r="N477" s="440">
        <v>39401</v>
      </c>
      <c r="O477" s="512" t="s">
        <v>1775</v>
      </c>
      <c r="P477" s="512" t="s">
        <v>1770</v>
      </c>
      <c r="Q477" s="572"/>
      <c r="R477" s="552"/>
      <c r="S477" s="552"/>
      <c r="T477" s="511"/>
      <c r="W477" s="549"/>
      <c r="X477" s="440"/>
      <c r="Y477" s="440"/>
      <c r="Z477" s="552"/>
      <c r="AA477" s="552"/>
      <c r="AB477" s="552"/>
      <c r="AC477" s="552"/>
      <c r="AE477" s="552"/>
      <c r="AF477" s="552"/>
      <c r="AG477" s="552"/>
    </row>
    <row r="478" spans="11:33">
      <c r="N478" s="551">
        <v>39401</v>
      </c>
      <c r="O478" s="566" t="s">
        <v>1776</v>
      </c>
      <c r="P478" s="566" t="s">
        <v>1770</v>
      </c>
      <c r="Q478" s="574"/>
      <c r="R478" s="552"/>
      <c r="S478" s="552"/>
      <c r="T478" s="511"/>
      <c r="W478" s="549"/>
      <c r="X478" s="440"/>
      <c r="Y478" s="440"/>
      <c r="Z478" s="552"/>
      <c r="AA478" s="552"/>
      <c r="AB478" s="552"/>
      <c r="AC478" s="552"/>
      <c r="AE478" s="552"/>
      <c r="AF478" s="552"/>
      <c r="AG478" s="552"/>
    </row>
    <row r="479" spans="11:33">
      <c r="N479" s="573">
        <v>39401</v>
      </c>
      <c r="O479" s="551" t="s">
        <v>1784</v>
      </c>
      <c r="P479" s="551" t="s">
        <v>1785</v>
      </c>
      <c r="Q479" s="572"/>
      <c r="R479" s="552"/>
      <c r="S479" s="552"/>
      <c r="T479" s="511"/>
      <c r="W479" s="549"/>
      <c r="X479" s="440"/>
      <c r="Y479" s="440"/>
      <c r="Z479" s="552"/>
      <c r="AA479" s="552"/>
      <c r="AB479" s="552"/>
      <c r="AC479" s="552"/>
      <c r="AE479" s="552"/>
      <c r="AF479" s="552"/>
      <c r="AG479" s="552"/>
    </row>
    <row r="480" spans="11:33">
      <c r="N480" s="440">
        <v>39401</v>
      </c>
      <c r="O480" s="512" t="s">
        <v>1777</v>
      </c>
      <c r="P480" s="512" t="s">
        <v>1770</v>
      </c>
      <c r="Q480" s="572"/>
      <c r="R480" s="552"/>
      <c r="S480" s="552"/>
      <c r="T480" s="511"/>
      <c r="W480" s="549"/>
      <c r="X480" s="440"/>
      <c r="Y480" s="440"/>
      <c r="Z480" s="552"/>
      <c r="AA480" s="552"/>
      <c r="AB480" s="552"/>
      <c r="AC480" s="552"/>
      <c r="AE480" s="552"/>
      <c r="AF480" s="552"/>
      <c r="AG480" s="552"/>
    </row>
    <row r="481" spans="14:33">
      <c r="N481" s="441">
        <v>394</v>
      </c>
      <c r="O481" s="511"/>
      <c r="P481" s="511"/>
      <c r="Q481" s="552">
        <f>Y48+Y49</f>
        <v>9305532.7740000002</v>
      </c>
      <c r="R481" s="552">
        <f t="shared" ref="R481:S481" si="30">Z48+Z49</f>
        <v>-4331410.5892910678</v>
      </c>
      <c r="S481" s="552">
        <f t="shared" si="30"/>
        <v>4974122.1847089333</v>
      </c>
      <c r="T481" s="511"/>
      <c r="W481" s="549"/>
      <c r="X481" s="440"/>
      <c r="Y481" s="440"/>
      <c r="Z481" s="552"/>
      <c r="AA481" s="552"/>
      <c r="AB481" s="552"/>
      <c r="AC481" s="552"/>
      <c r="AE481" s="552"/>
      <c r="AF481" s="552"/>
      <c r="AG481" s="552"/>
    </row>
    <row r="482" spans="14:33">
      <c r="N482" s="441"/>
      <c r="O482" s="511"/>
      <c r="P482" s="511"/>
      <c r="Q482" s="552"/>
      <c r="R482" s="572"/>
      <c r="S482" s="552"/>
      <c r="T482" s="511"/>
      <c r="W482" s="554"/>
      <c r="X482" s="440"/>
      <c r="Y482" s="440"/>
      <c r="Z482" s="552"/>
      <c r="AA482" s="552"/>
      <c r="AB482" s="552"/>
      <c r="AC482" s="552"/>
      <c r="AE482" s="552"/>
      <c r="AF482" s="552"/>
      <c r="AG482" s="552"/>
    </row>
    <row r="483" spans="14:33">
      <c r="N483">
        <v>39500</v>
      </c>
      <c r="O483" s="511" t="s">
        <v>1707</v>
      </c>
      <c r="P483" s="511" t="s">
        <v>1708</v>
      </c>
      <c r="Q483" s="572"/>
      <c r="R483" s="552"/>
      <c r="S483" s="552"/>
      <c r="T483" s="511"/>
      <c r="W483" s="549"/>
      <c r="X483" s="440"/>
      <c r="Y483" s="440"/>
      <c r="Z483" s="552"/>
      <c r="AA483" s="552"/>
      <c r="AB483" s="552"/>
      <c r="AC483" s="552"/>
      <c r="AE483" s="552"/>
      <c r="AF483" s="552"/>
      <c r="AG483" s="552"/>
    </row>
    <row r="484" spans="14:33">
      <c r="N484">
        <v>39500</v>
      </c>
      <c r="O484" s="511" t="s">
        <v>1709</v>
      </c>
      <c r="P484" s="511" t="s">
        <v>1708</v>
      </c>
      <c r="Q484" s="572"/>
      <c r="R484" s="552"/>
      <c r="S484" s="552"/>
      <c r="T484" s="511"/>
      <c r="W484" s="549"/>
      <c r="X484" s="440"/>
      <c r="Y484" s="440"/>
      <c r="Z484" s="552"/>
      <c r="AA484" s="552"/>
      <c r="AB484" s="552"/>
      <c r="AC484" s="552"/>
      <c r="AE484" s="552"/>
      <c r="AF484" s="552"/>
      <c r="AG484" s="552"/>
    </row>
    <row r="485" spans="14:33">
      <c r="N485">
        <v>39500</v>
      </c>
      <c r="O485" s="511" t="s">
        <v>1710</v>
      </c>
      <c r="P485" s="511" t="s">
        <v>1708</v>
      </c>
      <c r="Q485" s="572"/>
      <c r="R485" s="552"/>
      <c r="S485" s="552"/>
      <c r="T485" s="511"/>
      <c r="W485" s="549"/>
      <c r="X485" s="440"/>
      <c r="Y485" s="440"/>
      <c r="Z485" s="552"/>
      <c r="AA485" s="552"/>
      <c r="AB485" s="552"/>
      <c r="AC485" s="552"/>
      <c r="AE485" s="552"/>
      <c r="AF485" s="552"/>
      <c r="AG485" s="552"/>
    </row>
    <row r="486" spans="14:33">
      <c r="N486">
        <v>39500</v>
      </c>
      <c r="O486" s="511" t="s">
        <v>1711</v>
      </c>
      <c r="P486" s="511" t="s">
        <v>1708</v>
      </c>
      <c r="Q486" s="572"/>
      <c r="R486" s="552"/>
      <c r="S486" s="552"/>
      <c r="T486" s="512"/>
      <c r="W486" s="549"/>
      <c r="X486" s="440"/>
      <c r="Y486" s="440"/>
      <c r="Z486" s="552"/>
      <c r="AA486" s="552"/>
      <c r="AB486" s="552"/>
      <c r="AC486" s="552"/>
      <c r="AE486" s="552"/>
      <c r="AF486" s="552"/>
      <c r="AG486" s="552"/>
    </row>
    <row r="487" spans="14:33">
      <c r="N487" s="441">
        <v>395</v>
      </c>
      <c r="O487" s="512"/>
      <c r="P487" s="512"/>
      <c r="Q487" s="575">
        <f>Y50</f>
        <v>0</v>
      </c>
      <c r="R487" s="575">
        <f t="shared" ref="R487:S487" si="31">Z50</f>
        <v>-1.4915713109076023E-10</v>
      </c>
      <c r="S487" s="575">
        <f t="shared" si="31"/>
        <v>-1.4915713109076023E-10</v>
      </c>
      <c r="W487" s="549"/>
      <c r="X487" s="440"/>
      <c r="Y487" s="440"/>
      <c r="Z487" s="564"/>
      <c r="AA487" s="564"/>
      <c r="AB487" s="564"/>
      <c r="AC487" s="552"/>
      <c r="AE487" s="552"/>
      <c r="AF487" s="552"/>
      <c r="AG487" s="552"/>
    </row>
    <row r="488" spans="14:33">
      <c r="N488"/>
      <c r="O488" s="511"/>
      <c r="P488" s="511"/>
      <c r="Q488" s="552"/>
      <c r="R488" s="572"/>
      <c r="S488" s="552"/>
      <c r="T488" s="511"/>
      <c r="W488" s="549"/>
      <c r="X488" s="440"/>
      <c r="Y488" s="440"/>
      <c r="Z488" s="552"/>
      <c r="AA488" s="552"/>
      <c r="AB488" s="552"/>
      <c r="AC488" s="552"/>
      <c r="AE488" s="552"/>
      <c r="AF488" s="552"/>
      <c r="AG488" s="552"/>
    </row>
    <row r="489" spans="14:33">
      <c r="N489">
        <v>39600</v>
      </c>
      <c r="O489" s="511" t="s">
        <v>1712</v>
      </c>
      <c r="P489" s="511" t="s">
        <v>1713</v>
      </c>
      <c r="Q489" s="572"/>
      <c r="R489" s="552"/>
      <c r="S489" s="552"/>
      <c r="T489" s="511"/>
      <c r="W489" s="549"/>
      <c r="X489" s="440"/>
      <c r="Y489" s="440"/>
      <c r="Z489" s="552"/>
      <c r="AA489" s="552"/>
      <c r="AB489" s="552"/>
      <c r="AC489" s="552"/>
      <c r="AE489" s="552"/>
      <c r="AF489" s="552"/>
      <c r="AG489" s="552"/>
    </row>
    <row r="490" spans="14:33">
      <c r="N490">
        <v>39600</v>
      </c>
      <c r="O490" s="511" t="s">
        <v>1714</v>
      </c>
      <c r="P490" s="511" t="s">
        <v>1713</v>
      </c>
      <c r="Q490" s="572"/>
      <c r="R490" s="552"/>
      <c r="S490" s="552"/>
      <c r="T490" s="511"/>
      <c r="W490" s="549"/>
      <c r="X490" s="440"/>
      <c r="Y490" s="440"/>
      <c r="Z490" s="552"/>
      <c r="AA490" s="552"/>
      <c r="AB490" s="552"/>
      <c r="AC490" s="552"/>
      <c r="AE490" s="552"/>
      <c r="AF490" s="552"/>
      <c r="AG490" s="552"/>
    </row>
    <row r="491" spans="14:33">
      <c r="N491">
        <v>39600</v>
      </c>
      <c r="O491" s="511" t="s">
        <v>1715</v>
      </c>
      <c r="P491" s="511" t="s">
        <v>1713</v>
      </c>
      <c r="Q491" s="572"/>
      <c r="R491" s="552"/>
      <c r="S491" s="552"/>
      <c r="T491" s="511"/>
      <c r="W491" s="549"/>
      <c r="X491" s="440"/>
      <c r="Y491" s="440"/>
      <c r="Z491" s="552"/>
      <c r="AA491" s="552"/>
      <c r="AB491" s="552"/>
      <c r="AC491" s="552"/>
      <c r="AE491" s="552"/>
      <c r="AF491" s="552"/>
      <c r="AG491" s="552"/>
    </row>
    <row r="492" spans="14:33">
      <c r="N492">
        <v>39600</v>
      </c>
      <c r="O492" s="511" t="s">
        <v>1716</v>
      </c>
      <c r="P492" s="511" t="s">
        <v>1713</v>
      </c>
      <c r="Q492" s="572"/>
      <c r="R492" s="552"/>
      <c r="S492" s="552"/>
      <c r="T492" s="511"/>
      <c r="W492" s="549"/>
      <c r="X492" s="440"/>
      <c r="Y492" s="440"/>
      <c r="Z492" s="552"/>
      <c r="AA492" s="552"/>
      <c r="AB492" s="552"/>
      <c r="AC492" s="575"/>
      <c r="AE492" s="552"/>
      <c r="AF492" s="552"/>
      <c r="AG492" s="552"/>
    </row>
    <row r="493" spans="14:33">
      <c r="N493">
        <v>39600</v>
      </c>
      <c r="O493" s="511" t="s">
        <v>1717</v>
      </c>
      <c r="P493" s="511" t="s">
        <v>1713</v>
      </c>
      <c r="Q493" s="572"/>
      <c r="R493" s="552"/>
      <c r="S493" s="552"/>
      <c r="T493" s="511"/>
      <c r="W493" s="549"/>
      <c r="X493" s="440"/>
      <c r="Y493" s="440"/>
      <c r="Z493" s="552"/>
      <c r="AA493" s="552"/>
      <c r="AB493" s="552"/>
      <c r="AC493" s="552"/>
      <c r="AE493" s="552"/>
      <c r="AF493" s="552"/>
      <c r="AG493" s="552"/>
    </row>
    <row r="494" spans="14:33">
      <c r="N494">
        <v>39600</v>
      </c>
      <c r="O494" s="511" t="s">
        <v>1718</v>
      </c>
      <c r="P494" s="511" t="s">
        <v>1713</v>
      </c>
      <c r="Q494" s="572"/>
      <c r="R494" s="552"/>
      <c r="S494" s="552"/>
      <c r="T494" s="511"/>
      <c r="W494" s="549"/>
      <c r="X494" s="440"/>
      <c r="Y494" s="440"/>
      <c r="Z494" s="552"/>
      <c r="AA494" s="552"/>
      <c r="AB494" s="552"/>
      <c r="AC494" s="552"/>
      <c r="AE494" s="552"/>
      <c r="AF494" s="552"/>
      <c r="AG494" s="552"/>
    </row>
    <row r="495" spans="14:33">
      <c r="N495">
        <v>39600</v>
      </c>
      <c r="O495" s="511" t="s">
        <v>1719</v>
      </c>
      <c r="P495" s="511" t="s">
        <v>1713</v>
      </c>
      <c r="Q495" s="572"/>
      <c r="R495" s="552"/>
      <c r="S495" s="552"/>
      <c r="T495" s="511"/>
      <c r="W495" s="549"/>
      <c r="X495" s="440"/>
      <c r="Y495" s="440"/>
      <c r="Z495" s="552"/>
      <c r="AA495" s="552"/>
      <c r="AB495" s="552"/>
      <c r="AC495" s="552"/>
      <c r="AE495" s="552"/>
      <c r="AF495" s="552"/>
      <c r="AG495" s="552"/>
    </row>
    <row r="496" spans="14:33">
      <c r="N496">
        <v>39600</v>
      </c>
      <c r="O496" s="511" t="s">
        <v>1720</v>
      </c>
      <c r="P496" s="511" t="s">
        <v>1713</v>
      </c>
      <c r="Q496" s="572"/>
      <c r="R496" s="552"/>
      <c r="S496" s="552"/>
      <c r="T496" s="511"/>
      <c r="W496" s="549"/>
      <c r="X496" s="440"/>
      <c r="Y496" s="440"/>
      <c r="Z496" s="552"/>
      <c r="AA496" s="552"/>
      <c r="AB496" s="552"/>
      <c r="AC496" s="552"/>
      <c r="AE496" s="552"/>
      <c r="AF496" s="552"/>
      <c r="AG496" s="552"/>
    </row>
    <row r="497" spans="14:33">
      <c r="N497">
        <v>39600</v>
      </c>
      <c r="O497" s="511" t="s">
        <v>1721</v>
      </c>
      <c r="P497" s="511" t="s">
        <v>1713</v>
      </c>
      <c r="Q497" s="572"/>
      <c r="R497" s="552"/>
      <c r="S497" s="552"/>
      <c r="T497" s="511"/>
      <c r="W497" s="549"/>
      <c r="X497" s="440"/>
      <c r="Y497" s="440"/>
      <c r="Z497" s="552"/>
      <c r="AA497" s="552"/>
      <c r="AB497" s="552"/>
      <c r="AC497" s="552"/>
      <c r="AE497" s="552"/>
      <c r="AF497" s="552"/>
      <c r="AG497" s="552"/>
    </row>
    <row r="498" spans="14:33">
      <c r="N498" s="440">
        <v>39600</v>
      </c>
      <c r="O498" s="516" t="s">
        <v>1722</v>
      </c>
      <c r="P498" s="516" t="s">
        <v>1713</v>
      </c>
      <c r="Q498" s="572"/>
      <c r="R498" s="552"/>
      <c r="S498" s="552"/>
      <c r="T498" s="511"/>
      <c r="W498" s="549"/>
      <c r="X498" s="440"/>
      <c r="Y498" s="440"/>
      <c r="Z498" s="552"/>
      <c r="AA498" s="552"/>
      <c r="AB498" s="552"/>
      <c r="AC498" s="552"/>
      <c r="AE498" s="552"/>
      <c r="AF498" s="552"/>
      <c r="AG498" s="552"/>
    </row>
    <row r="499" spans="14:33">
      <c r="N499" s="1">
        <v>39600</v>
      </c>
      <c r="O499" s="1" t="s">
        <v>1723</v>
      </c>
      <c r="P499" s="1" t="s">
        <v>1713</v>
      </c>
      <c r="Q499" s="572"/>
      <c r="R499" s="552"/>
      <c r="S499" s="552"/>
      <c r="T499" s="511"/>
      <c r="W499" s="549"/>
      <c r="X499" s="440"/>
      <c r="Y499" s="440"/>
      <c r="Z499" s="552"/>
      <c r="AA499" s="552"/>
      <c r="AB499" s="552"/>
      <c r="AC499" s="552"/>
      <c r="AE499" s="552"/>
      <c r="AF499" s="552"/>
      <c r="AG499" s="552"/>
    </row>
    <row r="500" spans="14:33">
      <c r="N500">
        <v>39600</v>
      </c>
      <c r="O500" s="511" t="s">
        <v>1724</v>
      </c>
      <c r="P500" s="511" t="s">
        <v>1713</v>
      </c>
      <c r="Q500" s="572"/>
      <c r="R500" s="552"/>
      <c r="S500" s="552"/>
      <c r="T500" s="511"/>
      <c r="W500" s="549"/>
      <c r="X500" s="440"/>
      <c r="Y500" s="440"/>
      <c r="Z500" s="552"/>
      <c r="AA500" s="552"/>
      <c r="AB500" s="552"/>
      <c r="AC500" s="552"/>
      <c r="AE500" s="552"/>
      <c r="AF500" s="552"/>
      <c r="AG500" s="552"/>
    </row>
    <row r="501" spans="14:33">
      <c r="N501">
        <v>39600</v>
      </c>
      <c r="O501" s="511" t="s">
        <v>1725</v>
      </c>
      <c r="P501" s="511" t="s">
        <v>1713</v>
      </c>
      <c r="Q501" s="572"/>
      <c r="R501" s="552"/>
      <c r="S501" s="552"/>
      <c r="T501" s="511"/>
      <c r="W501" s="549"/>
      <c r="X501" s="440"/>
      <c r="Y501" s="440"/>
      <c r="Z501" s="552"/>
      <c r="AA501" s="552"/>
      <c r="AB501" s="552"/>
      <c r="AC501" s="552"/>
      <c r="AE501" s="552"/>
      <c r="AF501" s="552"/>
      <c r="AG501" s="552"/>
    </row>
    <row r="502" spans="14:33">
      <c r="N502">
        <v>39600</v>
      </c>
      <c r="O502" s="511" t="s">
        <v>1726</v>
      </c>
      <c r="P502" s="511" t="s">
        <v>1713</v>
      </c>
      <c r="Q502" s="572"/>
      <c r="R502" s="552"/>
      <c r="S502" s="552"/>
      <c r="T502" s="511"/>
      <c r="W502" s="549"/>
      <c r="X502" s="440"/>
      <c r="Y502" s="440"/>
      <c r="Z502" s="552"/>
      <c r="AA502" s="552"/>
      <c r="AB502" s="552"/>
      <c r="AC502" s="552"/>
      <c r="AE502" s="552"/>
      <c r="AF502" s="552"/>
      <c r="AG502" s="552"/>
    </row>
    <row r="503" spans="14:33">
      <c r="N503">
        <v>39600</v>
      </c>
      <c r="O503" s="511" t="s">
        <v>1727</v>
      </c>
      <c r="P503" s="511" t="s">
        <v>1713</v>
      </c>
      <c r="Q503" s="572"/>
      <c r="R503" s="552"/>
      <c r="S503" s="552"/>
      <c r="T503" s="511"/>
      <c r="W503" s="549"/>
      <c r="X503" s="440"/>
      <c r="Y503" s="440"/>
      <c r="Z503" s="552"/>
      <c r="AA503" s="552"/>
      <c r="AB503" s="552"/>
      <c r="AC503" s="552"/>
      <c r="AE503" s="552"/>
      <c r="AF503" s="552"/>
      <c r="AG503" s="552"/>
    </row>
    <row r="504" spans="14:33">
      <c r="N504" s="441">
        <v>396</v>
      </c>
      <c r="O504" s="512"/>
      <c r="P504" s="512"/>
      <c r="Q504" s="575">
        <f>Y51</f>
        <v>3662717.0561728841</v>
      </c>
      <c r="R504" s="575">
        <f t="shared" ref="R504:S504" si="32">Z51</f>
        <v>-2114583.3890928603</v>
      </c>
      <c r="S504" s="575">
        <f t="shared" si="32"/>
        <v>1548133.6670800238</v>
      </c>
      <c r="T504" s="512"/>
      <c r="W504" s="549"/>
      <c r="X504" s="440"/>
      <c r="Y504" s="440"/>
      <c r="Z504" s="552"/>
      <c r="AA504" s="552"/>
      <c r="AB504" s="552"/>
      <c r="AC504" s="552"/>
      <c r="AE504" s="552"/>
      <c r="AF504" s="552"/>
      <c r="AG504" s="552"/>
    </row>
    <row r="505" spans="14:33">
      <c r="N505"/>
      <c r="O505" s="511"/>
      <c r="P505" s="511"/>
      <c r="Q505" s="552"/>
      <c r="R505" s="572"/>
      <c r="S505" s="552"/>
      <c r="W505" s="549"/>
      <c r="X505" s="440"/>
      <c r="Y505" s="440"/>
      <c r="Z505" s="552"/>
      <c r="AA505" s="552"/>
      <c r="AB505" s="552"/>
      <c r="AC505" s="552"/>
      <c r="AE505" s="552"/>
      <c r="AF505" s="552"/>
      <c r="AG505" s="552"/>
    </row>
    <row r="506" spans="14:33">
      <c r="N506">
        <v>39700</v>
      </c>
      <c r="O506" s="511" t="s">
        <v>1728</v>
      </c>
      <c r="P506" s="511" t="s">
        <v>1729</v>
      </c>
      <c r="Q506" s="572"/>
      <c r="R506" s="552"/>
      <c r="S506" s="552"/>
      <c r="T506" s="511"/>
      <c r="W506" s="549"/>
      <c r="X506" s="440"/>
      <c r="Y506" s="440"/>
      <c r="Z506" s="552"/>
      <c r="AA506" s="552"/>
      <c r="AB506" s="552"/>
      <c r="AC506" s="552"/>
      <c r="AE506" s="552"/>
      <c r="AF506" s="552"/>
      <c r="AG506" s="552"/>
    </row>
    <row r="507" spans="14:33">
      <c r="N507">
        <v>39700</v>
      </c>
      <c r="O507" s="511" t="s">
        <v>1730</v>
      </c>
      <c r="P507" s="511" t="s">
        <v>1729</v>
      </c>
      <c r="Q507" s="572"/>
      <c r="R507" s="552"/>
      <c r="S507" s="552"/>
      <c r="T507" s="511"/>
      <c r="W507" s="549"/>
      <c r="X507" s="440"/>
      <c r="Y507" s="440"/>
      <c r="Z507" s="552"/>
      <c r="AA507" s="552"/>
      <c r="AB507" s="552"/>
      <c r="AC507" s="552"/>
      <c r="AE507" s="552"/>
      <c r="AF507" s="552"/>
      <c r="AG507" s="552"/>
    </row>
    <row r="508" spans="14:33">
      <c r="N508">
        <v>39700</v>
      </c>
      <c r="O508" s="511" t="s">
        <v>1731</v>
      </c>
      <c r="P508" s="511" t="s">
        <v>1729</v>
      </c>
      <c r="Q508" s="572"/>
      <c r="R508" s="552"/>
      <c r="S508" s="552"/>
      <c r="T508" s="511"/>
      <c r="W508" s="549"/>
      <c r="X508" s="440"/>
      <c r="Y508" s="440"/>
      <c r="Z508" s="552"/>
      <c r="AA508" s="552"/>
      <c r="AB508" s="552"/>
      <c r="AC508" s="575"/>
      <c r="AE508" s="552"/>
      <c r="AF508" s="552"/>
      <c r="AG508" s="552"/>
    </row>
    <row r="509" spans="14:33">
      <c r="N509">
        <v>39700</v>
      </c>
      <c r="O509" s="511" t="s">
        <v>1732</v>
      </c>
      <c r="P509" s="511" t="s">
        <v>1729</v>
      </c>
      <c r="Q509" s="572"/>
      <c r="R509" s="552"/>
      <c r="S509" s="552"/>
      <c r="T509" s="511"/>
      <c r="W509" s="549"/>
      <c r="X509" s="440"/>
      <c r="Y509" s="440"/>
      <c r="Z509" s="552"/>
      <c r="AA509" s="552"/>
      <c r="AB509" s="552"/>
      <c r="AC509" s="552"/>
      <c r="AE509" s="552"/>
      <c r="AF509" s="552"/>
      <c r="AG509" s="552"/>
    </row>
    <row r="510" spans="14:33">
      <c r="N510">
        <v>39700</v>
      </c>
      <c r="O510" s="511" t="s">
        <v>1733</v>
      </c>
      <c r="P510" s="511" t="s">
        <v>1729</v>
      </c>
      <c r="Q510" s="572"/>
      <c r="R510" s="552"/>
      <c r="S510" s="552"/>
      <c r="T510" s="511"/>
      <c r="W510" s="549"/>
      <c r="X510" s="440"/>
      <c r="Y510" s="440"/>
      <c r="Z510" s="564"/>
      <c r="AA510" s="564"/>
      <c r="AB510" s="564"/>
      <c r="AC510" s="552"/>
      <c r="AE510" s="552"/>
      <c r="AF510" s="552"/>
      <c r="AG510" s="552"/>
    </row>
    <row r="511" spans="14:33">
      <c r="N511" s="440">
        <v>39700</v>
      </c>
      <c r="O511" s="516" t="s">
        <v>1734</v>
      </c>
      <c r="P511" s="516" t="s">
        <v>1729</v>
      </c>
      <c r="Q511" s="572"/>
      <c r="R511" s="552"/>
      <c r="S511" s="552"/>
      <c r="T511" s="511"/>
      <c r="W511" s="549"/>
      <c r="X511" s="440"/>
      <c r="Y511" s="440"/>
      <c r="Z511" s="552"/>
      <c r="AA511" s="552"/>
      <c r="AB511" s="552"/>
      <c r="AC511" s="552"/>
      <c r="AE511" s="552"/>
      <c r="AF511" s="552"/>
      <c r="AG511" s="552"/>
    </row>
    <row r="512" spans="14:33">
      <c r="N512" s="1">
        <v>39700</v>
      </c>
      <c r="O512" s="1" t="s">
        <v>1735</v>
      </c>
      <c r="P512" s="1" t="s">
        <v>1729</v>
      </c>
      <c r="Q512" s="572"/>
      <c r="R512" s="552"/>
      <c r="S512" s="552"/>
      <c r="T512" s="511"/>
      <c r="W512" s="549"/>
      <c r="X512" s="440"/>
      <c r="Y512" s="440"/>
      <c r="Z512" s="552"/>
      <c r="AA512" s="552"/>
      <c r="AB512" s="552"/>
      <c r="AC512" s="552"/>
      <c r="AE512" s="552"/>
      <c r="AF512" s="552"/>
      <c r="AG512" s="552"/>
    </row>
    <row r="513" spans="14:33">
      <c r="N513">
        <v>39700</v>
      </c>
      <c r="O513" s="511" t="s">
        <v>1736</v>
      </c>
      <c r="P513" s="511" t="s">
        <v>1729</v>
      </c>
      <c r="Q513" s="572"/>
      <c r="R513" s="552"/>
      <c r="S513" s="552"/>
      <c r="T513" s="511"/>
      <c r="W513" s="549"/>
      <c r="X513" s="440"/>
      <c r="Y513" s="440"/>
      <c r="Z513" s="552"/>
      <c r="AA513" s="552"/>
      <c r="AB513" s="552"/>
      <c r="AC513" s="552"/>
      <c r="AE513" s="552"/>
      <c r="AF513" s="552"/>
      <c r="AG513" s="552"/>
    </row>
    <row r="514" spans="14:33">
      <c r="N514">
        <v>39700</v>
      </c>
      <c r="O514" s="511" t="s">
        <v>1737</v>
      </c>
      <c r="P514" s="511" t="s">
        <v>1729</v>
      </c>
      <c r="Q514" s="572"/>
      <c r="R514" s="552"/>
      <c r="S514" s="552"/>
      <c r="T514" s="511"/>
      <c r="W514" s="549"/>
      <c r="X514" s="440"/>
      <c r="Y514" s="440"/>
      <c r="Z514" s="552"/>
      <c r="AA514" s="552"/>
      <c r="AB514" s="552"/>
      <c r="AC514" s="552"/>
      <c r="AE514" s="552"/>
      <c r="AF514" s="552"/>
      <c r="AG514" s="552"/>
    </row>
    <row r="515" spans="14:33">
      <c r="N515">
        <v>39700</v>
      </c>
      <c r="O515" s="511" t="s">
        <v>1738</v>
      </c>
      <c r="P515" s="511" t="s">
        <v>1729</v>
      </c>
      <c r="Q515" s="572"/>
      <c r="R515" s="552"/>
      <c r="S515" s="552"/>
      <c r="T515" s="511"/>
      <c r="W515" s="549"/>
      <c r="X515" s="440"/>
      <c r="Y515" s="440"/>
      <c r="Z515" s="552"/>
      <c r="AA515" s="552"/>
      <c r="AB515" s="552"/>
      <c r="AC515" s="552"/>
      <c r="AE515" s="552"/>
      <c r="AF515" s="552"/>
      <c r="AG515" s="552"/>
    </row>
    <row r="516" spans="14:33">
      <c r="N516">
        <v>39700</v>
      </c>
      <c r="O516" s="511" t="s">
        <v>1739</v>
      </c>
      <c r="P516" s="511" t="s">
        <v>1729</v>
      </c>
      <c r="Q516" s="572"/>
      <c r="R516" s="552"/>
      <c r="S516" s="552"/>
      <c r="T516" s="511"/>
      <c r="W516" s="549"/>
      <c r="X516" s="440"/>
      <c r="Y516" s="440"/>
      <c r="Z516" s="552"/>
      <c r="AA516" s="552"/>
      <c r="AB516" s="552"/>
      <c r="AC516" s="552"/>
      <c r="AE516" s="552"/>
      <c r="AF516" s="552"/>
      <c r="AG516" s="552"/>
    </row>
    <row r="517" spans="14:33">
      <c r="N517">
        <v>39700</v>
      </c>
      <c r="O517" s="511" t="s">
        <v>1740</v>
      </c>
      <c r="P517" s="511" t="s">
        <v>1729</v>
      </c>
      <c r="Q517" s="572"/>
      <c r="R517" s="552"/>
      <c r="S517" s="552"/>
      <c r="T517" s="511"/>
      <c r="W517" s="549"/>
      <c r="X517" s="440"/>
      <c r="Y517" s="440"/>
      <c r="Z517" s="552"/>
      <c r="AA517" s="552"/>
      <c r="AB517" s="552"/>
      <c r="AC517" s="552"/>
      <c r="AE517" s="552"/>
      <c r="AF517" s="552"/>
      <c r="AG517" s="552"/>
    </row>
    <row r="518" spans="14:33">
      <c r="N518">
        <v>39700</v>
      </c>
      <c r="O518" s="511" t="s">
        <v>1741</v>
      </c>
      <c r="P518" s="511" t="s">
        <v>1729</v>
      </c>
      <c r="Q518" s="572"/>
      <c r="R518" s="552"/>
      <c r="S518" s="552"/>
      <c r="T518" s="511"/>
      <c r="W518" s="549"/>
      <c r="X518" s="440"/>
      <c r="Y518" s="440"/>
      <c r="Z518" s="552"/>
      <c r="AA518" s="552"/>
      <c r="AB518" s="552"/>
      <c r="AC518" s="552"/>
      <c r="AE518" s="552"/>
      <c r="AF518" s="552"/>
      <c r="AG518" s="552"/>
    </row>
    <row r="519" spans="14:33">
      <c r="N519">
        <v>39700</v>
      </c>
      <c r="O519" s="511" t="s">
        <v>1742</v>
      </c>
      <c r="P519" s="511" t="s">
        <v>1729</v>
      </c>
      <c r="Q519" s="572"/>
      <c r="R519" s="552"/>
      <c r="S519" s="552"/>
      <c r="T519" s="511"/>
      <c r="W519" s="549"/>
      <c r="X519" s="440"/>
      <c r="Y519" s="440"/>
      <c r="Z519" s="552"/>
      <c r="AA519" s="552"/>
      <c r="AB519" s="552"/>
      <c r="AC519" s="552"/>
      <c r="AE519" s="552"/>
      <c r="AF519" s="552"/>
      <c r="AG519" s="552"/>
    </row>
    <row r="520" spans="14:33">
      <c r="N520">
        <v>39700</v>
      </c>
      <c r="O520" s="511" t="s">
        <v>1743</v>
      </c>
      <c r="P520" s="511" t="s">
        <v>1729</v>
      </c>
      <c r="Q520" s="572"/>
      <c r="R520" s="552"/>
      <c r="S520" s="552"/>
      <c r="T520" s="511"/>
      <c r="W520" s="549"/>
      <c r="X520" s="440"/>
      <c r="Y520" s="440"/>
      <c r="Z520" s="552"/>
      <c r="AA520" s="552"/>
      <c r="AB520" s="552"/>
      <c r="AC520" s="552"/>
      <c r="AE520" s="552"/>
      <c r="AF520" s="552"/>
      <c r="AG520" s="552"/>
    </row>
    <row r="521" spans="14:33">
      <c r="N521">
        <v>39700</v>
      </c>
      <c r="O521" s="511" t="s">
        <v>1744</v>
      </c>
      <c r="P521" s="511" t="s">
        <v>1729</v>
      </c>
      <c r="Q521" s="572"/>
      <c r="R521" s="552"/>
      <c r="S521" s="552"/>
      <c r="T521" s="512"/>
      <c r="W521" s="549"/>
      <c r="X521" s="440"/>
      <c r="Y521" s="440"/>
      <c r="Z521" s="552"/>
      <c r="AA521" s="552"/>
      <c r="AB521" s="552"/>
      <c r="AC521" s="552"/>
      <c r="AE521" s="552"/>
      <c r="AF521" s="552"/>
      <c r="AG521" s="552"/>
    </row>
    <row r="522" spans="14:33">
      <c r="N522" s="441">
        <v>397</v>
      </c>
      <c r="O522" s="512"/>
      <c r="P522" s="512"/>
      <c r="Q522" s="575">
        <f>Y52</f>
        <v>3003096.8188</v>
      </c>
      <c r="R522" s="575">
        <f t="shared" ref="R522:S522" si="33">Z52</f>
        <v>-2936891.793482536</v>
      </c>
      <c r="S522" s="575">
        <f t="shared" si="33"/>
        <v>66205.025317464024</v>
      </c>
      <c r="T522" s="511"/>
      <c r="W522" s="549"/>
      <c r="X522" s="440"/>
      <c r="Y522" s="440"/>
      <c r="Z522" s="552"/>
      <c r="AA522" s="552"/>
      <c r="AB522" s="552"/>
      <c r="AC522" s="552"/>
      <c r="AE522" s="552"/>
      <c r="AF522" s="552"/>
      <c r="AG522" s="552"/>
    </row>
    <row r="523" spans="14:33">
      <c r="N523"/>
      <c r="O523" s="511"/>
      <c r="P523" s="511"/>
      <c r="Q523" s="552"/>
      <c r="R523" s="572"/>
      <c r="S523" s="552"/>
      <c r="T523" s="512"/>
      <c r="W523" s="549"/>
      <c r="X523" s="440"/>
      <c r="Y523" s="440"/>
      <c r="Z523" s="552"/>
      <c r="AA523" s="552"/>
      <c r="AB523" s="552"/>
      <c r="AC523" s="552"/>
      <c r="AE523" s="552"/>
      <c r="AF523" s="552"/>
      <c r="AG523" s="552"/>
    </row>
    <row r="524" spans="14:33">
      <c r="N524">
        <v>39800</v>
      </c>
      <c r="O524" s="511" t="s">
        <v>1745</v>
      </c>
      <c r="P524" s="511" t="s">
        <v>1746</v>
      </c>
      <c r="Q524" s="572"/>
      <c r="R524" s="552"/>
      <c r="S524" s="552"/>
      <c r="W524" s="549"/>
      <c r="X524" s="440"/>
      <c r="Y524" s="440"/>
      <c r="Z524" s="552"/>
      <c r="AA524" s="552"/>
      <c r="AB524" s="552"/>
      <c r="AC524" s="552"/>
      <c r="AE524" s="552"/>
      <c r="AF524" s="552"/>
      <c r="AG524" s="552"/>
    </row>
    <row r="525" spans="14:33">
      <c r="N525">
        <v>39800</v>
      </c>
      <c r="O525" s="511" t="s">
        <v>1747</v>
      </c>
      <c r="P525" s="511" t="s">
        <v>1746</v>
      </c>
      <c r="Q525" s="572"/>
      <c r="R525" s="552"/>
      <c r="S525" s="552"/>
      <c r="W525" s="549"/>
      <c r="X525" s="440"/>
      <c r="Y525" s="440"/>
      <c r="Z525" s="552"/>
      <c r="AA525" s="552"/>
      <c r="AB525" s="552"/>
      <c r="AC525" s="552"/>
      <c r="AE525" s="552"/>
      <c r="AF525" s="552"/>
      <c r="AG525" s="552"/>
    </row>
    <row r="526" spans="14:33">
      <c r="N526">
        <v>39800</v>
      </c>
      <c r="O526" s="511" t="s">
        <v>1748</v>
      </c>
      <c r="P526" s="511" t="s">
        <v>1746</v>
      </c>
      <c r="Q526" s="572"/>
      <c r="R526" s="552"/>
      <c r="S526" s="552"/>
      <c r="T526" s="511"/>
      <c r="W526" s="549"/>
      <c r="X526" s="440"/>
      <c r="Y526" s="440"/>
      <c r="Z526" s="552"/>
      <c r="AA526" s="552"/>
      <c r="AB526" s="552"/>
      <c r="AC526" s="552"/>
      <c r="AE526" s="552"/>
      <c r="AF526" s="552"/>
      <c r="AG526" s="552"/>
    </row>
    <row r="527" spans="14:33">
      <c r="N527">
        <v>39800</v>
      </c>
      <c r="O527" s="511" t="s">
        <v>1749</v>
      </c>
      <c r="P527" s="511" t="s">
        <v>1746</v>
      </c>
      <c r="Q527" s="572"/>
      <c r="R527" s="552"/>
      <c r="S527" s="552"/>
      <c r="T527" s="512"/>
      <c r="W527" s="549"/>
      <c r="X527" s="440"/>
      <c r="Y527" s="440"/>
      <c r="Z527" s="552"/>
      <c r="AA527" s="552"/>
      <c r="AB527" s="552"/>
      <c r="AC527" s="552"/>
      <c r="AE527" s="552"/>
      <c r="AF527" s="552"/>
      <c r="AG527" s="552"/>
    </row>
    <row r="528" spans="14:33">
      <c r="N528">
        <v>39800</v>
      </c>
      <c r="O528" s="511" t="s">
        <v>1750</v>
      </c>
      <c r="P528" s="511" t="s">
        <v>1746</v>
      </c>
      <c r="Q528" s="572"/>
      <c r="R528" s="552"/>
      <c r="S528" s="552"/>
      <c r="W528" s="549"/>
      <c r="X528" s="440"/>
      <c r="Y528" s="440"/>
      <c r="Z528" s="564"/>
      <c r="AA528" s="564"/>
      <c r="AB528" s="564"/>
      <c r="AC528" s="552"/>
      <c r="AE528" s="552"/>
      <c r="AF528" s="552"/>
      <c r="AG528" s="552"/>
    </row>
    <row r="529" spans="14:33">
      <c r="N529">
        <v>39800</v>
      </c>
      <c r="O529" s="511" t="s">
        <v>1751</v>
      </c>
      <c r="P529" s="511" t="s">
        <v>1746</v>
      </c>
      <c r="Q529" s="572"/>
      <c r="R529" s="552"/>
      <c r="S529" s="552"/>
      <c r="W529" s="549"/>
      <c r="X529" s="440"/>
      <c r="Y529" s="440"/>
      <c r="Z529" s="552"/>
      <c r="AA529" s="552"/>
      <c r="AB529" s="552"/>
      <c r="AC529" s="552"/>
      <c r="AE529" s="552"/>
      <c r="AF529" s="552"/>
      <c r="AG529" s="552"/>
    </row>
    <row r="530" spans="14:33">
      <c r="N530">
        <v>39800</v>
      </c>
      <c r="O530" s="511" t="s">
        <v>1752</v>
      </c>
      <c r="P530" s="511" t="s">
        <v>1746</v>
      </c>
      <c r="Q530" s="572"/>
      <c r="R530" s="552"/>
      <c r="S530" s="552"/>
      <c r="W530" s="549"/>
      <c r="X530" s="440"/>
      <c r="Y530" s="440"/>
      <c r="Z530" s="552"/>
      <c r="AA530" s="552"/>
      <c r="AB530" s="552"/>
      <c r="AC530" s="552"/>
      <c r="AE530" s="552"/>
      <c r="AF530" s="552"/>
      <c r="AG530" s="552"/>
    </row>
    <row r="531" spans="14:33">
      <c r="N531">
        <v>39800</v>
      </c>
      <c r="O531" s="511" t="s">
        <v>1753</v>
      </c>
      <c r="P531" s="511" t="s">
        <v>1746</v>
      </c>
      <c r="Q531" s="572"/>
      <c r="R531" s="552"/>
      <c r="S531" s="552"/>
      <c r="W531" s="549"/>
      <c r="X531" s="440"/>
      <c r="Y531" s="440"/>
      <c r="Z531" s="552"/>
      <c r="AA531" s="552"/>
      <c r="AB531" s="552"/>
      <c r="AC531" s="552"/>
      <c r="AE531" s="552"/>
      <c r="AF531" s="552"/>
      <c r="AG531" s="552"/>
    </row>
    <row r="532" spans="14:33">
      <c r="N532" s="440">
        <v>39800</v>
      </c>
      <c r="O532" s="516" t="s">
        <v>1754</v>
      </c>
      <c r="P532" s="516" t="s">
        <v>1746</v>
      </c>
      <c r="Q532" s="572"/>
      <c r="R532" s="552"/>
      <c r="S532" s="552"/>
      <c r="W532" s="549"/>
      <c r="X532" s="440"/>
      <c r="Y532" s="440"/>
      <c r="Z532" s="552"/>
      <c r="AA532" s="552"/>
      <c r="AB532" s="552"/>
      <c r="AC532" s="552"/>
      <c r="AE532" s="552"/>
      <c r="AF532" s="552"/>
      <c r="AG532" s="552"/>
    </row>
    <row r="533" spans="14:33">
      <c r="N533" s="1">
        <v>39800</v>
      </c>
      <c r="O533" s="1" t="s">
        <v>1755</v>
      </c>
      <c r="P533" s="1" t="s">
        <v>1746</v>
      </c>
      <c r="Q533" s="572"/>
      <c r="R533" s="552"/>
      <c r="S533" s="552"/>
      <c r="W533" s="549"/>
      <c r="X533" s="440"/>
      <c r="Y533" s="440"/>
      <c r="Z533" s="552"/>
      <c r="AA533" s="552"/>
      <c r="AB533" s="552"/>
      <c r="AC533" s="552"/>
      <c r="AE533" s="552"/>
      <c r="AF533" s="552"/>
      <c r="AG533" s="552"/>
    </row>
    <row r="534" spans="14:33">
      <c r="N534">
        <v>39800</v>
      </c>
      <c r="O534" s="511" t="s">
        <v>1756</v>
      </c>
      <c r="P534" s="511" t="s">
        <v>1746</v>
      </c>
      <c r="Q534" s="572"/>
      <c r="R534" s="552"/>
      <c r="S534" s="552"/>
      <c r="W534" s="549"/>
      <c r="X534" s="440"/>
      <c r="Y534" s="440"/>
      <c r="Z534" s="552"/>
      <c r="AA534" s="552"/>
      <c r="AB534" s="552"/>
      <c r="AC534" s="552"/>
      <c r="AE534" s="552"/>
      <c r="AF534" s="552"/>
      <c r="AG534" s="552"/>
    </row>
    <row r="535" spans="14:33">
      <c r="N535">
        <v>39800</v>
      </c>
      <c r="O535" s="511" t="s">
        <v>1757</v>
      </c>
      <c r="P535" s="511" t="s">
        <v>1746</v>
      </c>
      <c r="Q535" s="572"/>
      <c r="R535" s="552"/>
      <c r="S535" s="552"/>
      <c r="W535" s="549"/>
      <c r="X535" s="440"/>
      <c r="Y535" s="440"/>
      <c r="Z535" s="552"/>
      <c r="AA535" s="552"/>
      <c r="AB535" s="552"/>
      <c r="AC535" s="552"/>
      <c r="AE535" s="552"/>
      <c r="AF535" s="552"/>
      <c r="AG535" s="552"/>
    </row>
    <row r="536" spans="14:33">
      <c r="N536">
        <v>39800</v>
      </c>
      <c r="O536" s="511" t="s">
        <v>1758</v>
      </c>
      <c r="P536" s="511" t="s">
        <v>1746</v>
      </c>
      <c r="Q536" s="572"/>
      <c r="R536" s="552"/>
      <c r="S536" s="552"/>
      <c r="T536" s="575">
        <f>AC44</f>
        <v>0</v>
      </c>
      <c r="W536" s="549"/>
      <c r="X536" s="440"/>
      <c r="Y536" s="440"/>
      <c r="Z536" s="552"/>
      <c r="AA536" s="552"/>
      <c r="AB536" s="552"/>
      <c r="AC536" s="552"/>
      <c r="AE536" s="552"/>
      <c r="AF536" s="552"/>
      <c r="AG536" s="552"/>
    </row>
    <row r="537" spans="14:33">
      <c r="N537">
        <v>39800</v>
      </c>
      <c r="O537" s="511" t="s">
        <v>1759</v>
      </c>
      <c r="P537" s="511" t="s">
        <v>1746</v>
      </c>
      <c r="Q537" s="572"/>
      <c r="R537" s="552"/>
      <c r="S537" s="552"/>
      <c r="W537" s="549"/>
      <c r="X537" s="440"/>
      <c r="Y537" s="440"/>
      <c r="Z537" s="552"/>
      <c r="AA537" s="552"/>
      <c r="AB537" s="552"/>
      <c r="AC537" s="552"/>
      <c r="AE537" s="552"/>
      <c r="AF537" s="552"/>
      <c r="AG537" s="552"/>
    </row>
    <row r="538" spans="14:33">
      <c r="N538" s="440">
        <v>39800</v>
      </c>
      <c r="O538" s="516" t="s">
        <v>1760</v>
      </c>
      <c r="P538" s="516" t="s">
        <v>1746</v>
      </c>
      <c r="Q538" s="572"/>
      <c r="R538" s="552"/>
      <c r="S538" s="552"/>
      <c r="W538" s="549"/>
      <c r="X538" s="440"/>
      <c r="Y538" s="440"/>
      <c r="Z538" s="552"/>
      <c r="AA538" s="552"/>
      <c r="AB538" s="552"/>
      <c r="AC538" s="552"/>
      <c r="AE538" s="552"/>
      <c r="AF538" s="552"/>
      <c r="AG538" s="552"/>
    </row>
    <row r="539" spans="14:33">
      <c r="N539" s="441">
        <v>398</v>
      </c>
      <c r="O539" s="512"/>
      <c r="P539" s="512"/>
      <c r="Q539" s="575">
        <f>Y53</f>
        <v>927968.71027577948</v>
      </c>
      <c r="R539" s="575">
        <f t="shared" ref="R539:S539" si="34">Z53</f>
        <v>-208348.36986277482</v>
      </c>
      <c r="S539" s="575">
        <f t="shared" si="34"/>
        <v>719620.34041300463</v>
      </c>
      <c r="W539" s="549"/>
      <c r="X539" s="440"/>
      <c r="Y539" s="440"/>
      <c r="Z539" s="552"/>
      <c r="AA539" s="552"/>
      <c r="AB539" s="552"/>
      <c r="AC539" s="552"/>
      <c r="AE539" s="552"/>
      <c r="AF539" s="552"/>
      <c r="AG539" s="552"/>
    </row>
    <row r="540" spans="14:33">
      <c r="N540" s="440"/>
      <c r="O540" s="516"/>
      <c r="P540" s="516"/>
      <c r="Q540" s="552"/>
      <c r="R540" s="572"/>
      <c r="S540" s="552"/>
      <c r="W540" s="549"/>
      <c r="X540" s="440"/>
      <c r="Y540" s="440"/>
      <c r="Z540" s="552"/>
      <c r="AA540" s="552"/>
      <c r="AB540" s="552"/>
      <c r="AC540" s="552"/>
      <c r="AE540" s="552"/>
      <c r="AF540" s="552"/>
      <c r="AG540" s="552"/>
    </row>
    <row r="541" spans="14:33">
      <c r="N541" s="440">
        <v>364</v>
      </c>
      <c r="O541" s="516"/>
      <c r="P541" s="516">
        <f>Y65</f>
        <v>0</v>
      </c>
      <c r="Q541" s="575"/>
      <c r="R541" s="575"/>
      <c r="S541" s="575"/>
      <c r="W541" s="549"/>
      <c r="X541" s="440"/>
      <c r="Y541" s="440"/>
      <c r="Z541" s="552"/>
      <c r="AA541" s="552"/>
      <c r="AB541" s="552"/>
      <c r="AC541" s="552"/>
      <c r="AE541" s="552"/>
      <c r="AF541" s="552"/>
      <c r="AG541" s="552"/>
    </row>
    <row r="542" spans="14:33">
      <c r="N542" s="440"/>
      <c r="O542" s="516"/>
      <c r="P542" s="516"/>
      <c r="Q542" s="575"/>
      <c r="R542" s="575"/>
      <c r="S542" s="575"/>
      <c r="W542" s="549"/>
      <c r="X542" s="440"/>
      <c r="Y542" s="440"/>
      <c r="Z542" s="552"/>
      <c r="AA542" s="552"/>
      <c r="AB542" s="552"/>
      <c r="AC542" s="552"/>
      <c r="AE542" s="552"/>
      <c r="AF542" s="552"/>
      <c r="AG542" s="552"/>
    </row>
    <row r="543" spans="14:33">
      <c r="Q543" s="552"/>
      <c r="R543" s="572"/>
      <c r="S543" s="552"/>
      <c r="W543" s="549"/>
      <c r="X543" s="440"/>
      <c r="Y543" s="440"/>
      <c r="Z543" s="552"/>
      <c r="AA543" s="552"/>
      <c r="AB543" s="552"/>
      <c r="AC543" s="552"/>
      <c r="AE543" s="552"/>
      <c r="AF543" s="552"/>
      <c r="AG543" s="552"/>
    </row>
    <row r="544" spans="14:33">
      <c r="Q544" s="552"/>
      <c r="R544" s="552"/>
      <c r="S544" s="552"/>
      <c r="W544" s="549"/>
      <c r="X544" s="440"/>
      <c r="Y544" s="440"/>
      <c r="Z544" s="552"/>
      <c r="AA544" s="552"/>
      <c r="AB544" s="552"/>
      <c r="AC544" s="552"/>
      <c r="AE544" s="552"/>
      <c r="AF544" s="552"/>
      <c r="AG544" s="552"/>
    </row>
    <row r="545" spans="14:33">
      <c r="N545"/>
      <c r="O545" s="511"/>
      <c r="P545" s="511"/>
      <c r="Q545" s="552"/>
      <c r="R545" s="552"/>
      <c r="S545" s="552"/>
      <c r="U545" s="553"/>
      <c r="V545" s="554"/>
      <c r="W545" s="549"/>
      <c r="X545" s="440"/>
      <c r="Y545" s="440"/>
      <c r="Z545" s="564"/>
      <c r="AA545" s="564"/>
      <c r="AB545" s="564"/>
      <c r="AC545" s="552"/>
      <c r="AE545" s="552"/>
      <c r="AF545" s="552"/>
      <c r="AG545" s="552"/>
    </row>
    <row r="546" spans="14:33">
      <c r="N546"/>
      <c r="O546" s="511"/>
      <c r="P546" s="511"/>
      <c r="R546" s="552"/>
      <c r="S546" s="552"/>
      <c r="U546" s="553"/>
      <c r="V546" s="554"/>
      <c r="W546" s="549"/>
      <c r="X546" s="440"/>
      <c r="Y546" s="440"/>
      <c r="Z546" s="552"/>
      <c r="AA546" s="552"/>
      <c r="AB546" s="552"/>
      <c r="AC546" s="552"/>
      <c r="AE546" s="552"/>
      <c r="AF546" s="552"/>
      <c r="AG546" s="552"/>
    </row>
    <row r="547" spans="14:33">
      <c r="N547"/>
      <c r="O547" s="511"/>
      <c r="P547" s="511"/>
      <c r="Q547" s="514"/>
      <c r="R547" s="514"/>
      <c r="S547" s="514"/>
      <c r="U547" s="553"/>
      <c r="V547" s="554"/>
      <c r="W547" s="549"/>
      <c r="X547" s="440"/>
      <c r="Y547" s="440"/>
      <c r="Z547" s="552"/>
      <c r="AA547" s="552"/>
      <c r="AB547" s="552"/>
      <c r="AC547" s="552"/>
      <c r="AE547" s="552"/>
      <c r="AF547" s="552"/>
      <c r="AG547" s="552"/>
    </row>
    <row r="548" spans="14:33">
      <c r="N548"/>
      <c r="O548" s="511"/>
      <c r="P548" s="511"/>
      <c r="Q548" s="514"/>
      <c r="R548" s="514"/>
      <c r="S548" s="514"/>
      <c r="U548" s="553"/>
      <c r="V548" s="554"/>
      <c r="W548" s="549"/>
      <c r="X548" s="440"/>
      <c r="Y548" s="440"/>
      <c r="Z548" s="552"/>
      <c r="AA548" s="552"/>
      <c r="AB548" s="552"/>
      <c r="AC548" s="552"/>
      <c r="AE548" s="552"/>
      <c r="AF548" s="552"/>
      <c r="AG548" s="552"/>
    </row>
    <row r="549" spans="14:33">
      <c r="N549"/>
      <c r="O549" s="511"/>
      <c r="P549" s="511"/>
      <c r="Q549" s="514"/>
      <c r="R549" s="514"/>
      <c r="S549" s="514"/>
      <c r="U549" s="553"/>
      <c r="V549" s="549"/>
      <c r="W549" s="549"/>
      <c r="X549" s="440"/>
      <c r="Y549" s="440"/>
      <c r="Z549" s="552"/>
      <c r="AA549" s="552"/>
      <c r="AB549" s="552"/>
      <c r="AC549" s="552"/>
      <c r="AE549" s="552"/>
      <c r="AF549" s="552"/>
      <c r="AG549" s="552"/>
    </row>
    <row r="550" spans="14:33">
      <c r="N550"/>
      <c r="O550" s="511"/>
      <c r="P550" s="511"/>
      <c r="Q550" s="514"/>
      <c r="R550"/>
      <c r="S550"/>
      <c r="U550" s="553"/>
      <c r="V550" s="549"/>
      <c r="W550" s="549"/>
      <c r="X550" s="549"/>
      <c r="Y550" s="440"/>
      <c r="Z550" s="552"/>
      <c r="AA550" s="552"/>
      <c r="AB550" s="552"/>
      <c r="AC550" s="552"/>
      <c r="AE550" s="552"/>
      <c r="AF550" s="552"/>
      <c r="AG550" s="552"/>
    </row>
    <row r="551" spans="14:33">
      <c r="N551"/>
      <c r="O551" s="511"/>
      <c r="P551" s="511"/>
      <c r="Q551" s="514"/>
      <c r="R551"/>
      <c r="S551"/>
      <c r="U551" s="553"/>
      <c r="V551" s="554"/>
      <c r="W551" s="555"/>
      <c r="X551" s="555"/>
      <c r="Y551" s="549"/>
      <c r="Z551" s="552"/>
      <c r="AA551" s="552"/>
      <c r="AB551" s="552"/>
      <c r="AC551" s="552"/>
      <c r="AE551" s="552"/>
      <c r="AF551" s="552"/>
      <c r="AG551" s="552"/>
    </row>
    <row r="552" spans="14:33">
      <c r="N552"/>
      <c r="O552" s="511"/>
      <c r="P552" s="511"/>
      <c r="Q552" s="511"/>
      <c r="R552"/>
      <c r="S552"/>
      <c r="U552" s="553"/>
      <c r="V552" s="554"/>
      <c r="W552" s="556"/>
      <c r="X552" s="556"/>
      <c r="Y552" s="557"/>
      <c r="Z552" s="552"/>
      <c r="AA552" s="552"/>
      <c r="AB552" s="552"/>
      <c r="AC552" s="552"/>
      <c r="AE552" s="552"/>
      <c r="AF552" s="552"/>
      <c r="AG552" s="552"/>
    </row>
    <row r="553" spans="14:33">
      <c r="N553"/>
      <c r="O553" s="511"/>
      <c r="P553" s="511"/>
      <c r="Q553" s="511"/>
      <c r="R553"/>
      <c r="S553"/>
      <c r="U553" s="553"/>
      <c r="V553" s="554"/>
      <c r="W553" s="558"/>
      <c r="X553" s="558"/>
      <c r="Y553" s="559"/>
      <c r="Z553" s="552"/>
      <c r="AA553" s="552"/>
      <c r="AB553" s="552"/>
      <c r="AC553" s="552"/>
      <c r="AE553" s="552"/>
      <c r="AF553" s="552"/>
      <c r="AG553" s="552"/>
    </row>
    <row r="554" spans="14:33">
      <c r="N554"/>
      <c r="O554" s="511"/>
      <c r="P554" s="511"/>
      <c r="Q554" s="511"/>
      <c r="R554"/>
      <c r="S554"/>
      <c r="U554" s="553"/>
      <c r="V554" s="554"/>
      <c r="W554" s="558"/>
      <c r="X554" s="558"/>
      <c r="Y554" s="560"/>
      <c r="Z554" s="552"/>
      <c r="AA554" s="552"/>
      <c r="AB554" s="552"/>
      <c r="AC554" s="552"/>
      <c r="AE554" s="552"/>
      <c r="AF554" s="552"/>
      <c r="AG554" s="552"/>
    </row>
    <row r="555" spans="14:33">
      <c r="N555"/>
      <c r="O555" s="511"/>
      <c r="P555" s="511"/>
      <c r="Q555" s="552"/>
      <c r="R555"/>
      <c r="S555"/>
      <c r="U555" s="553"/>
      <c r="V555" s="554"/>
      <c r="W555" s="558"/>
      <c r="X555" s="558"/>
      <c r="Y555" s="561"/>
      <c r="Z555" s="552"/>
      <c r="AA555" s="552"/>
      <c r="AB555" s="552"/>
      <c r="AC555" s="552"/>
      <c r="AE555" s="552"/>
      <c r="AF555" s="552"/>
      <c r="AG555" s="552"/>
    </row>
    <row r="556" spans="14:33">
      <c r="N556"/>
      <c r="O556" s="511"/>
      <c r="P556" s="511"/>
      <c r="Q556" s="511"/>
      <c r="R556"/>
      <c r="S556"/>
      <c r="U556" s="553"/>
      <c r="V556" s="554"/>
      <c r="W556" s="558"/>
      <c r="X556" s="558"/>
      <c r="Y556" s="561"/>
      <c r="Z556" s="552"/>
      <c r="AA556" s="552"/>
      <c r="AB556" s="552"/>
      <c r="AC556" s="552"/>
      <c r="AE556" s="552"/>
      <c r="AF556" s="552"/>
      <c r="AG556" s="552"/>
    </row>
    <row r="557" spans="14:33">
      <c r="N557"/>
      <c r="O557" s="511"/>
      <c r="P557" s="511"/>
      <c r="Q557" s="511"/>
      <c r="R557"/>
      <c r="S557"/>
      <c r="U557" s="553"/>
      <c r="V557" s="554"/>
      <c r="W557" s="562"/>
      <c r="X557" s="562"/>
      <c r="Y557" s="563"/>
      <c r="Z557" s="552"/>
      <c r="AA557" s="552"/>
      <c r="AB557" s="552"/>
      <c r="AC557" s="552"/>
      <c r="AE557" s="552"/>
      <c r="AF557" s="552"/>
      <c r="AG557" s="552"/>
    </row>
    <row r="558" spans="14:33">
      <c r="N558"/>
      <c r="O558" s="511"/>
      <c r="P558" s="511"/>
      <c r="Q558" s="511"/>
      <c r="R558"/>
      <c r="S558"/>
      <c r="U558" s="553"/>
      <c r="V558" s="554"/>
      <c r="W558" s="610"/>
      <c r="X558" s="610"/>
      <c r="Y558" s="611"/>
      <c r="Z558" s="552"/>
      <c r="AA558" s="552"/>
      <c r="AB558" s="552"/>
      <c r="AC558" s="552"/>
      <c r="AE558" s="552"/>
      <c r="AF558" s="552"/>
      <c r="AG558" s="552"/>
    </row>
    <row r="559" spans="14:33">
      <c r="N559"/>
      <c r="O559" s="511"/>
      <c r="P559" s="511"/>
      <c r="Q559" s="511"/>
      <c r="R559"/>
      <c r="S559"/>
      <c r="U559" s="553"/>
      <c r="V559" s="554"/>
      <c r="W559" s="556"/>
      <c r="X559" s="556"/>
      <c r="Y559" s="557"/>
      <c r="Z559" s="552"/>
      <c r="AA559" s="552"/>
      <c r="AB559" s="552"/>
      <c r="AC559" s="552"/>
      <c r="AE559" s="552"/>
      <c r="AF559" s="552"/>
      <c r="AG559" s="552"/>
    </row>
    <row r="560" spans="14:33">
      <c r="N560" s="441"/>
      <c r="O560" s="512"/>
      <c r="P560" s="512"/>
      <c r="Q560" s="512"/>
      <c r="R560"/>
      <c r="S560" s="441"/>
      <c r="U560" s="553"/>
      <c r="V560" s="554"/>
      <c r="W560" s="440"/>
      <c r="X560" s="440"/>
      <c r="Y560" s="620"/>
      <c r="Z560" s="552"/>
      <c r="AA560" s="552"/>
      <c r="AB560" s="552"/>
      <c r="AC560" s="552"/>
      <c r="AE560" s="552"/>
      <c r="AF560" s="552"/>
      <c r="AG560" s="552"/>
    </row>
    <row r="561" spans="14:33">
      <c r="R561"/>
      <c r="U561" s="553"/>
      <c r="V561" s="554"/>
      <c r="W561" s="556"/>
      <c r="X561" s="556"/>
      <c r="Y561" s="557"/>
      <c r="Z561" s="552"/>
      <c r="AA561" s="552"/>
      <c r="AB561" s="552"/>
      <c r="AC561" s="552"/>
      <c r="AE561" s="552"/>
      <c r="AF561" s="552"/>
      <c r="AG561" s="552"/>
    </row>
    <row r="562" spans="14:33">
      <c r="N562"/>
      <c r="O562" s="511"/>
      <c r="P562" s="511"/>
      <c r="Q562" s="511"/>
      <c r="R562"/>
      <c r="S562"/>
      <c r="U562" s="553"/>
      <c r="V562" s="554"/>
      <c r="W562" s="440"/>
      <c r="X562" s="440"/>
      <c r="Y562" s="620"/>
      <c r="Z562" s="552"/>
      <c r="AA562" s="552"/>
      <c r="AB562" s="552"/>
      <c r="AC562" s="552"/>
      <c r="AE562" s="552"/>
      <c r="AF562" s="552"/>
      <c r="AG562" s="552"/>
    </row>
    <row r="563" spans="14:33">
      <c r="N563"/>
      <c r="O563" s="511"/>
      <c r="P563" s="511"/>
      <c r="Q563" s="511"/>
      <c r="R563"/>
      <c r="S563"/>
      <c r="U563" s="553"/>
      <c r="V563" s="554"/>
      <c r="W563" s="549"/>
      <c r="X563" s="440"/>
      <c r="Y563" s="440"/>
      <c r="Z563" s="552"/>
      <c r="AA563" s="552"/>
      <c r="AB563" s="552"/>
      <c r="AC563" s="552"/>
      <c r="AE563" s="552"/>
      <c r="AF563" s="552"/>
      <c r="AG563" s="552"/>
    </row>
    <row r="564" spans="14:33">
      <c r="N564"/>
      <c r="O564" s="511"/>
      <c r="P564" s="511"/>
      <c r="Q564" s="511"/>
      <c r="R564"/>
      <c r="S564"/>
      <c r="U564" s="553"/>
      <c r="V564" s="554"/>
      <c r="W564" s="549"/>
      <c r="X564" s="440"/>
      <c r="Y564" s="440"/>
      <c r="Z564" s="552"/>
      <c r="AA564" s="552"/>
      <c r="AB564" s="552"/>
      <c r="AC564" s="552"/>
      <c r="AE564" s="552"/>
      <c r="AF564" s="552"/>
      <c r="AG564" s="552"/>
    </row>
    <row r="565" spans="14:33">
      <c r="N565"/>
      <c r="O565" s="511"/>
      <c r="P565" s="511"/>
      <c r="Q565" s="511"/>
      <c r="R565"/>
      <c r="S565"/>
      <c r="U565" s="553"/>
      <c r="V565" s="554"/>
      <c r="W565" s="622"/>
      <c r="X565" s="440"/>
      <c r="Y565" s="440"/>
      <c r="Z565" s="552"/>
      <c r="AA565" s="552"/>
      <c r="AB565" s="552"/>
      <c r="AC565" s="552"/>
      <c r="AE565" s="552"/>
      <c r="AF565" s="552"/>
      <c r="AG565" s="552"/>
    </row>
    <row r="566" spans="14:33">
      <c r="N566"/>
      <c r="O566" s="511"/>
      <c r="P566" s="511"/>
      <c r="Q566" s="511"/>
      <c r="R566"/>
      <c r="S566"/>
      <c r="U566" s="553"/>
      <c r="V566" s="554"/>
      <c r="W566" s="622"/>
      <c r="X566" s="440"/>
      <c r="Y566" s="440"/>
      <c r="Z566" s="552"/>
      <c r="AA566" s="552"/>
      <c r="AB566" s="552"/>
      <c r="AC566" s="552"/>
      <c r="AE566" s="552"/>
      <c r="AF566" s="552"/>
      <c r="AG566" s="552"/>
    </row>
    <row r="567" spans="14:33">
      <c r="N567"/>
      <c r="O567" s="511"/>
      <c r="P567" s="511"/>
      <c r="Q567" s="511"/>
      <c r="R567"/>
      <c r="S567"/>
      <c r="U567" s="553"/>
      <c r="V567" s="549"/>
      <c r="W567" s="549"/>
      <c r="X567" s="440"/>
      <c r="Y567" s="440"/>
      <c r="Z567" s="552"/>
      <c r="AA567" s="552"/>
      <c r="AB567" s="552"/>
      <c r="AC567" s="552"/>
      <c r="AE567" s="552"/>
      <c r="AF567" s="552"/>
      <c r="AG567" s="552"/>
    </row>
    <row r="568" spans="14:33">
      <c r="N568"/>
      <c r="O568" s="511"/>
      <c r="P568" s="511"/>
      <c r="Q568" s="511"/>
      <c r="R568"/>
      <c r="S568"/>
      <c r="U568" s="553"/>
      <c r="V568" s="549"/>
      <c r="W568" s="549"/>
      <c r="X568" s="440"/>
      <c r="Y568" s="440"/>
      <c r="Z568" s="552"/>
      <c r="AA568" s="552"/>
      <c r="AB568" s="552"/>
      <c r="AC568" s="552"/>
      <c r="AE568" s="552"/>
      <c r="AF568" s="552"/>
      <c r="AG568" s="552"/>
    </row>
    <row r="569" spans="14:33">
      <c r="N569"/>
      <c r="O569" s="511"/>
      <c r="P569" s="511"/>
      <c r="Q569" s="511"/>
      <c r="R569"/>
      <c r="S569"/>
      <c r="U569" s="553"/>
      <c r="V569" s="554"/>
      <c r="W569" s="623"/>
      <c r="X569" s="612"/>
      <c r="Y569" s="612"/>
      <c r="Z569" s="552"/>
      <c r="AA569" s="552"/>
      <c r="AB569" s="552"/>
      <c r="AC569" s="552"/>
      <c r="AE569" s="552"/>
      <c r="AF569" s="552"/>
      <c r="AG569" s="552"/>
    </row>
    <row r="570" spans="14:33">
      <c r="N570"/>
      <c r="O570" s="511"/>
      <c r="P570" s="511"/>
      <c r="Q570" s="511"/>
      <c r="R570"/>
      <c r="S570"/>
      <c r="U570" s="553"/>
      <c r="V570" s="554"/>
      <c r="W570" s="623"/>
      <c r="X570" s="612"/>
      <c r="Y570" s="612"/>
      <c r="Z570" s="552"/>
      <c r="AA570" s="552"/>
      <c r="AB570" s="552"/>
      <c r="AC570" s="552"/>
      <c r="AE570" s="552"/>
      <c r="AF570" s="552"/>
      <c r="AG570" s="552"/>
    </row>
    <row r="571" spans="14:33">
      <c r="N571"/>
      <c r="O571" s="511"/>
      <c r="P571" s="511"/>
      <c r="Q571" s="511"/>
      <c r="R571"/>
      <c r="S571"/>
      <c r="U571" s="553"/>
      <c r="V571" s="554"/>
      <c r="W571" s="623"/>
      <c r="X571" s="612"/>
      <c r="Y571" s="612"/>
      <c r="Z571" s="552"/>
      <c r="AA571" s="552"/>
      <c r="AB571" s="552"/>
      <c r="AC571" s="552"/>
      <c r="AE571" s="552"/>
      <c r="AF571" s="552"/>
      <c r="AG571" s="552"/>
    </row>
    <row r="572" spans="14:33">
      <c r="N572"/>
      <c r="O572" s="511"/>
      <c r="P572" s="511"/>
      <c r="Q572" s="511"/>
      <c r="R572"/>
      <c r="S572"/>
      <c r="U572" s="553"/>
      <c r="V572" s="554"/>
      <c r="W572" s="623"/>
      <c r="X572" s="612"/>
      <c r="Y572" s="612"/>
      <c r="Z572" s="552"/>
      <c r="AA572" s="552"/>
      <c r="AB572" s="552"/>
      <c r="AC572" s="552"/>
      <c r="AE572" s="552"/>
      <c r="AF572" s="552"/>
      <c r="AG572" s="552"/>
    </row>
    <row r="573" spans="14:33">
      <c r="N573"/>
      <c r="O573" s="511"/>
      <c r="P573" s="511"/>
      <c r="Q573" s="511"/>
      <c r="R573"/>
      <c r="S573"/>
      <c r="U573" s="553"/>
      <c r="V573" s="554"/>
      <c r="W573" s="549"/>
      <c r="X573" s="440"/>
      <c r="Y573" s="440"/>
      <c r="Z573" s="552"/>
      <c r="AA573" s="552"/>
      <c r="AB573" s="552"/>
      <c r="AC573" s="552"/>
      <c r="AE573" s="552"/>
      <c r="AF573" s="552"/>
      <c r="AG573" s="552"/>
    </row>
    <row r="574" spans="14:33">
      <c r="N574"/>
      <c r="O574" s="511"/>
      <c r="P574" s="511"/>
      <c r="Q574" s="511"/>
      <c r="R574"/>
      <c r="S574"/>
      <c r="U574" s="553"/>
      <c r="V574" s="554"/>
      <c r="W574" s="623"/>
      <c r="X574" s="612"/>
      <c r="Y574" s="612"/>
      <c r="Z574" s="552"/>
      <c r="AA574" s="552"/>
      <c r="AB574" s="552"/>
      <c r="AC574" s="552"/>
      <c r="AE574" s="552"/>
      <c r="AF574" s="552"/>
      <c r="AG574" s="552"/>
    </row>
    <row r="575" spans="14:33">
      <c r="N575"/>
      <c r="O575" s="511"/>
      <c r="P575" s="511"/>
      <c r="Q575" s="511"/>
      <c r="R575"/>
      <c r="S575"/>
      <c r="U575" s="553"/>
      <c r="V575" s="554"/>
      <c r="W575" s="549"/>
      <c r="X575" s="440"/>
      <c r="Y575" s="440"/>
      <c r="Z575" s="552"/>
      <c r="AA575" s="552"/>
      <c r="AB575" s="552"/>
      <c r="AC575" s="552"/>
      <c r="AE575" s="552"/>
      <c r="AF575" s="552"/>
      <c r="AG575" s="552"/>
    </row>
    <row r="576" spans="14:33">
      <c r="N576"/>
      <c r="O576" s="511"/>
      <c r="P576" s="511"/>
      <c r="Q576" s="511"/>
      <c r="R576"/>
      <c r="S576"/>
      <c r="U576" s="553"/>
      <c r="V576" s="554"/>
      <c r="W576" s="549"/>
      <c r="X576" s="440"/>
      <c r="Y576" s="440"/>
      <c r="Z576" s="552"/>
      <c r="AA576" s="552"/>
      <c r="AB576" s="552"/>
      <c r="AC576" s="552"/>
      <c r="AE576" s="552"/>
      <c r="AF576" s="552"/>
      <c r="AG576" s="552"/>
    </row>
    <row r="577" spans="14:33">
      <c r="N577"/>
      <c r="O577" s="511"/>
      <c r="P577" s="511"/>
      <c r="Q577" s="511"/>
      <c r="R577"/>
      <c r="S577"/>
      <c r="U577" s="553"/>
      <c r="V577" s="554"/>
      <c r="W577" s="549"/>
      <c r="X577" s="440"/>
      <c r="Y577" s="440"/>
      <c r="Z577" s="552"/>
      <c r="AA577" s="552"/>
      <c r="AB577" s="552"/>
      <c r="AC577" s="552"/>
      <c r="AE577" s="552"/>
      <c r="AF577" s="552"/>
      <c r="AG577" s="552"/>
    </row>
    <row r="578" spans="14:33">
      <c r="N578" s="441"/>
      <c r="O578" s="512"/>
      <c r="P578" s="512"/>
      <c r="Q578" s="512"/>
      <c r="R578"/>
      <c r="S578" s="441"/>
      <c r="U578" s="553"/>
      <c r="V578" s="554"/>
      <c r="W578" s="549"/>
      <c r="X578" s="440"/>
      <c r="Y578" s="440"/>
      <c r="Z578" s="552"/>
      <c r="AA578" s="552"/>
      <c r="AB578" s="552"/>
      <c r="AC578" s="552"/>
      <c r="AE578" s="552"/>
      <c r="AF578" s="552"/>
      <c r="AG578" s="552"/>
    </row>
    <row r="579" spans="14:33">
      <c r="R579"/>
      <c r="U579" s="553"/>
      <c r="V579" s="554"/>
      <c r="W579" s="549"/>
      <c r="X579" s="440"/>
      <c r="Y579" s="440"/>
      <c r="Z579" s="552"/>
      <c r="AA579" s="552"/>
      <c r="AB579" s="552"/>
      <c r="AC579" s="552"/>
      <c r="AE579" s="552"/>
      <c r="AF579" s="552"/>
      <c r="AG579" s="552"/>
    </row>
    <row r="580" spans="14:33">
      <c r="N580"/>
      <c r="O580" s="511"/>
      <c r="P580" s="511"/>
      <c r="Q580" s="511"/>
      <c r="R580"/>
      <c r="S580"/>
      <c r="U580" s="553"/>
      <c r="V580" s="554"/>
      <c r="W580" s="549"/>
      <c r="X580" s="440"/>
      <c r="Y580" s="440"/>
      <c r="Z580" s="552"/>
      <c r="AA580" s="552"/>
      <c r="AB580" s="552"/>
      <c r="AC580" s="552"/>
      <c r="AE580" s="552"/>
      <c r="AF580" s="552"/>
      <c r="AG580" s="552"/>
    </row>
    <row r="581" spans="14:33">
      <c r="N581"/>
      <c r="O581" s="511"/>
      <c r="P581" s="511"/>
      <c r="Q581" s="511"/>
      <c r="R581"/>
      <c r="S581"/>
      <c r="U581" s="553"/>
      <c r="V581" s="554"/>
      <c r="W581" s="549"/>
      <c r="X581" s="440"/>
      <c r="Y581" s="440"/>
      <c r="Z581" s="552"/>
      <c r="AA581" s="552"/>
      <c r="AB581" s="552"/>
      <c r="AC581" s="552"/>
      <c r="AE581" s="552"/>
      <c r="AF581" s="552"/>
      <c r="AG581" s="552"/>
    </row>
    <row r="582" spans="14:33">
      <c r="N582"/>
      <c r="O582" s="511"/>
      <c r="P582" s="511"/>
      <c r="Q582" s="511"/>
      <c r="R582"/>
      <c r="S582"/>
      <c r="U582" s="553"/>
      <c r="V582" s="554"/>
      <c r="W582" s="549"/>
      <c r="X582" s="440"/>
      <c r="Y582" s="440"/>
      <c r="Z582" s="552"/>
      <c r="AA582" s="552"/>
      <c r="AB582" s="552"/>
      <c r="AC582" s="552"/>
      <c r="AE582" s="552"/>
      <c r="AF582" s="552"/>
      <c r="AG582" s="552"/>
    </row>
    <row r="583" spans="14:33">
      <c r="N583"/>
      <c r="O583" s="511"/>
      <c r="P583" s="511"/>
      <c r="Q583" s="511"/>
      <c r="R583"/>
      <c r="S583"/>
      <c r="U583" s="553"/>
      <c r="V583" s="554"/>
      <c r="W583" s="549"/>
      <c r="X583" s="440"/>
      <c r="Y583" s="440"/>
      <c r="Z583" s="552"/>
      <c r="AA583" s="552"/>
      <c r="AB583" s="552"/>
      <c r="AC583" s="552"/>
      <c r="AE583" s="552"/>
      <c r="AF583" s="552"/>
      <c r="AG583" s="552"/>
    </row>
    <row r="584" spans="14:33">
      <c r="N584"/>
      <c r="O584" s="511"/>
      <c r="P584" s="511"/>
      <c r="Q584" s="511"/>
      <c r="R584"/>
      <c r="S584"/>
      <c r="U584" s="553"/>
      <c r="V584" s="549"/>
      <c r="W584" s="549"/>
      <c r="X584" s="440"/>
      <c r="Y584" s="440"/>
      <c r="Z584" s="552"/>
      <c r="AA584" s="552"/>
      <c r="AB584" s="552"/>
      <c r="AC584" s="552"/>
      <c r="AE584" s="552"/>
      <c r="AF584" s="552"/>
      <c r="AG584" s="552"/>
    </row>
    <row r="585" spans="14:33">
      <c r="N585"/>
      <c r="O585" s="511"/>
      <c r="P585" s="511"/>
      <c r="Q585" s="511"/>
      <c r="R585"/>
      <c r="S585"/>
      <c r="U585" s="553"/>
      <c r="V585" s="549"/>
      <c r="W585" s="549"/>
      <c r="X585" s="440"/>
      <c r="Y585" s="440"/>
      <c r="Z585" s="552"/>
      <c r="AA585" s="552"/>
      <c r="AB585" s="552"/>
      <c r="AC585" s="552"/>
      <c r="AE585" s="552"/>
      <c r="AF585" s="552"/>
      <c r="AG585" s="552"/>
    </row>
    <row r="586" spans="14:33">
      <c r="N586"/>
      <c r="O586" s="511"/>
      <c r="P586" s="511"/>
      <c r="Q586" s="511"/>
      <c r="R586"/>
      <c r="S586"/>
      <c r="U586" s="553"/>
      <c r="V586" s="549"/>
      <c r="W586" s="549"/>
      <c r="X586" s="440"/>
      <c r="Y586" s="440"/>
      <c r="Z586" s="552"/>
      <c r="AA586" s="552"/>
      <c r="AB586" s="552"/>
      <c r="AC586" s="552"/>
      <c r="AE586" s="552"/>
      <c r="AF586" s="552"/>
      <c r="AG586" s="552"/>
    </row>
    <row r="587" spans="14:33">
      <c r="N587"/>
      <c r="O587" s="511"/>
      <c r="P587" s="511"/>
      <c r="Q587" s="511"/>
      <c r="R587"/>
      <c r="S587"/>
      <c r="U587" s="553"/>
      <c r="V587" s="549"/>
      <c r="W587" s="549"/>
      <c r="X587" s="440"/>
      <c r="Y587" s="440"/>
      <c r="Z587" s="552"/>
      <c r="AA587" s="552"/>
      <c r="AB587" s="552"/>
      <c r="AC587" s="552"/>
      <c r="AE587" s="552"/>
      <c r="AF587" s="552"/>
      <c r="AG587" s="552"/>
    </row>
    <row r="588" spans="14:33">
      <c r="N588"/>
      <c r="O588" s="511"/>
      <c r="P588" s="511"/>
      <c r="Q588" s="511"/>
      <c r="R588"/>
      <c r="S588"/>
      <c r="U588" s="553"/>
      <c r="V588" s="549"/>
      <c r="W588" s="549"/>
      <c r="X588" s="440"/>
      <c r="Y588" s="440"/>
      <c r="Z588" s="552"/>
      <c r="AA588" s="552"/>
      <c r="AB588" s="552"/>
      <c r="AC588" s="552"/>
      <c r="AE588" s="552"/>
      <c r="AF588" s="552"/>
      <c r="AG588" s="552"/>
    </row>
    <row r="589" spans="14:33">
      <c r="N589"/>
      <c r="O589" s="511"/>
      <c r="P589" s="511"/>
      <c r="Q589" s="511"/>
      <c r="R589"/>
      <c r="S589"/>
      <c r="U589" s="553"/>
      <c r="V589" s="549"/>
      <c r="W589" s="623"/>
      <c r="X589" s="612"/>
      <c r="Y589" s="612"/>
      <c r="Z589" s="552"/>
      <c r="AA589" s="552"/>
      <c r="AB589" s="552"/>
      <c r="AC589" s="552"/>
      <c r="AE589" s="552"/>
      <c r="AF589" s="552"/>
      <c r="AG589" s="552"/>
    </row>
    <row r="590" spans="14:33">
      <c r="N590"/>
      <c r="O590" s="511"/>
      <c r="P590" s="511"/>
      <c r="Q590" s="511"/>
      <c r="R590"/>
      <c r="S590"/>
      <c r="U590" s="549"/>
      <c r="V590" s="555"/>
      <c r="W590" s="549"/>
      <c r="X590" s="440"/>
      <c r="Y590" s="440"/>
      <c r="Z590" s="552"/>
      <c r="AA590" s="552"/>
      <c r="AB590" s="552"/>
      <c r="AC590" s="552"/>
      <c r="AE590" s="552"/>
      <c r="AF590" s="552"/>
      <c r="AG590" s="552"/>
    </row>
    <row r="591" spans="14:33">
      <c r="N591"/>
      <c r="O591" s="511"/>
      <c r="P591" s="511"/>
      <c r="Q591" s="511"/>
      <c r="R591"/>
      <c r="S591"/>
      <c r="U591" s="555"/>
      <c r="V591" s="556"/>
      <c r="W591" s="623"/>
      <c r="X591" s="612"/>
      <c r="Y591" s="612"/>
      <c r="Z591" s="552"/>
      <c r="AA591" s="552"/>
      <c r="AB591" s="552"/>
      <c r="AC591" s="552"/>
      <c r="AE591" s="552"/>
      <c r="AF591" s="552"/>
      <c r="AG591" s="552"/>
    </row>
    <row r="592" spans="14:33">
      <c r="N592"/>
      <c r="O592" s="511"/>
      <c r="P592" s="511"/>
      <c r="Q592" s="511"/>
      <c r="R592"/>
      <c r="S592"/>
      <c r="U592" s="556"/>
      <c r="V592" s="558"/>
      <c r="W592" s="623"/>
      <c r="X592" s="612"/>
      <c r="Y592" s="612"/>
      <c r="Z592" s="552"/>
      <c r="AA592" s="552"/>
      <c r="AB592" s="552"/>
      <c r="AC592" s="552"/>
      <c r="AE592" s="552"/>
      <c r="AF592" s="552"/>
      <c r="AG592" s="552"/>
    </row>
    <row r="593" spans="14:33">
      <c r="N593"/>
      <c r="O593" s="511"/>
      <c r="P593" s="511"/>
      <c r="Q593" s="511"/>
      <c r="R593"/>
      <c r="S593"/>
      <c r="U593" s="558"/>
      <c r="V593" s="558"/>
      <c r="W593" s="549"/>
      <c r="X593" s="440"/>
      <c r="Y593" s="440"/>
      <c r="Z593" s="552"/>
      <c r="AA593" s="552"/>
      <c r="AB593" s="552"/>
      <c r="AC593" s="552"/>
      <c r="AE593" s="552"/>
      <c r="AF593" s="552"/>
      <c r="AG593" s="552"/>
    </row>
    <row r="594" spans="14:33">
      <c r="N594"/>
      <c r="O594" s="511"/>
      <c r="P594" s="511"/>
      <c r="Q594" s="511"/>
      <c r="R594"/>
      <c r="S594"/>
      <c r="U594" s="558"/>
      <c r="V594" s="558"/>
      <c r="W594" s="549"/>
      <c r="X594" s="440"/>
      <c r="Y594" s="440"/>
      <c r="Z594" s="552"/>
      <c r="AA594" s="552"/>
      <c r="AB594" s="552"/>
      <c r="AC594" s="552"/>
      <c r="AE594" s="552"/>
      <c r="AF594" s="552"/>
      <c r="AG594" s="552"/>
    </row>
    <row r="595" spans="14:33">
      <c r="N595" s="441"/>
      <c r="O595" s="512"/>
      <c r="P595" s="512"/>
      <c r="Q595" s="512"/>
      <c r="R595"/>
      <c r="S595" s="441"/>
      <c r="U595" s="558"/>
      <c r="V595" s="558"/>
      <c r="W595" s="622"/>
      <c r="X595" s="440"/>
      <c r="Y595" s="440"/>
      <c r="Z595" s="552"/>
      <c r="AA595" s="552"/>
      <c r="AB595" s="552"/>
      <c r="AC595" s="552"/>
      <c r="AE595" s="552"/>
      <c r="AF595" s="552"/>
      <c r="AG595" s="552"/>
    </row>
    <row r="596" spans="14:33">
      <c r="N596"/>
      <c r="O596" s="511"/>
      <c r="P596" s="511"/>
      <c r="Q596" s="511"/>
      <c r="R596"/>
      <c r="S596"/>
      <c r="U596" s="558"/>
      <c r="V596" s="562"/>
      <c r="W596" s="622"/>
      <c r="X596" s="440"/>
      <c r="Y596" s="440"/>
      <c r="Z596" s="552"/>
      <c r="AA596" s="552"/>
      <c r="AB596" s="552"/>
      <c r="AC596" s="552"/>
      <c r="AE596" s="552"/>
      <c r="AF596" s="552"/>
      <c r="AG596" s="552"/>
    </row>
    <row r="597" spans="14:33">
      <c r="N597" s="441"/>
      <c r="O597" s="512"/>
      <c r="P597" s="512"/>
      <c r="Q597" s="512"/>
      <c r="R597"/>
      <c r="S597" s="441"/>
      <c r="U597" s="562"/>
      <c r="W597" s="622"/>
      <c r="X597" s="440"/>
      <c r="Y597" s="440"/>
      <c r="Z597" s="552"/>
      <c r="AA597" s="552"/>
      <c r="AB597" s="552"/>
      <c r="AC597" s="552"/>
      <c r="AE597" s="552"/>
      <c r="AF597" s="552"/>
      <c r="AG597" s="552"/>
    </row>
    <row r="598" spans="14:33">
      <c r="R598"/>
      <c r="U598" s="511"/>
      <c r="W598" s="622"/>
      <c r="X598" s="440"/>
      <c r="Y598" s="440"/>
      <c r="Z598" s="552"/>
      <c r="AA598" s="552"/>
      <c r="AB598" s="552"/>
      <c r="AE598" s="552"/>
      <c r="AF598" s="552"/>
      <c r="AG598" s="552"/>
    </row>
    <row r="599" spans="14:33">
      <c r="R599"/>
      <c r="U599" s="511"/>
      <c r="W599" s="622"/>
      <c r="X599" s="440"/>
      <c r="Y599" s="440"/>
      <c r="Z599" s="552"/>
      <c r="AA599" s="552"/>
      <c r="AB599" s="552"/>
      <c r="AE599" s="552"/>
      <c r="AF599" s="552"/>
      <c r="AG599" s="552"/>
    </row>
    <row r="600" spans="14:33">
      <c r="N600"/>
      <c r="O600" s="511"/>
      <c r="P600" s="511"/>
      <c r="Q600" s="511"/>
      <c r="R600"/>
      <c r="S600"/>
      <c r="U600" s="511"/>
      <c r="W600" s="549"/>
      <c r="X600" s="440"/>
      <c r="Y600" s="440"/>
      <c r="Z600" s="552"/>
      <c r="AA600" s="552"/>
      <c r="AB600" s="552"/>
      <c r="AE600" s="552"/>
      <c r="AF600" s="552"/>
      <c r="AG600" s="552"/>
    </row>
    <row r="601" spans="14:33">
      <c r="N601" s="441" t="s">
        <v>1252</v>
      </c>
      <c r="O601" s="512" t="e">
        <f>SUM(O14+O17+O26+O36+O61+O92+O113+O171+O193+O214+O250+O256+O274+O293+O313+O335+O339+O356+O370+O424+O498+O511+O532+O538+O560+O578+O595+O597)</f>
        <v>#VALUE!</v>
      </c>
      <c r="P601" s="512" t="e">
        <f>SUM(P14+P17+P26+P36+P61+P92+P113+P171+P193+P214+P250+P256+P274+P293+P313+P335+P339+P356+P370+P424+P498+P511+P532+P538+P560+P578+P595+P597)</f>
        <v>#VALUE!</v>
      </c>
      <c r="Q601" s="512"/>
      <c r="R601"/>
      <c r="S601" s="441"/>
      <c r="U601" s="511"/>
      <c r="W601" s="549"/>
      <c r="X601" s="440"/>
      <c r="Y601" s="440"/>
      <c r="Z601" s="552"/>
      <c r="AA601" s="552"/>
      <c r="AB601" s="552"/>
      <c r="AE601" s="552"/>
      <c r="AF601" s="552"/>
      <c r="AG601" s="552"/>
    </row>
    <row r="602" spans="14:33">
      <c r="U602" s="511"/>
      <c r="W602" s="549"/>
      <c r="X602" s="440"/>
      <c r="Y602" s="440"/>
      <c r="Z602" s="552"/>
      <c r="AA602" s="552"/>
      <c r="AB602" s="552"/>
      <c r="AE602" s="552"/>
      <c r="AF602" s="552"/>
      <c r="AG602" s="552"/>
    </row>
    <row r="603" spans="14:33">
      <c r="U603" s="511"/>
      <c r="W603" s="549"/>
      <c r="X603" s="440"/>
      <c r="Y603" s="440"/>
      <c r="Z603" s="552"/>
      <c r="AA603" s="552"/>
      <c r="AB603" s="552"/>
      <c r="AE603" s="552"/>
      <c r="AF603" s="552"/>
      <c r="AG603" s="552"/>
    </row>
    <row r="604" spans="14:33">
      <c r="U604" s="511"/>
      <c r="W604" s="549"/>
      <c r="X604" s="440"/>
      <c r="Y604" s="440"/>
      <c r="Z604" s="552"/>
      <c r="AA604" s="552"/>
      <c r="AB604" s="552"/>
      <c r="AE604" s="552"/>
      <c r="AF604" s="552"/>
      <c r="AG604" s="552"/>
    </row>
    <row r="605" spans="14:33">
      <c r="U605" s="511"/>
      <c r="W605" s="549"/>
      <c r="X605" s="440"/>
      <c r="Y605" s="440"/>
      <c r="Z605" s="552"/>
      <c r="AA605" s="552"/>
      <c r="AB605" s="552"/>
      <c r="AE605" s="552"/>
      <c r="AF605" s="552"/>
      <c r="AG605" s="552"/>
    </row>
    <row r="606" spans="14:33">
      <c r="U606" s="511"/>
      <c r="W606" s="549"/>
      <c r="X606" s="440"/>
      <c r="Y606" s="440"/>
      <c r="Z606" s="552"/>
      <c r="AA606" s="552"/>
      <c r="AB606" s="552"/>
      <c r="AE606" s="552"/>
      <c r="AF606" s="552"/>
      <c r="AG606" s="552"/>
    </row>
    <row r="607" spans="14:33">
      <c r="U607" s="512"/>
      <c r="W607" s="622"/>
      <c r="X607" s="440"/>
      <c r="Y607" s="440"/>
      <c r="Z607" s="552"/>
      <c r="AA607" s="552"/>
      <c r="AB607" s="552"/>
      <c r="AE607" s="552"/>
      <c r="AF607" s="552"/>
      <c r="AG607" s="552"/>
    </row>
    <row r="608" spans="14:33">
      <c r="W608" s="440"/>
      <c r="X608" s="440"/>
      <c r="Y608" s="440"/>
      <c r="Z608" s="552"/>
      <c r="AA608" s="552"/>
      <c r="AB608" s="552"/>
      <c r="AE608" s="552"/>
      <c r="AF608" s="552"/>
      <c r="AG608" s="552"/>
    </row>
    <row r="609" spans="21:33">
      <c r="U609" s="511"/>
      <c r="W609" s="440"/>
      <c r="X609" s="440"/>
      <c r="Y609" s="440"/>
      <c r="Z609" s="552"/>
      <c r="AA609" s="552"/>
      <c r="AB609" s="552"/>
      <c r="AE609" s="552"/>
      <c r="AF609" s="552"/>
      <c r="AG609" s="552"/>
    </row>
    <row r="610" spans="21:33">
      <c r="U610" s="511"/>
      <c r="W610" s="440"/>
      <c r="X610" s="440"/>
      <c r="Y610" s="543"/>
      <c r="Z610" s="552"/>
      <c r="AA610" s="552"/>
      <c r="AB610" s="552"/>
      <c r="AE610" s="552"/>
      <c r="AF610" s="552"/>
      <c r="AG610" s="552"/>
    </row>
    <row r="611" spans="21:33">
      <c r="U611" s="511"/>
      <c r="W611" s="440"/>
      <c r="X611" s="440"/>
      <c r="Y611" s="440"/>
      <c r="Z611" s="552"/>
      <c r="AA611" s="552"/>
      <c r="AB611" s="552"/>
      <c r="AE611" s="552"/>
      <c r="AF611" s="552"/>
      <c r="AG611" s="552"/>
    </row>
    <row r="612" spans="21:33">
      <c r="U612" s="511"/>
      <c r="W612" s="440"/>
      <c r="X612" s="440"/>
      <c r="Y612" s="440"/>
      <c r="Z612" s="552"/>
      <c r="AA612" s="552"/>
      <c r="AB612" s="552"/>
      <c r="AE612" s="552"/>
      <c r="AF612" s="552"/>
      <c r="AG612" s="552"/>
    </row>
    <row r="613" spans="21:33">
      <c r="U613" s="511"/>
      <c r="W613" s="440"/>
      <c r="X613" s="440"/>
      <c r="Y613" s="440"/>
      <c r="Z613" s="552"/>
      <c r="AA613" s="552"/>
      <c r="AB613" s="552"/>
      <c r="AE613" s="552"/>
      <c r="AF613" s="552"/>
      <c r="AG613" s="552"/>
    </row>
    <row r="614" spans="21:33">
      <c r="U614" s="511"/>
      <c r="W614" s="440"/>
      <c r="X614" s="440"/>
      <c r="Y614" s="440"/>
      <c r="Z614" s="552"/>
      <c r="AA614" s="552"/>
      <c r="AB614" s="552"/>
      <c r="AE614" s="552"/>
      <c r="AF614" s="552"/>
      <c r="AG614" s="552"/>
    </row>
    <row r="615" spans="21:33">
      <c r="U615" s="511"/>
      <c r="W615" s="440"/>
      <c r="X615" s="440"/>
      <c r="Y615" s="440"/>
      <c r="Z615" s="552"/>
      <c r="AA615" s="552"/>
      <c r="AB615" s="552"/>
      <c r="AE615" s="552"/>
      <c r="AF615" s="552"/>
      <c r="AG615" s="552"/>
    </row>
    <row r="616" spans="21:33">
      <c r="U616" s="511"/>
      <c r="W616" s="440"/>
      <c r="X616" s="440"/>
      <c r="Y616" s="440"/>
      <c r="Z616" s="552"/>
      <c r="AA616" s="552"/>
      <c r="AB616" s="552"/>
      <c r="AE616" s="552"/>
      <c r="AF616" s="552"/>
      <c r="AG616" s="552"/>
    </row>
    <row r="617" spans="21:33">
      <c r="U617" s="511"/>
      <c r="W617" s="440"/>
      <c r="X617" s="440"/>
      <c r="Y617" s="440"/>
      <c r="Z617" s="552"/>
      <c r="AA617" s="552"/>
      <c r="AB617" s="552"/>
      <c r="AE617" s="552"/>
      <c r="AF617" s="552"/>
      <c r="AG617" s="552"/>
    </row>
    <row r="618" spans="21:33">
      <c r="U618" s="511"/>
      <c r="W618" s="440"/>
      <c r="X618" s="440"/>
      <c r="Y618" s="440"/>
      <c r="Z618" s="552"/>
      <c r="AA618" s="552"/>
      <c r="AB618" s="552"/>
      <c r="AE618" s="552"/>
      <c r="AF618" s="552"/>
      <c r="AG618" s="552"/>
    </row>
    <row r="619" spans="21:33">
      <c r="U619" s="511"/>
      <c r="W619" s="440"/>
      <c r="X619" s="440"/>
      <c r="Y619" s="440"/>
      <c r="Z619" s="552"/>
      <c r="AA619" s="552"/>
      <c r="AB619" s="552"/>
      <c r="AE619" s="552"/>
      <c r="AF619" s="552"/>
      <c r="AG619" s="552"/>
    </row>
    <row r="620" spans="21:33">
      <c r="U620" s="511"/>
      <c r="W620" s="440"/>
      <c r="X620" s="440"/>
      <c r="Y620" s="614"/>
      <c r="Z620" s="552"/>
      <c r="AA620" s="552"/>
      <c r="AB620" s="552"/>
      <c r="AE620" s="552"/>
      <c r="AF620" s="552"/>
      <c r="AG620" s="552"/>
    </row>
    <row r="621" spans="21:33">
      <c r="U621" s="511"/>
      <c r="W621" s="440"/>
      <c r="X621" s="440"/>
      <c r="Y621" s="440"/>
      <c r="Z621" s="552"/>
      <c r="AA621" s="552"/>
      <c r="AB621" s="552"/>
      <c r="AE621" s="552"/>
      <c r="AF621" s="552"/>
      <c r="AG621" s="552"/>
    </row>
    <row r="622" spans="21:33">
      <c r="U622" s="511"/>
      <c r="W622" s="440"/>
      <c r="X622" s="440"/>
      <c r="Y622" s="440"/>
      <c r="Z622" s="552"/>
      <c r="AA622" s="552"/>
      <c r="AB622" s="552"/>
      <c r="AE622" s="552"/>
      <c r="AF622" s="552"/>
      <c r="AG622" s="552"/>
    </row>
    <row r="623" spans="21:33">
      <c r="U623" s="511"/>
      <c r="W623" s="441"/>
      <c r="X623" s="441"/>
      <c r="Y623" s="441"/>
      <c r="Z623" s="552"/>
      <c r="AA623" s="552"/>
      <c r="AB623" s="552"/>
      <c r="AE623" s="552"/>
      <c r="AF623" s="552"/>
      <c r="AG623" s="552"/>
    </row>
    <row r="624" spans="21:33">
      <c r="U624" s="512"/>
      <c r="W624" s="440"/>
      <c r="X624" s="440"/>
      <c r="Y624" s="440"/>
      <c r="Z624" s="552"/>
      <c r="AA624" s="552"/>
      <c r="AB624" s="552"/>
      <c r="AE624" s="552"/>
      <c r="AF624" s="552"/>
      <c r="AG624" s="552"/>
    </row>
    <row r="625" spans="21:33">
      <c r="U625" s="511"/>
      <c r="W625" s="440"/>
      <c r="X625" s="440"/>
      <c r="Y625" s="440"/>
      <c r="Z625" s="552"/>
      <c r="AA625" s="552"/>
      <c r="AB625" s="552"/>
      <c r="AE625" s="552"/>
      <c r="AF625" s="552"/>
      <c r="AG625" s="552"/>
    </row>
    <row r="626" spans="21:33">
      <c r="U626" s="512"/>
      <c r="W626" s="440"/>
      <c r="X626" s="440"/>
      <c r="Y626" s="440"/>
      <c r="Z626" s="552"/>
      <c r="AA626" s="552"/>
      <c r="AB626" s="552"/>
      <c r="AE626" s="552"/>
      <c r="AF626" s="552"/>
      <c r="AG626" s="552"/>
    </row>
    <row r="627" spans="21:33">
      <c r="W627" s="440"/>
      <c r="X627" s="440"/>
      <c r="Y627" s="440"/>
      <c r="Z627" s="552"/>
      <c r="AA627" s="552"/>
      <c r="AB627" s="552"/>
      <c r="AE627" s="552"/>
      <c r="AF627" s="552"/>
      <c r="AG627" s="552"/>
    </row>
    <row r="628" spans="21:33">
      <c r="W628" s="440"/>
      <c r="X628" s="440"/>
      <c r="Y628" s="440"/>
      <c r="Z628"/>
      <c r="AA628"/>
      <c r="AB628"/>
      <c r="AE628" s="552"/>
      <c r="AF628" s="552"/>
      <c r="AG628" s="552"/>
    </row>
    <row r="629" spans="21:33">
      <c r="U629" s="511"/>
      <c r="W629" s="440"/>
      <c r="X629" s="579"/>
      <c r="Y629" s="440"/>
      <c r="Z629"/>
      <c r="AA629"/>
      <c r="AB629"/>
      <c r="AE629" s="552"/>
      <c r="AF629" s="552"/>
      <c r="AG629" s="552"/>
    </row>
    <row r="630" spans="21:33">
      <c r="U630" s="512"/>
      <c r="W630" s="549"/>
      <c r="X630" s="440"/>
      <c r="Y630" s="440"/>
      <c r="Z630"/>
      <c r="AA630"/>
      <c r="AB630"/>
      <c r="AE630" s="552"/>
      <c r="AF630" s="552"/>
      <c r="AG630" s="552"/>
    </row>
    <row r="631" spans="21:33">
      <c r="W631" s="549"/>
      <c r="X631" s="440"/>
      <c r="Y631" s="440"/>
      <c r="Z631"/>
      <c r="AA631"/>
      <c r="AB631"/>
      <c r="AE631" s="552"/>
      <c r="AF631" s="552"/>
      <c r="AG631" s="552"/>
    </row>
    <row r="632" spans="21:33">
      <c r="W632" s="549"/>
      <c r="X632" s="440"/>
      <c r="Y632" s="440"/>
      <c r="Z632"/>
      <c r="AA632"/>
      <c r="AB632"/>
      <c r="AE632" s="552"/>
      <c r="AF632" s="552"/>
      <c r="AG632" s="552"/>
    </row>
    <row r="633" spans="21:33">
      <c r="W633" s="549"/>
      <c r="X633" s="440"/>
      <c r="Y633" s="440"/>
      <c r="Z633"/>
      <c r="AA633"/>
      <c r="AB633"/>
      <c r="AE633" s="552"/>
      <c r="AF633" s="552"/>
      <c r="AG633" s="552"/>
    </row>
    <row r="634" spans="21:33">
      <c r="W634" s="549"/>
      <c r="X634" s="440"/>
      <c r="Y634" s="440"/>
      <c r="Z634"/>
      <c r="AA634"/>
      <c r="AB634"/>
    </row>
    <row r="635" spans="21:33">
      <c r="W635" s="440"/>
      <c r="X635" s="440"/>
      <c r="Y635" s="440"/>
      <c r="Z635"/>
      <c r="AA635"/>
      <c r="AB635"/>
    </row>
    <row r="636" spans="21:33">
      <c r="W636" s="440"/>
      <c r="X636" s="440"/>
      <c r="Y636" s="440"/>
      <c r="Z636" s="440"/>
      <c r="AA636" s="613"/>
      <c r="AB636" s="552"/>
    </row>
    <row r="637" spans="21:33">
      <c r="W637" s="440"/>
      <c r="X637" s="440"/>
      <c r="Y637" s="440"/>
      <c r="Z637" s="440"/>
      <c r="AA637" s="613"/>
      <c r="AB637" s="552"/>
    </row>
    <row r="638" spans="21:33">
      <c r="W638" s="440"/>
      <c r="X638" s="440"/>
      <c r="Y638" s="440"/>
      <c r="Z638" s="440"/>
      <c r="AA638" s="613"/>
      <c r="AB638" s="552"/>
    </row>
    <row r="639" spans="21:33" ht="13.5" thickBot="1">
      <c r="W639" s="440"/>
      <c r="X639" s="440"/>
      <c r="Y639" s="440"/>
      <c r="Z639" s="440"/>
      <c r="AA639" s="609"/>
      <c r="AB639" s="552"/>
    </row>
    <row r="640" spans="21:33" ht="13.5" thickTop="1">
      <c r="W640" s="440"/>
      <c r="X640" s="440"/>
      <c r="Y640" s="440"/>
      <c r="Z640" s="440"/>
      <c r="AA640" s="572"/>
      <c r="AB640" s="552"/>
    </row>
    <row r="641" spans="23:28">
      <c r="W641" s="440"/>
      <c r="X641" s="440"/>
      <c r="Y641" s="440"/>
      <c r="Z641" s="614"/>
      <c r="AA641" s="572"/>
      <c r="AB641" s="552"/>
    </row>
    <row r="642" spans="23:28">
      <c r="W642" s="440"/>
      <c r="X642" s="440"/>
      <c r="Y642" s="440"/>
      <c r="Z642" s="440"/>
      <c r="AA642" s="572"/>
      <c r="AB642" s="552"/>
    </row>
    <row r="643" spans="23:28">
      <c r="W643" s="440"/>
      <c r="X643" s="440"/>
      <c r="Y643" s="440"/>
      <c r="Z643" s="440"/>
      <c r="AA643" s="572"/>
      <c r="AB643" s="552"/>
    </row>
    <row r="644" spans="23:28">
      <c r="W644" s="441"/>
      <c r="X644" s="441"/>
      <c r="Y644" s="441"/>
      <c r="Z644" s="441"/>
      <c r="AA644" s="575"/>
      <c r="AB644" s="552"/>
    </row>
    <row r="645" spans="23:28">
      <c r="W645" s="440"/>
      <c r="X645" s="440"/>
      <c r="Y645" s="440"/>
      <c r="Z645" s="440"/>
      <c r="AA645" s="572"/>
      <c r="AB645" s="552"/>
    </row>
    <row r="646" spans="23:28">
      <c r="W646" s="440"/>
      <c r="X646" s="440"/>
      <c r="Y646" s="440"/>
      <c r="Z646" s="440"/>
      <c r="AA646" s="572"/>
      <c r="AB646" s="552"/>
    </row>
    <row r="647" spans="23:28">
      <c r="W647" s="440"/>
      <c r="X647" s="440"/>
      <c r="Y647" s="440"/>
      <c r="Z647" s="440"/>
      <c r="AA647" s="572"/>
      <c r="AB647" s="552"/>
    </row>
    <row r="648" spans="23:28">
      <c r="W648" s="440"/>
      <c r="X648" s="440"/>
      <c r="Y648" s="440"/>
      <c r="Z648" s="440"/>
      <c r="AA648" s="572"/>
      <c r="AB648" s="552"/>
    </row>
    <row r="649" spans="23:28">
      <c r="W649" s="440"/>
      <c r="X649" s="440"/>
      <c r="Y649" s="440"/>
      <c r="Z649" s="440"/>
      <c r="AA649" s="572"/>
      <c r="AB649" s="552"/>
    </row>
    <row r="650" spans="23:28">
      <c r="W650" s="440"/>
      <c r="X650" s="440"/>
      <c r="Y650" s="579"/>
      <c r="Z650" s="440"/>
      <c r="AA650" s="572"/>
      <c r="AB650" s="552"/>
    </row>
    <row r="651" spans="23:28">
      <c r="W651" s="440"/>
      <c r="X651" s="549"/>
      <c r="Y651" s="440"/>
      <c r="Z651" s="440"/>
      <c r="AA651" s="572"/>
      <c r="AB651" s="552"/>
    </row>
    <row r="652" spans="23:28">
      <c r="W652" s="440"/>
      <c r="X652" s="549"/>
      <c r="Y652" s="440"/>
      <c r="Z652" s="440"/>
      <c r="AA652" s="572"/>
      <c r="AB652" s="552"/>
    </row>
    <row r="653" spans="23:28">
      <c r="W653" s="440"/>
      <c r="X653" s="549"/>
      <c r="Y653" s="440"/>
      <c r="Z653" s="440"/>
      <c r="AA653" s="572"/>
      <c r="AB653" s="552"/>
    </row>
    <row r="654" spans="23:28">
      <c r="W654" s="440"/>
      <c r="X654" s="549"/>
      <c r="Y654" s="440"/>
      <c r="Z654" s="440"/>
      <c r="AA654" s="572"/>
      <c r="AB654" s="552"/>
    </row>
    <row r="655" spans="23:28">
      <c r="W655" s="440"/>
      <c r="X655" s="549"/>
      <c r="Y655" s="440"/>
      <c r="Z655" s="440"/>
      <c r="AA655" s="572"/>
      <c r="AB655" s="552"/>
    </row>
    <row r="656" spans="23:28">
      <c r="W656" s="440"/>
      <c r="X656" s="440"/>
      <c r="Y656" s="440"/>
      <c r="Z656" s="440"/>
      <c r="AA656" s="572"/>
      <c r="AB656" s="552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legacy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U55"/>
  <sheetViews>
    <sheetView workbookViewId="0">
      <selection activeCell="G3" sqref="G3"/>
    </sheetView>
  </sheetViews>
  <sheetFormatPr defaultRowHeight="12.75"/>
  <cols>
    <col min="3" max="3" width="13.28515625" customWidth="1"/>
    <col min="6" max="6" width="13.42578125" customWidth="1"/>
    <col min="7" max="7" width="14.5703125" customWidth="1"/>
    <col min="8" max="15" width="10.42578125" bestFit="1" customWidth="1"/>
    <col min="16" max="16" width="17.7109375" customWidth="1"/>
    <col min="17" max="17" width="13.85546875" customWidth="1"/>
    <col min="18" max="18" width="14.85546875" customWidth="1"/>
    <col min="19" max="19" width="14.5703125" customWidth="1"/>
    <col min="20" max="20" width="15.85546875" customWidth="1"/>
  </cols>
  <sheetData>
    <row r="1" spans="1:21" ht="18.75">
      <c r="A1" s="477" t="s">
        <v>59</v>
      </c>
      <c r="B1" s="478"/>
      <c r="C1" s="477"/>
      <c r="D1" s="477"/>
      <c r="E1" s="477"/>
      <c r="F1" s="479"/>
      <c r="G1" s="480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</row>
    <row r="2" spans="1:21" ht="18.75">
      <c r="A2" s="481" t="s">
        <v>1801</v>
      </c>
      <c r="B2" s="478"/>
      <c r="C2" s="477"/>
      <c r="D2" s="477"/>
      <c r="E2" s="477"/>
      <c r="F2" s="479"/>
      <c r="G2" s="480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</row>
    <row r="3" spans="1:21" ht="18.75">
      <c r="A3" s="481" t="s">
        <v>73</v>
      </c>
      <c r="B3" s="477"/>
      <c r="C3" s="477"/>
      <c r="D3" s="477"/>
      <c r="E3" s="477"/>
      <c r="F3" s="479"/>
      <c r="G3" s="482"/>
      <c r="H3" s="446"/>
      <c r="I3" s="483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</row>
    <row r="4" spans="1:21">
      <c r="A4" s="484"/>
      <c r="B4" s="484"/>
      <c r="C4" s="484"/>
      <c r="D4" s="485"/>
      <c r="E4" s="485"/>
      <c r="F4" s="485"/>
      <c r="G4" s="3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8.75">
      <c r="A5" s="484"/>
      <c r="B5" s="484"/>
      <c r="C5" s="484"/>
      <c r="D5" s="485"/>
      <c r="E5" s="486" t="s">
        <v>682</v>
      </c>
      <c r="F5" s="485"/>
      <c r="G5" s="31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86" t="s">
        <v>1203</v>
      </c>
      <c r="U5" s="1"/>
    </row>
    <row r="6" spans="1:21" ht="18.75">
      <c r="A6" s="484"/>
      <c r="B6" s="487" t="s">
        <v>1204</v>
      </c>
      <c r="C6" s="488" t="s">
        <v>306</v>
      </c>
      <c r="D6" s="487" t="s">
        <v>306</v>
      </c>
      <c r="E6" s="489" t="s">
        <v>1205</v>
      </c>
      <c r="F6" s="490"/>
      <c r="G6" s="491" t="s">
        <v>1206</v>
      </c>
      <c r="H6" s="491" t="s">
        <v>1207</v>
      </c>
      <c r="I6" s="491" t="s">
        <v>1208</v>
      </c>
      <c r="J6" s="491" t="s">
        <v>1209</v>
      </c>
      <c r="K6" s="491" t="s">
        <v>1210</v>
      </c>
      <c r="L6" s="491" t="s">
        <v>1211</v>
      </c>
      <c r="M6" s="491" t="s">
        <v>1212</v>
      </c>
      <c r="N6" s="491" t="s">
        <v>1213</v>
      </c>
      <c r="O6" s="491" t="s">
        <v>1214</v>
      </c>
      <c r="P6" s="491" t="s">
        <v>1215</v>
      </c>
      <c r="Q6" s="491" t="s">
        <v>1216</v>
      </c>
      <c r="R6" s="491" t="s">
        <v>1217</v>
      </c>
      <c r="S6" s="491" t="s">
        <v>15</v>
      </c>
      <c r="T6" s="491" t="s">
        <v>1218</v>
      </c>
      <c r="U6" s="446"/>
    </row>
    <row r="7" spans="1:21" ht="18.75">
      <c r="A7" s="492" t="s">
        <v>103</v>
      </c>
      <c r="B7" s="487"/>
      <c r="C7" s="488"/>
      <c r="D7" s="487"/>
      <c r="E7" s="493" t="s">
        <v>1219</v>
      </c>
      <c r="F7" s="494"/>
      <c r="G7" s="495" t="e">
        <f>G8+G29+G9</f>
        <v>#REF!</v>
      </c>
      <c r="H7" s="495" t="e">
        <f>H8+H29+H9</f>
        <v>#REF!</v>
      </c>
      <c r="I7" s="495" t="e">
        <f>I8+I29+I9</f>
        <v>#REF!</v>
      </c>
      <c r="J7" s="495" t="e">
        <f t="shared" ref="J7:R7" si="0">J8+J29+J9</f>
        <v>#REF!</v>
      </c>
      <c r="K7" s="495" t="e">
        <f t="shared" si="0"/>
        <v>#REF!</v>
      </c>
      <c r="L7" s="495" t="e">
        <f t="shared" si="0"/>
        <v>#REF!</v>
      </c>
      <c r="M7" s="495" t="e">
        <f t="shared" si="0"/>
        <v>#REF!</v>
      </c>
      <c r="N7" s="495" t="e">
        <f t="shared" si="0"/>
        <v>#REF!</v>
      </c>
      <c r="O7" s="495" t="e">
        <f t="shared" si="0"/>
        <v>#REF!</v>
      </c>
      <c r="P7" s="495" t="e">
        <f t="shared" si="0"/>
        <v>#REF!</v>
      </c>
      <c r="Q7" s="495" t="e">
        <f t="shared" si="0"/>
        <v>#REF!</v>
      </c>
      <c r="R7" s="495" t="e">
        <f t="shared" si="0"/>
        <v>#REF!</v>
      </c>
      <c r="S7" s="496" t="e">
        <f>SUM(G7:R7)</f>
        <v>#REF!</v>
      </c>
      <c r="T7" s="496" t="s">
        <v>1220</v>
      </c>
      <c r="U7" s="446"/>
    </row>
    <row r="8" spans="1:21" ht="18.75">
      <c r="A8" s="492" t="s">
        <v>104</v>
      </c>
      <c r="B8" s="497">
        <v>1</v>
      </c>
      <c r="C8" s="498" t="s">
        <v>641</v>
      </c>
      <c r="D8" s="484" t="e">
        <f>#REF!</f>
        <v>#REF!</v>
      </c>
      <c r="E8" s="499">
        <v>1</v>
      </c>
      <c r="F8" s="500" t="e">
        <f>D8</f>
        <v>#REF!</v>
      </c>
      <c r="G8" s="500" t="e">
        <f>F8/12</f>
        <v>#REF!</v>
      </c>
      <c r="H8" s="500" t="e">
        <f>G8</f>
        <v>#REF!</v>
      </c>
      <c r="I8" s="500" t="e">
        <f t="shared" ref="I8:R10" si="1">H8</f>
        <v>#REF!</v>
      </c>
      <c r="J8" s="500" t="e">
        <f t="shared" si="1"/>
        <v>#REF!</v>
      </c>
      <c r="K8" s="500" t="e">
        <f t="shared" si="1"/>
        <v>#REF!</v>
      </c>
      <c r="L8" s="500" t="e">
        <f t="shared" si="1"/>
        <v>#REF!</v>
      </c>
      <c r="M8" s="500" t="e">
        <f t="shared" si="1"/>
        <v>#REF!</v>
      </c>
      <c r="N8" s="500" t="e">
        <f t="shared" si="1"/>
        <v>#REF!</v>
      </c>
      <c r="O8" s="500" t="e">
        <f t="shared" si="1"/>
        <v>#REF!</v>
      </c>
      <c r="P8" s="500" t="e">
        <f t="shared" si="1"/>
        <v>#REF!</v>
      </c>
      <c r="Q8" s="500" t="e">
        <f t="shared" si="1"/>
        <v>#REF!</v>
      </c>
      <c r="R8" s="500" t="e">
        <f t="shared" si="1"/>
        <v>#REF!</v>
      </c>
      <c r="S8" s="500" t="e">
        <f>SUM(G8:R8)</f>
        <v>#REF!</v>
      </c>
      <c r="T8" s="500" t="s">
        <v>1221</v>
      </c>
      <c r="U8" s="446"/>
    </row>
    <row r="9" spans="1:21" ht="18.75">
      <c r="A9" s="492" t="s">
        <v>105</v>
      </c>
      <c r="B9" s="497">
        <v>1</v>
      </c>
      <c r="C9" s="498" t="s">
        <v>1159</v>
      </c>
      <c r="D9" s="484" t="e">
        <f>#REF!</f>
        <v>#REF!</v>
      </c>
      <c r="E9" s="499"/>
      <c r="F9" s="500" t="e">
        <f>D9</f>
        <v>#REF!</v>
      </c>
      <c r="G9" s="500" t="e">
        <f>F9/12</f>
        <v>#REF!</v>
      </c>
      <c r="H9" s="500" t="e">
        <f>G9</f>
        <v>#REF!</v>
      </c>
      <c r="I9" s="500" t="e">
        <f t="shared" si="1"/>
        <v>#REF!</v>
      </c>
      <c r="J9" s="500" t="e">
        <f t="shared" si="1"/>
        <v>#REF!</v>
      </c>
      <c r="K9" s="500" t="e">
        <f t="shared" si="1"/>
        <v>#REF!</v>
      </c>
      <c r="L9" s="500" t="e">
        <f t="shared" si="1"/>
        <v>#REF!</v>
      </c>
      <c r="M9" s="500" t="e">
        <f t="shared" si="1"/>
        <v>#REF!</v>
      </c>
      <c r="N9" s="500" t="e">
        <f t="shared" si="1"/>
        <v>#REF!</v>
      </c>
      <c r="O9" s="500" t="e">
        <f t="shared" si="1"/>
        <v>#REF!</v>
      </c>
      <c r="P9" s="500" t="e">
        <f t="shared" si="1"/>
        <v>#REF!</v>
      </c>
      <c r="Q9" s="500" t="e">
        <f t="shared" si="1"/>
        <v>#REF!</v>
      </c>
      <c r="R9" s="500" t="e">
        <f t="shared" si="1"/>
        <v>#REF!</v>
      </c>
      <c r="S9" s="500" t="e">
        <f>SUM(G9:R9)</f>
        <v>#REF!</v>
      </c>
      <c r="T9" s="500" t="s">
        <v>1220</v>
      </c>
      <c r="U9" s="446"/>
    </row>
    <row r="10" spans="1:21" ht="18.75">
      <c r="A10" s="492" t="s">
        <v>106</v>
      </c>
      <c r="B10" s="497">
        <v>2</v>
      </c>
      <c r="C10" s="498" t="s">
        <v>1222</v>
      </c>
      <c r="D10" s="484" t="e">
        <f>#REF!</f>
        <v>#REF!</v>
      </c>
      <c r="E10" s="501">
        <v>2</v>
      </c>
      <c r="F10" s="502" t="e">
        <f>D10</f>
        <v>#REF!</v>
      </c>
      <c r="G10" s="7" t="e">
        <f>F10/12</f>
        <v>#REF!</v>
      </c>
      <c r="H10" s="7" t="e">
        <f>G10</f>
        <v>#REF!</v>
      </c>
      <c r="I10" s="7" t="e">
        <f t="shared" si="1"/>
        <v>#REF!</v>
      </c>
      <c r="J10" s="7" t="e">
        <f t="shared" si="1"/>
        <v>#REF!</v>
      </c>
      <c r="K10" s="7" t="e">
        <f t="shared" si="1"/>
        <v>#REF!</v>
      </c>
      <c r="L10" s="7" t="e">
        <f t="shared" si="1"/>
        <v>#REF!</v>
      </c>
      <c r="M10" s="7" t="e">
        <f t="shared" si="1"/>
        <v>#REF!</v>
      </c>
      <c r="N10" s="7" t="e">
        <f t="shared" si="1"/>
        <v>#REF!</v>
      </c>
      <c r="O10" s="7" t="e">
        <f t="shared" si="1"/>
        <v>#REF!</v>
      </c>
      <c r="P10" s="7" t="e">
        <f t="shared" si="1"/>
        <v>#REF!</v>
      </c>
      <c r="Q10" s="7" t="e">
        <f t="shared" si="1"/>
        <v>#REF!</v>
      </c>
      <c r="R10" s="7" t="e">
        <f t="shared" si="1"/>
        <v>#REF!</v>
      </c>
      <c r="S10" s="502" t="e">
        <f>SUM(G10:R10)</f>
        <v>#REF!</v>
      </c>
      <c r="T10" s="7" t="s">
        <v>1223</v>
      </c>
      <c r="U10" s="446"/>
    </row>
    <row r="11" spans="1:21" ht="18.75">
      <c r="A11" s="492" t="s">
        <v>107</v>
      </c>
      <c r="B11" s="497">
        <v>3</v>
      </c>
      <c r="C11" s="503" t="s">
        <v>5</v>
      </c>
      <c r="D11" s="484" t="e">
        <f>#REF!</f>
        <v>#REF!</v>
      </c>
      <c r="E11" s="501"/>
      <c r="F11" s="502"/>
      <c r="G11" s="7"/>
      <c r="H11" s="7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7"/>
      <c r="U11" s="446"/>
    </row>
    <row r="12" spans="1:21" ht="18.75">
      <c r="A12" s="492" t="s">
        <v>108</v>
      </c>
      <c r="B12" s="497">
        <v>3</v>
      </c>
      <c r="C12" s="498" t="s">
        <v>1224</v>
      </c>
      <c r="D12" s="484" t="e">
        <f>#REF!</f>
        <v>#REF!</v>
      </c>
      <c r="E12" s="501"/>
      <c r="F12" s="502"/>
      <c r="G12" s="7"/>
      <c r="H12" s="7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7"/>
      <c r="U12" s="446"/>
    </row>
    <row r="13" spans="1:21" ht="18.75">
      <c r="A13" s="492" t="s">
        <v>109</v>
      </c>
      <c r="B13" s="497">
        <v>3</v>
      </c>
      <c r="C13" s="498" t="s">
        <v>1225</v>
      </c>
      <c r="D13" s="484" t="e">
        <f>#REF!</f>
        <v>#REF!</v>
      </c>
      <c r="E13" s="501">
        <v>3</v>
      </c>
      <c r="F13" s="502" t="e">
        <f>SUM(D11:D13)</f>
        <v>#REF!</v>
      </c>
      <c r="G13" s="7" t="e">
        <f>F13/12</f>
        <v>#REF!</v>
      </c>
      <c r="H13" s="7" t="e">
        <f>G13</f>
        <v>#REF!</v>
      </c>
      <c r="I13" s="7" t="e">
        <f t="shared" ref="I13:R13" si="2">H13</f>
        <v>#REF!</v>
      </c>
      <c r="J13" s="7" t="e">
        <f t="shared" si="2"/>
        <v>#REF!</v>
      </c>
      <c r="K13" s="7" t="e">
        <f t="shared" si="2"/>
        <v>#REF!</v>
      </c>
      <c r="L13" s="7" t="e">
        <f t="shared" si="2"/>
        <v>#REF!</v>
      </c>
      <c r="M13" s="7" t="e">
        <f t="shared" si="2"/>
        <v>#REF!</v>
      </c>
      <c r="N13" s="7" t="e">
        <f t="shared" si="2"/>
        <v>#REF!</v>
      </c>
      <c r="O13" s="7" t="e">
        <f t="shared" si="2"/>
        <v>#REF!</v>
      </c>
      <c r="P13" s="7" t="e">
        <f t="shared" si="2"/>
        <v>#REF!</v>
      </c>
      <c r="Q13" s="7" t="e">
        <f t="shared" si="2"/>
        <v>#REF!</v>
      </c>
      <c r="R13" s="7" t="e">
        <f t="shared" si="2"/>
        <v>#REF!</v>
      </c>
      <c r="S13" s="502" t="e">
        <f>SUM(G13:R13)</f>
        <v>#REF!</v>
      </c>
      <c r="T13" s="7" t="s">
        <v>1226</v>
      </c>
      <c r="U13" s="446"/>
    </row>
    <row r="14" spans="1:21" ht="18.75">
      <c r="A14" s="492" t="s">
        <v>110</v>
      </c>
      <c r="B14" s="497">
        <v>4</v>
      </c>
      <c r="C14" s="498" t="s">
        <v>1227</v>
      </c>
      <c r="D14" s="484" t="e">
        <f>#REF!</f>
        <v>#REF!</v>
      </c>
      <c r="E14" s="501"/>
      <c r="F14" s="502"/>
      <c r="G14" s="7"/>
      <c r="H14" s="7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7"/>
      <c r="U14" s="446"/>
    </row>
    <row r="15" spans="1:21" ht="18.75">
      <c r="A15" s="492" t="s">
        <v>111</v>
      </c>
      <c r="B15" s="497">
        <v>4</v>
      </c>
      <c r="C15" s="498" t="s">
        <v>1228</v>
      </c>
      <c r="D15" s="484" t="e">
        <f>#REF!</f>
        <v>#REF!</v>
      </c>
      <c r="E15" s="501"/>
      <c r="F15" s="502"/>
      <c r="G15" s="7"/>
      <c r="H15" s="7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7"/>
      <c r="U15" s="446"/>
    </row>
    <row r="16" spans="1:21" ht="18.75">
      <c r="A16" s="492" t="s">
        <v>112</v>
      </c>
      <c r="B16" s="497">
        <v>4</v>
      </c>
      <c r="C16" s="498" t="s">
        <v>1229</v>
      </c>
      <c r="D16" s="484" t="e">
        <f>#REF!</f>
        <v>#REF!</v>
      </c>
      <c r="E16" s="501">
        <v>4</v>
      </c>
      <c r="F16" s="502" t="e">
        <f>SUM(D14:D16)</f>
        <v>#REF!</v>
      </c>
      <c r="G16" s="7" t="e">
        <f>F16/12</f>
        <v>#REF!</v>
      </c>
      <c r="H16" s="7" t="e">
        <f>G16</f>
        <v>#REF!</v>
      </c>
      <c r="I16" s="7" t="e">
        <f t="shared" ref="I16:R16" si="3">H16</f>
        <v>#REF!</v>
      </c>
      <c r="J16" s="7" t="e">
        <f t="shared" si="3"/>
        <v>#REF!</v>
      </c>
      <c r="K16" s="7" t="e">
        <f t="shared" si="3"/>
        <v>#REF!</v>
      </c>
      <c r="L16" s="7" t="e">
        <f t="shared" si="3"/>
        <v>#REF!</v>
      </c>
      <c r="M16" s="7" t="e">
        <f t="shared" si="3"/>
        <v>#REF!</v>
      </c>
      <c r="N16" s="7" t="e">
        <f t="shared" si="3"/>
        <v>#REF!</v>
      </c>
      <c r="O16" s="7" t="e">
        <f t="shared" si="3"/>
        <v>#REF!</v>
      </c>
      <c r="P16" s="7" t="e">
        <f t="shared" si="3"/>
        <v>#REF!</v>
      </c>
      <c r="Q16" s="7" t="e">
        <f t="shared" si="3"/>
        <v>#REF!</v>
      </c>
      <c r="R16" s="7" t="e">
        <f t="shared" si="3"/>
        <v>#REF!</v>
      </c>
      <c r="S16" s="502" t="e">
        <f>SUM(G16:R16)</f>
        <v>#REF!</v>
      </c>
      <c r="T16" s="7" t="s">
        <v>1230</v>
      </c>
      <c r="U16" s="446"/>
    </row>
    <row r="17" spans="1:21" ht="18.75">
      <c r="A17" s="492" t="s">
        <v>113</v>
      </c>
      <c r="B17" s="497">
        <v>5</v>
      </c>
      <c r="C17" s="504" t="s">
        <v>145</v>
      </c>
      <c r="D17" s="484" t="e">
        <f>#REF!</f>
        <v>#REF!</v>
      </c>
      <c r="E17" s="501"/>
      <c r="F17" s="502"/>
      <c r="G17" s="7"/>
      <c r="H17" s="7"/>
      <c r="I17" s="502"/>
      <c r="J17" s="502"/>
      <c r="K17" s="502"/>
      <c r="L17" s="502"/>
      <c r="M17" s="502"/>
      <c r="N17" s="502"/>
      <c r="O17" s="502"/>
      <c r="P17" s="502"/>
      <c r="Q17" s="502"/>
      <c r="R17" s="502"/>
      <c r="S17" s="502"/>
      <c r="T17" s="7"/>
      <c r="U17" s="446"/>
    </row>
    <row r="18" spans="1:21" ht="18.75">
      <c r="A18" s="492" t="s">
        <v>114</v>
      </c>
      <c r="B18" s="497">
        <v>5</v>
      </c>
      <c r="C18" s="503" t="s">
        <v>12</v>
      </c>
      <c r="D18" s="484" t="e">
        <f>#REF!</f>
        <v>#REF!</v>
      </c>
      <c r="E18" s="501">
        <v>5</v>
      </c>
      <c r="F18" s="502" t="e">
        <f>SUM(D17:D18)</f>
        <v>#REF!</v>
      </c>
      <c r="G18" s="7" t="e">
        <f>F18/12</f>
        <v>#REF!</v>
      </c>
      <c r="H18" s="7" t="e">
        <f>G18</f>
        <v>#REF!</v>
      </c>
      <c r="I18" s="7" t="e">
        <f t="shared" ref="I18:R18" si="4">H18</f>
        <v>#REF!</v>
      </c>
      <c r="J18" s="7" t="e">
        <f t="shared" si="4"/>
        <v>#REF!</v>
      </c>
      <c r="K18" s="7" t="e">
        <f t="shared" si="4"/>
        <v>#REF!</v>
      </c>
      <c r="L18" s="7" t="e">
        <f t="shared" si="4"/>
        <v>#REF!</v>
      </c>
      <c r="M18" s="7" t="e">
        <f t="shared" si="4"/>
        <v>#REF!</v>
      </c>
      <c r="N18" s="7" t="e">
        <f t="shared" si="4"/>
        <v>#REF!</v>
      </c>
      <c r="O18" s="7" t="e">
        <f t="shared" si="4"/>
        <v>#REF!</v>
      </c>
      <c r="P18" s="7" t="e">
        <f t="shared" si="4"/>
        <v>#REF!</v>
      </c>
      <c r="Q18" s="7" t="e">
        <f t="shared" si="4"/>
        <v>#REF!</v>
      </c>
      <c r="R18" s="7" t="e">
        <f t="shared" si="4"/>
        <v>#REF!</v>
      </c>
      <c r="S18" s="502" t="e">
        <f>SUM(G18:R18)</f>
        <v>#REF!</v>
      </c>
      <c r="T18" s="7" t="s">
        <v>1231</v>
      </c>
      <c r="U18" s="446"/>
    </row>
    <row r="19" spans="1:21" ht="18.75">
      <c r="A19" s="492" t="s">
        <v>115</v>
      </c>
      <c r="B19" s="497">
        <v>6</v>
      </c>
      <c r="C19" s="503" t="s">
        <v>649</v>
      </c>
      <c r="D19" s="484" t="e">
        <f>#REF!</f>
        <v>#REF!</v>
      </c>
      <c r="E19" s="501"/>
      <c r="F19" s="502"/>
      <c r="G19" s="7"/>
      <c r="H19" s="7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7"/>
      <c r="U19" s="446"/>
    </row>
    <row r="20" spans="1:21" ht="18.75">
      <c r="A20" s="492" t="s">
        <v>116</v>
      </c>
      <c r="B20" s="497">
        <v>6</v>
      </c>
      <c r="C20" s="503" t="s">
        <v>142</v>
      </c>
      <c r="D20" s="484" t="e">
        <f>#REF!</f>
        <v>#REF!</v>
      </c>
      <c r="E20" s="501"/>
      <c r="F20" s="502"/>
      <c r="G20" s="7"/>
      <c r="H20" s="7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7"/>
      <c r="U20" s="446"/>
    </row>
    <row r="21" spans="1:21" ht="18.75">
      <c r="A21" s="492" t="s">
        <v>117</v>
      </c>
      <c r="B21" s="497">
        <v>6</v>
      </c>
      <c r="C21" s="498" t="s">
        <v>1232</v>
      </c>
      <c r="D21" s="484" t="e">
        <f>#REF!</f>
        <v>#REF!</v>
      </c>
      <c r="E21" s="501"/>
      <c r="F21" s="502"/>
      <c r="G21" s="7"/>
      <c r="H21" s="7"/>
      <c r="I21" s="502"/>
      <c r="J21" s="502"/>
      <c r="K21" s="502"/>
      <c r="L21" s="502"/>
      <c r="M21" s="502"/>
      <c r="N21" s="502"/>
      <c r="O21" s="502"/>
      <c r="P21" s="502"/>
      <c r="Q21" s="502"/>
      <c r="R21" s="502"/>
      <c r="S21" s="502"/>
      <c r="T21" s="7"/>
      <c r="U21" s="446"/>
    </row>
    <row r="22" spans="1:21" ht="18.75">
      <c r="A22" s="492" t="s">
        <v>118</v>
      </c>
      <c r="B22" s="497">
        <v>6</v>
      </c>
      <c r="C22" s="503" t="s">
        <v>0</v>
      </c>
      <c r="D22" s="484" t="e">
        <f>#REF!</f>
        <v>#REF!</v>
      </c>
      <c r="E22" s="501"/>
      <c r="F22" s="502"/>
      <c r="G22" s="7"/>
      <c r="H22" s="7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7"/>
      <c r="U22" s="446"/>
    </row>
    <row r="23" spans="1:21" ht="18.75">
      <c r="A23" s="492" t="s">
        <v>119</v>
      </c>
      <c r="B23" s="497">
        <v>6</v>
      </c>
      <c r="C23" s="498" t="s">
        <v>1233</v>
      </c>
      <c r="D23" s="484" t="e">
        <f>#REF!</f>
        <v>#REF!</v>
      </c>
      <c r="E23" s="501"/>
      <c r="F23" s="502"/>
      <c r="G23" s="7"/>
      <c r="H23" s="7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7"/>
      <c r="U23" s="446"/>
    </row>
    <row r="24" spans="1:21" ht="18.75">
      <c r="A24" s="492" t="s">
        <v>120</v>
      </c>
      <c r="B24" s="497">
        <v>6</v>
      </c>
      <c r="C24" s="503" t="s">
        <v>8</v>
      </c>
      <c r="D24" s="484" t="e">
        <f>#REF!</f>
        <v>#REF!</v>
      </c>
      <c r="E24" s="501"/>
      <c r="F24" s="502"/>
      <c r="G24" s="7"/>
      <c r="H24" s="7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7"/>
      <c r="U24" s="446"/>
    </row>
    <row r="25" spans="1:21" ht="18.75">
      <c r="A25" s="492" t="s">
        <v>121</v>
      </c>
      <c r="B25" s="497">
        <v>6</v>
      </c>
      <c r="C25" s="503" t="s">
        <v>11</v>
      </c>
      <c r="D25" s="484" t="e">
        <f>#REF!</f>
        <v>#REF!</v>
      </c>
      <c r="E25" s="501"/>
      <c r="F25" s="502"/>
      <c r="G25" s="7"/>
      <c r="H25" s="7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7"/>
      <c r="U25" s="446"/>
    </row>
    <row r="26" spans="1:21" ht="18.75">
      <c r="A26" s="492" t="s">
        <v>122</v>
      </c>
      <c r="B26" s="497">
        <v>6</v>
      </c>
      <c r="C26" s="503" t="s">
        <v>149</v>
      </c>
      <c r="D26" s="484" t="e">
        <f>#REF!</f>
        <v>#REF!</v>
      </c>
      <c r="E26" s="501"/>
      <c r="F26" s="502"/>
      <c r="G26" s="7"/>
      <c r="H26" s="7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7"/>
      <c r="U26" s="446"/>
    </row>
    <row r="27" spans="1:21" ht="18.75">
      <c r="A27" s="492" t="s">
        <v>123</v>
      </c>
      <c r="B27" s="497">
        <v>6</v>
      </c>
      <c r="C27" s="503" t="s">
        <v>1</v>
      </c>
      <c r="D27" s="484" t="e">
        <f>#REF!</f>
        <v>#REF!</v>
      </c>
      <c r="E27" s="501"/>
      <c r="F27" s="502"/>
      <c r="G27" s="7"/>
      <c r="H27" s="7"/>
      <c r="I27" s="502"/>
      <c r="J27" s="502"/>
      <c r="K27" s="502"/>
      <c r="L27" s="502"/>
      <c r="M27" s="502"/>
      <c r="N27" s="502"/>
      <c r="O27" s="502"/>
      <c r="P27" s="502"/>
      <c r="Q27" s="502"/>
      <c r="R27" s="502"/>
      <c r="S27" s="502"/>
      <c r="T27" s="7"/>
      <c r="U27" s="446"/>
    </row>
    <row r="28" spans="1:21" ht="18.75">
      <c r="A28" s="492" t="s">
        <v>124</v>
      </c>
      <c r="B28" s="497">
        <v>6</v>
      </c>
      <c r="C28" s="503" t="s">
        <v>151</v>
      </c>
      <c r="D28" s="484">
        <v>0</v>
      </c>
      <c r="E28" s="501">
        <v>6</v>
      </c>
      <c r="F28" s="502" t="e">
        <f>SUM(D19:D28)</f>
        <v>#REF!</v>
      </c>
      <c r="G28" s="7" t="e">
        <f>F28/12</f>
        <v>#REF!</v>
      </c>
      <c r="H28" s="7" t="e">
        <f>$G$28</f>
        <v>#REF!</v>
      </c>
      <c r="I28" s="7" t="e">
        <f t="shared" ref="I28:R28" si="5">$G$28</f>
        <v>#REF!</v>
      </c>
      <c r="J28" s="7" t="e">
        <f t="shared" si="5"/>
        <v>#REF!</v>
      </c>
      <c r="K28" s="7" t="e">
        <f t="shared" si="5"/>
        <v>#REF!</v>
      </c>
      <c r="L28" s="7" t="e">
        <f t="shared" si="5"/>
        <v>#REF!</v>
      </c>
      <c r="M28" s="7" t="e">
        <f t="shared" si="5"/>
        <v>#REF!</v>
      </c>
      <c r="N28" s="7" t="e">
        <f t="shared" si="5"/>
        <v>#REF!</v>
      </c>
      <c r="O28" s="7" t="e">
        <f t="shared" si="5"/>
        <v>#REF!</v>
      </c>
      <c r="P28" s="7" t="e">
        <f t="shared" si="5"/>
        <v>#REF!</v>
      </c>
      <c r="Q28" s="7" t="e">
        <f t="shared" si="5"/>
        <v>#REF!</v>
      </c>
      <c r="R28" s="7" t="e">
        <f t="shared" si="5"/>
        <v>#REF!</v>
      </c>
      <c r="S28" s="7" t="e">
        <f>SUM(G28:R28)</f>
        <v>#REF!</v>
      </c>
      <c r="T28" s="7" t="s">
        <v>1234</v>
      </c>
      <c r="U28" s="446"/>
    </row>
    <row r="29" spans="1:21" ht="18.75">
      <c r="A29" s="492" t="s">
        <v>125</v>
      </c>
      <c r="B29" s="497">
        <v>7</v>
      </c>
      <c r="C29" s="498" t="s">
        <v>1235</v>
      </c>
      <c r="D29" s="484" t="e">
        <f>#REF!</f>
        <v>#REF!</v>
      </c>
      <c r="E29" s="499">
        <v>7</v>
      </c>
      <c r="F29" s="500" t="e">
        <f>D29</f>
        <v>#REF!</v>
      </c>
      <c r="G29" s="500" t="e">
        <f t="shared" ref="G29:G30" si="6">F29/12</f>
        <v>#REF!</v>
      </c>
      <c r="H29" s="500" t="e">
        <f t="shared" ref="H29:R30" si="7">G29</f>
        <v>#REF!</v>
      </c>
      <c r="I29" s="500" t="e">
        <f t="shared" si="7"/>
        <v>#REF!</v>
      </c>
      <c r="J29" s="500" t="e">
        <f t="shared" si="7"/>
        <v>#REF!</v>
      </c>
      <c r="K29" s="500" t="e">
        <f t="shared" si="7"/>
        <v>#REF!</v>
      </c>
      <c r="L29" s="500" t="e">
        <f t="shared" si="7"/>
        <v>#REF!</v>
      </c>
      <c r="M29" s="500" t="e">
        <f t="shared" si="7"/>
        <v>#REF!</v>
      </c>
      <c r="N29" s="500" t="e">
        <f t="shared" si="7"/>
        <v>#REF!</v>
      </c>
      <c r="O29" s="500" t="e">
        <f t="shared" si="7"/>
        <v>#REF!</v>
      </c>
      <c r="P29" s="500" t="e">
        <f t="shared" si="7"/>
        <v>#REF!</v>
      </c>
      <c r="Q29" s="500" t="e">
        <f t="shared" si="7"/>
        <v>#REF!</v>
      </c>
      <c r="R29" s="500" t="e">
        <f t="shared" si="7"/>
        <v>#REF!</v>
      </c>
      <c r="S29" s="500" t="e">
        <f t="shared" ref="S29:S30" si="8">SUM(G29:R29)</f>
        <v>#REF!</v>
      </c>
      <c r="T29" s="500" t="s">
        <v>1221</v>
      </c>
      <c r="U29" s="446"/>
    </row>
    <row r="30" spans="1:21" ht="18.75">
      <c r="A30" s="492" t="s">
        <v>126</v>
      </c>
      <c r="B30" s="497">
        <v>8</v>
      </c>
      <c r="C30" s="498" t="s">
        <v>1236</v>
      </c>
      <c r="D30" s="484" t="e">
        <f>#REF!</f>
        <v>#REF!</v>
      </c>
      <c r="E30" s="501">
        <v>8</v>
      </c>
      <c r="F30" s="502" t="e">
        <f>D30</f>
        <v>#REF!</v>
      </c>
      <c r="G30" s="7" t="e">
        <f t="shared" si="6"/>
        <v>#REF!</v>
      </c>
      <c r="H30" s="7" t="e">
        <f t="shared" si="7"/>
        <v>#REF!</v>
      </c>
      <c r="I30" s="7" t="e">
        <f t="shared" si="7"/>
        <v>#REF!</v>
      </c>
      <c r="J30" s="7" t="e">
        <f t="shared" si="7"/>
        <v>#REF!</v>
      </c>
      <c r="K30" s="7" t="e">
        <f t="shared" si="7"/>
        <v>#REF!</v>
      </c>
      <c r="L30" s="7" t="e">
        <f t="shared" si="7"/>
        <v>#REF!</v>
      </c>
      <c r="M30" s="7" t="e">
        <f t="shared" si="7"/>
        <v>#REF!</v>
      </c>
      <c r="N30" s="7" t="e">
        <f t="shared" si="7"/>
        <v>#REF!</v>
      </c>
      <c r="O30" s="7" t="e">
        <f t="shared" si="7"/>
        <v>#REF!</v>
      </c>
      <c r="P30" s="7" t="e">
        <f t="shared" si="7"/>
        <v>#REF!</v>
      </c>
      <c r="Q30" s="7" t="e">
        <f t="shared" si="7"/>
        <v>#REF!</v>
      </c>
      <c r="R30" s="7" t="e">
        <f t="shared" si="7"/>
        <v>#REF!</v>
      </c>
      <c r="S30" s="502" t="e">
        <f t="shared" si="8"/>
        <v>#REF!</v>
      </c>
      <c r="T30" s="7" t="s">
        <v>1237</v>
      </c>
      <c r="U30" s="446"/>
    </row>
    <row r="31" spans="1:21" ht="18.75">
      <c r="A31" s="492" t="s">
        <v>127</v>
      </c>
      <c r="B31" s="497">
        <v>9</v>
      </c>
      <c r="C31" s="503" t="s">
        <v>144</v>
      </c>
      <c r="D31" s="484" t="e">
        <f>#REF!</f>
        <v>#REF!</v>
      </c>
      <c r="E31" s="501"/>
      <c r="F31" s="502"/>
      <c r="G31" s="7"/>
      <c r="H31" s="7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7"/>
      <c r="U31" s="446"/>
    </row>
    <row r="32" spans="1:21" ht="18.75">
      <c r="A32" s="492" t="s">
        <v>128</v>
      </c>
      <c r="B32" s="497">
        <v>9</v>
      </c>
      <c r="C32" s="498" t="s">
        <v>152</v>
      </c>
      <c r="D32" s="484" t="e">
        <f>#REF!</f>
        <v>#REF!</v>
      </c>
      <c r="E32" s="501">
        <v>9</v>
      </c>
      <c r="F32" s="502" t="e">
        <f>SUM(D31:D32)</f>
        <v>#REF!</v>
      </c>
      <c r="G32" s="7" t="e">
        <f>F32/12</f>
        <v>#REF!</v>
      </c>
      <c r="H32" s="7" t="e">
        <f>G32</f>
        <v>#REF!</v>
      </c>
      <c r="I32" s="7" t="e">
        <f t="shared" ref="I32:R32" si="9">H32</f>
        <v>#REF!</v>
      </c>
      <c r="J32" s="7" t="e">
        <f t="shared" si="9"/>
        <v>#REF!</v>
      </c>
      <c r="K32" s="7" t="e">
        <f t="shared" si="9"/>
        <v>#REF!</v>
      </c>
      <c r="L32" s="7" t="e">
        <f t="shared" si="9"/>
        <v>#REF!</v>
      </c>
      <c r="M32" s="7" t="e">
        <f t="shared" si="9"/>
        <v>#REF!</v>
      </c>
      <c r="N32" s="7" t="e">
        <f t="shared" si="9"/>
        <v>#REF!</v>
      </c>
      <c r="O32" s="7" t="e">
        <f t="shared" si="9"/>
        <v>#REF!</v>
      </c>
      <c r="P32" s="7" t="e">
        <f t="shared" si="9"/>
        <v>#REF!</v>
      </c>
      <c r="Q32" s="7" t="e">
        <f t="shared" si="9"/>
        <v>#REF!</v>
      </c>
      <c r="R32" s="7" t="e">
        <f t="shared" si="9"/>
        <v>#REF!</v>
      </c>
      <c r="S32" s="502" t="e">
        <f>SUM(G32:R32)</f>
        <v>#REF!</v>
      </c>
      <c r="T32" s="7" t="s">
        <v>1238</v>
      </c>
      <c r="U32" s="1"/>
    </row>
    <row r="33" spans="1:21" ht="18.75">
      <c r="A33" s="492" t="s">
        <v>129</v>
      </c>
      <c r="B33" s="497">
        <v>10</v>
      </c>
      <c r="C33" s="503" t="s">
        <v>4</v>
      </c>
      <c r="D33" s="484" t="e">
        <f>#REF!</f>
        <v>#REF!</v>
      </c>
      <c r="E33" s="501"/>
      <c r="F33" s="502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1"/>
    </row>
    <row r="34" spans="1:21" ht="18.75">
      <c r="A34" s="492" t="s">
        <v>130</v>
      </c>
      <c r="B34" s="497">
        <v>10</v>
      </c>
      <c r="C34" s="498" t="s">
        <v>1239</v>
      </c>
      <c r="D34" s="484" t="e">
        <f>#REF!</f>
        <v>#REF!</v>
      </c>
      <c r="E34" s="501">
        <v>10</v>
      </c>
      <c r="F34" s="502" t="e">
        <f>SUM(D33:D34)</f>
        <v>#REF!</v>
      </c>
      <c r="G34" s="7" t="e">
        <f>F34/12</f>
        <v>#REF!</v>
      </c>
      <c r="H34" s="7" t="e">
        <f>G34</f>
        <v>#REF!</v>
      </c>
      <c r="I34" s="7" t="e">
        <f t="shared" ref="I34:R34" si="10">H34</f>
        <v>#REF!</v>
      </c>
      <c r="J34" s="7" t="e">
        <f t="shared" si="10"/>
        <v>#REF!</v>
      </c>
      <c r="K34" s="7" t="e">
        <f t="shared" si="10"/>
        <v>#REF!</v>
      </c>
      <c r="L34" s="7" t="e">
        <f t="shared" si="10"/>
        <v>#REF!</v>
      </c>
      <c r="M34" s="7" t="e">
        <f t="shared" si="10"/>
        <v>#REF!</v>
      </c>
      <c r="N34" s="7" t="e">
        <f t="shared" si="10"/>
        <v>#REF!</v>
      </c>
      <c r="O34" s="7" t="e">
        <f t="shared" si="10"/>
        <v>#REF!</v>
      </c>
      <c r="P34" s="7" t="e">
        <f t="shared" si="10"/>
        <v>#REF!</v>
      </c>
      <c r="Q34" s="7" t="e">
        <f t="shared" si="10"/>
        <v>#REF!</v>
      </c>
      <c r="R34" s="7" t="e">
        <f t="shared" si="10"/>
        <v>#REF!</v>
      </c>
      <c r="S34" s="502" t="e">
        <f>SUM(G34:R34)</f>
        <v>#REF!</v>
      </c>
      <c r="T34" s="7" t="s">
        <v>1240</v>
      </c>
      <c r="U34" s="1"/>
    </row>
    <row r="35" spans="1:21" ht="18.75">
      <c r="A35" s="492" t="s">
        <v>131</v>
      </c>
      <c r="B35" s="497">
        <v>11</v>
      </c>
      <c r="C35" s="498" t="s">
        <v>1241</v>
      </c>
      <c r="D35" s="484" t="e">
        <f>#REF!</f>
        <v>#REF!</v>
      </c>
      <c r="E35" s="501"/>
      <c r="F35" s="50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"/>
    </row>
    <row r="36" spans="1:21" ht="18.75">
      <c r="A36" s="492" t="s">
        <v>132</v>
      </c>
      <c r="B36" s="497">
        <v>11</v>
      </c>
      <c r="C36" s="498" t="s">
        <v>1242</v>
      </c>
      <c r="D36" s="484" t="e">
        <f>#REF!</f>
        <v>#REF!</v>
      </c>
      <c r="E36" s="501">
        <v>11</v>
      </c>
      <c r="F36" s="502" t="e">
        <f>SUM(D35:D36)</f>
        <v>#REF!</v>
      </c>
      <c r="G36" s="7" t="e">
        <f>F36/12</f>
        <v>#REF!</v>
      </c>
      <c r="H36" s="7" t="e">
        <f>G36</f>
        <v>#REF!</v>
      </c>
      <c r="I36" s="7" t="e">
        <f t="shared" ref="I36:R36" si="11">H36</f>
        <v>#REF!</v>
      </c>
      <c r="J36" s="7" t="e">
        <f t="shared" si="11"/>
        <v>#REF!</v>
      </c>
      <c r="K36" s="7" t="e">
        <f t="shared" si="11"/>
        <v>#REF!</v>
      </c>
      <c r="L36" s="7" t="e">
        <f t="shared" si="11"/>
        <v>#REF!</v>
      </c>
      <c r="M36" s="7" t="e">
        <f t="shared" si="11"/>
        <v>#REF!</v>
      </c>
      <c r="N36" s="7" t="e">
        <f t="shared" si="11"/>
        <v>#REF!</v>
      </c>
      <c r="O36" s="7" t="e">
        <f t="shared" si="11"/>
        <v>#REF!</v>
      </c>
      <c r="P36" s="7" t="e">
        <f t="shared" si="11"/>
        <v>#REF!</v>
      </c>
      <c r="Q36" s="7" t="e">
        <f t="shared" si="11"/>
        <v>#REF!</v>
      </c>
      <c r="R36" s="7" t="e">
        <f t="shared" si="11"/>
        <v>#REF!</v>
      </c>
      <c r="S36" s="502" t="e">
        <f>SUM(G36:R36)</f>
        <v>#REF!</v>
      </c>
      <c r="T36" s="7" t="s">
        <v>1243</v>
      </c>
      <c r="U36" s="1"/>
    </row>
    <row r="37" spans="1:21" ht="18.75">
      <c r="A37" s="492" t="s">
        <v>133</v>
      </c>
      <c r="B37" s="497">
        <v>13</v>
      </c>
      <c r="C37" s="504" t="s">
        <v>10</v>
      </c>
      <c r="D37" s="484" t="e">
        <f>#REF!</f>
        <v>#REF!</v>
      </c>
      <c r="E37" s="501"/>
      <c r="F37" s="502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"/>
    </row>
    <row r="38" spans="1:21" ht="18.75">
      <c r="A38" s="492" t="s">
        <v>134</v>
      </c>
      <c r="B38" s="497">
        <v>13</v>
      </c>
      <c r="C38" s="498" t="s">
        <v>1244</v>
      </c>
      <c r="D38" s="484" t="e">
        <f>#REF!</f>
        <v>#REF!</v>
      </c>
      <c r="E38" s="501"/>
      <c r="F38" s="502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"/>
    </row>
    <row r="39" spans="1:21" ht="18.75">
      <c r="A39" s="492" t="s">
        <v>135</v>
      </c>
      <c r="B39" s="497">
        <v>13</v>
      </c>
      <c r="C39" s="503" t="s">
        <v>150</v>
      </c>
      <c r="D39" s="484" t="e">
        <f>#REF!</f>
        <v>#REF!</v>
      </c>
      <c r="E39" s="501">
        <v>13</v>
      </c>
      <c r="F39" s="502" t="e">
        <f>SUM(D37:D39)</f>
        <v>#REF!</v>
      </c>
      <c r="G39" s="7" t="e">
        <f>F39/12</f>
        <v>#REF!</v>
      </c>
      <c r="H39" s="7" t="e">
        <f>G39</f>
        <v>#REF!</v>
      </c>
      <c r="I39" s="7" t="e">
        <f t="shared" ref="I39:R39" si="12">H39</f>
        <v>#REF!</v>
      </c>
      <c r="J39" s="7" t="e">
        <f t="shared" si="12"/>
        <v>#REF!</v>
      </c>
      <c r="K39" s="7" t="e">
        <f t="shared" si="12"/>
        <v>#REF!</v>
      </c>
      <c r="L39" s="7" t="e">
        <f t="shared" si="12"/>
        <v>#REF!</v>
      </c>
      <c r="M39" s="7" t="e">
        <f t="shared" si="12"/>
        <v>#REF!</v>
      </c>
      <c r="N39" s="7" t="e">
        <f t="shared" si="12"/>
        <v>#REF!</v>
      </c>
      <c r="O39" s="7" t="e">
        <f t="shared" si="12"/>
        <v>#REF!</v>
      </c>
      <c r="P39" s="7" t="e">
        <f t="shared" si="12"/>
        <v>#REF!</v>
      </c>
      <c r="Q39" s="7" t="e">
        <f t="shared" si="12"/>
        <v>#REF!</v>
      </c>
      <c r="R39" s="7" t="e">
        <f t="shared" si="12"/>
        <v>#REF!</v>
      </c>
      <c r="S39" s="502" t="e">
        <f>SUM(G39:R39)</f>
        <v>#REF!</v>
      </c>
      <c r="T39" s="7" t="s">
        <v>1245</v>
      </c>
      <c r="U39" s="1"/>
    </row>
    <row r="40" spans="1:21" ht="18.75">
      <c r="A40" s="492" t="s">
        <v>154</v>
      </c>
      <c r="B40" s="497">
        <v>14</v>
      </c>
      <c r="C40" s="503" t="s">
        <v>207</v>
      </c>
      <c r="D40" s="484" t="e">
        <f>#REF!</f>
        <v>#REF!</v>
      </c>
      <c r="E40" s="501"/>
      <c r="F40" s="502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"/>
    </row>
    <row r="41" spans="1:21" ht="18.75">
      <c r="A41" s="492" t="s">
        <v>155</v>
      </c>
      <c r="B41" s="497">
        <v>14</v>
      </c>
      <c r="C41" s="503" t="s">
        <v>146</v>
      </c>
      <c r="D41" s="484" t="e">
        <f>#REF!</f>
        <v>#REF!</v>
      </c>
      <c r="E41" s="501"/>
      <c r="F41" s="502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"/>
    </row>
    <row r="42" spans="1:21" ht="18.75">
      <c r="A42" s="492" t="s">
        <v>156</v>
      </c>
      <c r="B42" s="497">
        <v>14</v>
      </c>
      <c r="C42" s="503" t="s">
        <v>148</v>
      </c>
      <c r="D42" s="484" t="e">
        <f>#REF!</f>
        <v>#REF!</v>
      </c>
      <c r="E42" s="501"/>
      <c r="F42" s="502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1"/>
    </row>
    <row r="43" spans="1:21" ht="18.75">
      <c r="A43" s="492" t="s">
        <v>157</v>
      </c>
      <c r="B43" s="497">
        <v>14</v>
      </c>
      <c r="C43" s="503" t="s">
        <v>153</v>
      </c>
      <c r="D43" s="484" t="e">
        <f>#REF!</f>
        <v>#REF!</v>
      </c>
      <c r="E43" s="501"/>
      <c r="F43" s="502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1"/>
    </row>
    <row r="44" spans="1:21" ht="18.75">
      <c r="A44" s="492" t="s">
        <v>158</v>
      </c>
      <c r="B44" s="497">
        <v>14</v>
      </c>
      <c r="C44" s="503" t="s">
        <v>141</v>
      </c>
      <c r="D44" s="484" t="e">
        <f>#REF!</f>
        <v>#REF!</v>
      </c>
      <c r="E44" s="501">
        <v>14</v>
      </c>
      <c r="F44" s="502" t="e">
        <f>SUM(D40:D44)</f>
        <v>#REF!</v>
      </c>
      <c r="G44" s="7" t="e">
        <f>F44/12</f>
        <v>#REF!</v>
      </c>
      <c r="H44" s="7" t="e">
        <f>G44</f>
        <v>#REF!</v>
      </c>
      <c r="I44" s="7" t="e">
        <f t="shared" ref="I44:R44" si="13">H44</f>
        <v>#REF!</v>
      </c>
      <c r="J44" s="7" t="e">
        <f t="shared" si="13"/>
        <v>#REF!</v>
      </c>
      <c r="K44" s="7" t="e">
        <f t="shared" si="13"/>
        <v>#REF!</v>
      </c>
      <c r="L44" s="7" t="e">
        <f t="shared" si="13"/>
        <v>#REF!</v>
      </c>
      <c r="M44" s="7" t="e">
        <f t="shared" si="13"/>
        <v>#REF!</v>
      </c>
      <c r="N44" s="7" t="e">
        <f t="shared" si="13"/>
        <v>#REF!</v>
      </c>
      <c r="O44" s="7" t="e">
        <f t="shared" si="13"/>
        <v>#REF!</v>
      </c>
      <c r="P44" s="7" t="e">
        <f t="shared" si="13"/>
        <v>#REF!</v>
      </c>
      <c r="Q44" s="7" t="e">
        <f t="shared" si="13"/>
        <v>#REF!</v>
      </c>
      <c r="R44" s="7" t="e">
        <f t="shared" si="13"/>
        <v>#REF!</v>
      </c>
      <c r="S44" s="502" t="e">
        <f>SUM(G44:R44)</f>
        <v>#REF!</v>
      </c>
      <c r="T44" s="7" t="s">
        <v>1246</v>
      </c>
      <c r="U44" s="1"/>
    </row>
    <row r="45" spans="1:21" ht="18.75">
      <c r="A45" s="492" t="s">
        <v>159</v>
      </c>
      <c r="B45" s="497">
        <v>15</v>
      </c>
      <c r="C45" s="503" t="s">
        <v>147</v>
      </c>
      <c r="D45" s="484" t="e">
        <f>#REF!</f>
        <v>#REF!</v>
      </c>
      <c r="E45" s="501"/>
      <c r="F45" s="502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"/>
    </row>
    <row r="46" spans="1:21" ht="18.75">
      <c r="A46" s="492" t="s">
        <v>160</v>
      </c>
      <c r="B46" s="497">
        <v>15</v>
      </c>
      <c r="C46" s="503" t="s">
        <v>1247</v>
      </c>
      <c r="D46" s="484" t="e">
        <f>#REF!</f>
        <v>#REF!</v>
      </c>
      <c r="E46" s="501">
        <v>15</v>
      </c>
      <c r="F46" s="502" t="e">
        <f>SUM(D45:D46)</f>
        <v>#REF!</v>
      </c>
      <c r="G46" s="7" t="e">
        <f>F46/12</f>
        <v>#REF!</v>
      </c>
      <c r="H46" s="7" t="e">
        <f>G46</f>
        <v>#REF!</v>
      </c>
      <c r="I46" s="7" t="e">
        <f t="shared" ref="I46:R46" si="14">H46</f>
        <v>#REF!</v>
      </c>
      <c r="J46" s="7" t="e">
        <f t="shared" si="14"/>
        <v>#REF!</v>
      </c>
      <c r="K46" s="7" t="e">
        <f t="shared" si="14"/>
        <v>#REF!</v>
      </c>
      <c r="L46" s="7" t="e">
        <f t="shared" si="14"/>
        <v>#REF!</v>
      </c>
      <c r="M46" s="7" t="e">
        <f t="shared" si="14"/>
        <v>#REF!</v>
      </c>
      <c r="N46" s="7" t="e">
        <f t="shared" si="14"/>
        <v>#REF!</v>
      </c>
      <c r="O46" s="7" t="e">
        <f t="shared" si="14"/>
        <v>#REF!</v>
      </c>
      <c r="P46" s="7" t="e">
        <f t="shared" si="14"/>
        <v>#REF!</v>
      </c>
      <c r="Q46" s="7" t="e">
        <f t="shared" si="14"/>
        <v>#REF!</v>
      </c>
      <c r="R46" s="7" t="e">
        <f t="shared" si="14"/>
        <v>#REF!</v>
      </c>
      <c r="S46" s="502" t="e">
        <f>SUM(G46:R46)</f>
        <v>#REF!</v>
      </c>
      <c r="T46" s="7" t="s">
        <v>1248</v>
      </c>
      <c r="U46" s="1"/>
    </row>
    <row r="47" spans="1:21" ht="18.75">
      <c r="A47" s="492" t="s">
        <v>206</v>
      </c>
      <c r="B47" s="497">
        <v>16</v>
      </c>
      <c r="C47" s="503" t="s">
        <v>143</v>
      </c>
      <c r="D47" s="484" t="e">
        <f>#REF!</f>
        <v>#REF!</v>
      </c>
      <c r="E47" s="501"/>
      <c r="F47" s="502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1"/>
    </row>
    <row r="48" spans="1:21" ht="18.75">
      <c r="A48" s="492" t="s">
        <v>1162</v>
      </c>
      <c r="B48" s="497">
        <v>16</v>
      </c>
      <c r="C48" s="503" t="s">
        <v>3</v>
      </c>
      <c r="D48" s="484" t="e">
        <f>#REF!</f>
        <v>#REF!</v>
      </c>
      <c r="E48" s="501"/>
      <c r="F48" s="502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1"/>
    </row>
    <row r="49" spans="1:21" ht="18.75">
      <c r="A49" s="492" t="s">
        <v>1169</v>
      </c>
      <c r="B49" s="497">
        <v>16</v>
      </c>
      <c r="C49" s="503" t="s">
        <v>1163</v>
      </c>
      <c r="D49" s="484" t="e">
        <f>#REF!</f>
        <v>#REF!</v>
      </c>
      <c r="E49" s="501"/>
      <c r="F49" s="502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"/>
    </row>
    <row r="50" spans="1:21" ht="18.75">
      <c r="A50" s="492" t="s">
        <v>1251</v>
      </c>
      <c r="B50" s="497">
        <v>16</v>
      </c>
      <c r="C50" s="503" t="s">
        <v>9</v>
      </c>
      <c r="D50" s="484" t="e">
        <f>#REF!</f>
        <v>#REF!</v>
      </c>
      <c r="E50" s="501">
        <v>16</v>
      </c>
      <c r="F50" s="502" t="e">
        <f>SUM(D47:D50)</f>
        <v>#REF!</v>
      </c>
      <c r="G50" s="7" t="e">
        <f>F50/12</f>
        <v>#REF!</v>
      </c>
      <c r="H50" s="7" t="e">
        <f>G50</f>
        <v>#REF!</v>
      </c>
      <c r="I50" s="7" t="e">
        <f t="shared" ref="I50:R50" si="15">H50</f>
        <v>#REF!</v>
      </c>
      <c r="J50" s="7" t="e">
        <f t="shared" si="15"/>
        <v>#REF!</v>
      </c>
      <c r="K50" s="7" t="e">
        <f t="shared" si="15"/>
        <v>#REF!</v>
      </c>
      <c r="L50" s="7" t="e">
        <f t="shared" si="15"/>
        <v>#REF!</v>
      </c>
      <c r="M50" s="7" t="e">
        <f t="shared" si="15"/>
        <v>#REF!</v>
      </c>
      <c r="N50" s="7" t="e">
        <f t="shared" si="15"/>
        <v>#REF!</v>
      </c>
      <c r="O50" s="7" t="e">
        <f t="shared" si="15"/>
        <v>#REF!</v>
      </c>
      <c r="P50" s="7" t="e">
        <f t="shared" si="15"/>
        <v>#REF!</v>
      </c>
      <c r="Q50" s="7" t="e">
        <f t="shared" si="15"/>
        <v>#REF!</v>
      </c>
      <c r="R50" s="7" t="e">
        <f t="shared" si="15"/>
        <v>#REF!</v>
      </c>
      <c r="S50" s="502" t="e">
        <f>SUM(G50:R50)</f>
        <v>#REF!</v>
      </c>
      <c r="T50" s="7" t="s">
        <v>1249</v>
      </c>
      <c r="U50" s="1"/>
    </row>
    <row r="51" spans="1:21" ht="16.5" thickBot="1">
      <c r="A51" s="492"/>
      <c r="B51" s="484"/>
      <c r="C51" s="484" t="s">
        <v>15</v>
      </c>
      <c r="D51" s="505" t="e">
        <f>SUM(D8:D50)</f>
        <v>#REF!</v>
      </c>
      <c r="E51" s="506"/>
      <c r="F51" s="507" t="e">
        <f>SUM(F8:F50)</f>
        <v>#REF!</v>
      </c>
      <c r="G51" s="507" t="e">
        <f t="shared" ref="G51:S51" si="16">SUM(G8:G50)</f>
        <v>#REF!</v>
      </c>
      <c r="H51" s="507" t="e">
        <f t="shared" si="16"/>
        <v>#REF!</v>
      </c>
      <c r="I51" s="507" t="e">
        <f t="shared" si="16"/>
        <v>#REF!</v>
      </c>
      <c r="J51" s="507" t="e">
        <f t="shared" si="16"/>
        <v>#REF!</v>
      </c>
      <c r="K51" s="507" t="e">
        <f t="shared" si="16"/>
        <v>#REF!</v>
      </c>
      <c r="L51" s="507" t="e">
        <f t="shared" si="16"/>
        <v>#REF!</v>
      </c>
      <c r="M51" s="507" t="e">
        <f t="shared" si="16"/>
        <v>#REF!</v>
      </c>
      <c r="N51" s="507" t="e">
        <f t="shared" si="16"/>
        <v>#REF!</v>
      </c>
      <c r="O51" s="507" t="e">
        <f t="shared" si="16"/>
        <v>#REF!</v>
      </c>
      <c r="P51" s="507" t="e">
        <f t="shared" si="16"/>
        <v>#REF!</v>
      </c>
      <c r="Q51" s="507" t="e">
        <f t="shared" si="16"/>
        <v>#REF!</v>
      </c>
      <c r="R51" s="507" t="e">
        <f t="shared" si="16"/>
        <v>#REF!</v>
      </c>
      <c r="S51" s="507" t="e">
        <f t="shared" si="16"/>
        <v>#REF!</v>
      </c>
      <c r="T51" s="502"/>
      <c r="U51" s="446"/>
    </row>
    <row r="52" spans="1:21" ht="16.5" thickTop="1">
      <c r="A52" s="280"/>
      <c r="B52" s="280"/>
      <c r="C52" s="280"/>
      <c r="D52" s="484"/>
      <c r="E52" s="508"/>
      <c r="F52" s="340"/>
      <c r="G52" s="509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446"/>
    </row>
    <row r="53" spans="1:21" ht="15">
      <c r="A53" s="280"/>
      <c r="B53" s="280"/>
      <c r="C53" s="280"/>
      <c r="D53" s="484"/>
      <c r="E53" s="508"/>
      <c r="F53" s="280"/>
      <c r="U53" s="446"/>
    </row>
    <row r="54" spans="1:21">
      <c r="C54" t="s">
        <v>1254</v>
      </c>
      <c r="D54" t="s">
        <v>1136</v>
      </c>
      <c r="E54" t="s">
        <v>1255</v>
      </c>
      <c r="G54" s="617" t="e">
        <f>G51</f>
        <v>#REF!</v>
      </c>
      <c r="H54" s="617" t="e">
        <f t="shared" ref="H54:P54" si="17">H51+G54</f>
        <v>#REF!</v>
      </c>
      <c r="I54" s="617" t="e">
        <f t="shared" si="17"/>
        <v>#REF!</v>
      </c>
      <c r="J54" s="617" t="e">
        <f t="shared" si="17"/>
        <v>#REF!</v>
      </c>
      <c r="K54" s="617" t="e">
        <f t="shared" si="17"/>
        <v>#REF!</v>
      </c>
      <c r="L54" s="617" t="e">
        <f t="shared" si="17"/>
        <v>#REF!</v>
      </c>
      <c r="M54" s="617" t="e">
        <f t="shared" si="17"/>
        <v>#REF!</v>
      </c>
      <c r="N54" s="617" t="e">
        <f t="shared" si="17"/>
        <v>#REF!</v>
      </c>
      <c r="O54" s="617" t="e">
        <f t="shared" si="17"/>
        <v>#REF!</v>
      </c>
      <c r="P54" s="617" t="e">
        <f t="shared" si="17"/>
        <v>#REF!</v>
      </c>
      <c r="Q54" s="617" t="e">
        <f>(Q51)*-1</f>
        <v>#REF!</v>
      </c>
      <c r="T54" t="s">
        <v>1253</v>
      </c>
      <c r="U54" s="1"/>
    </row>
    <row r="55" spans="1:21">
      <c r="A55" s="1"/>
      <c r="B55" s="1"/>
      <c r="C55" s="1"/>
      <c r="D55" s="1"/>
      <c r="E55" s="1"/>
      <c r="F55" s="1"/>
      <c r="G55" s="31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</sheetData>
  <pageMargins left="0.7" right="0.7" top="0.75" bottom="0.75" header="0.3" footer="0.3"/>
  <pageSetup scale="52" orientation="landscape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X517"/>
  <sheetViews>
    <sheetView showGridLines="0" topLeftCell="D58" workbookViewId="0">
      <selection activeCell="M13" sqref="M13"/>
    </sheetView>
  </sheetViews>
  <sheetFormatPr defaultColWidth="9.140625" defaultRowHeight="12.75"/>
  <cols>
    <col min="1" max="1" width="9.140625" style="1"/>
    <col min="2" max="2" width="30.28515625" style="1" customWidth="1"/>
    <col min="3" max="3" width="32.7109375" style="1" customWidth="1"/>
    <col min="4" max="4" width="17.85546875" style="1" customWidth="1"/>
    <col min="5" max="5" width="12.85546875" style="1" customWidth="1"/>
    <col min="6" max="6" width="12.7109375" style="1" customWidth="1"/>
    <col min="7" max="7" width="12.42578125" style="1" customWidth="1"/>
    <col min="8" max="8" width="18.42578125" style="1" customWidth="1"/>
    <col min="9" max="9" width="9.140625" style="1"/>
    <col min="10" max="10" width="11.140625" style="1" bestFit="1" customWidth="1"/>
    <col min="11" max="11" width="9.140625" style="1"/>
    <col min="12" max="12" width="10.42578125" style="1" bestFit="1" customWidth="1"/>
    <col min="13" max="16384" width="9.140625" style="1"/>
  </cols>
  <sheetData>
    <row r="1" spans="1:8" ht="18.75">
      <c r="A1" s="54" t="str">
        <f>PlantByAcctByCounty!A1</f>
        <v>Peoples Gas System 2015 Property Tax Return</v>
      </c>
    </row>
    <row r="2" spans="1:8" ht="18.75">
      <c r="A2" s="54" t="str">
        <f>PlantByAcctByCounty!A2</f>
        <v>Plant in Service as of December 31, 2013</v>
      </c>
    </row>
    <row r="3" spans="1:8" ht="15" customHeight="1"/>
    <row r="6" spans="1:8" ht="18.75">
      <c r="E6" s="53" t="s">
        <v>1143</v>
      </c>
      <c r="F6" s="53"/>
      <c r="G6" s="53"/>
      <c r="H6" s="53"/>
    </row>
    <row r="7" spans="1:8">
      <c r="A7" s="32" t="s">
        <v>303</v>
      </c>
      <c r="B7" s="32" t="s">
        <v>304</v>
      </c>
      <c r="C7" s="1" t="s">
        <v>305</v>
      </c>
      <c r="D7" s="32" t="s">
        <v>306</v>
      </c>
      <c r="E7" s="275" t="s">
        <v>307</v>
      </c>
      <c r="F7" s="275" t="s">
        <v>308</v>
      </c>
      <c r="G7" s="200" t="s">
        <v>309</v>
      </c>
      <c r="H7" s="200" t="s">
        <v>310</v>
      </c>
    </row>
    <row r="8" spans="1:8">
      <c r="A8" s="2" t="s">
        <v>187</v>
      </c>
      <c r="B8" s="1" t="s">
        <v>311</v>
      </c>
      <c r="C8" s="1" t="s">
        <v>312</v>
      </c>
      <c r="D8" s="1" t="s">
        <v>313</v>
      </c>
      <c r="E8" s="201">
        <f>PlantByAcctByCounty!C401</f>
        <v>2045559.74</v>
      </c>
      <c r="F8" s="201"/>
      <c r="G8" s="133"/>
      <c r="H8" s="201">
        <f>E8+F8+G8</f>
        <v>2045559.74</v>
      </c>
    </row>
    <row r="9" spans="1:8">
      <c r="A9" s="2" t="s">
        <v>189</v>
      </c>
      <c r="B9" s="1" t="s">
        <v>314</v>
      </c>
      <c r="C9" s="1" t="s">
        <v>315</v>
      </c>
      <c r="D9" s="1" t="s">
        <v>313</v>
      </c>
      <c r="E9" s="201">
        <f>PlantByAcctByCounty!C402</f>
        <v>15819.69</v>
      </c>
      <c r="F9" s="201"/>
      <c r="G9" s="133"/>
      <c r="H9" s="201">
        <f>E9+F9+G9</f>
        <v>15819.69</v>
      </c>
    </row>
    <row r="10" spans="1:8">
      <c r="A10" s="2">
        <v>380</v>
      </c>
      <c r="B10" s="1" t="s">
        <v>316</v>
      </c>
      <c r="D10" s="1" t="s">
        <v>313</v>
      </c>
      <c r="E10" s="201">
        <v>0</v>
      </c>
      <c r="F10" s="201"/>
      <c r="G10" s="133">
        <f>Distribution!P76</f>
        <v>33341.938978402468</v>
      </c>
      <c r="H10" s="201">
        <f t="shared" ref="H10:H16" si="0">E10+F10+G10</f>
        <v>33341.938978402468</v>
      </c>
    </row>
    <row r="11" spans="1:8">
      <c r="A11" s="2">
        <v>38100</v>
      </c>
      <c r="B11" s="1" t="s">
        <v>216</v>
      </c>
      <c r="D11" s="1" t="s">
        <v>313</v>
      </c>
      <c r="E11" s="201">
        <v>0</v>
      </c>
      <c r="F11" s="201">
        <f>E11*-1</f>
        <v>0</v>
      </c>
      <c r="G11" s="133">
        <f>Meters!E16</f>
        <v>4269.8819841359864</v>
      </c>
      <c r="H11" s="201">
        <f t="shared" si="0"/>
        <v>4269.8819841359864</v>
      </c>
    </row>
    <row r="12" spans="1:8">
      <c r="A12" s="2">
        <v>38200</v>
      </c>
      <c r="B12" s="1" t="s">
        <v>217</v>
      </c>
      <c r="D12" s="1" t="s">
        <v>313</v>
      </c>
      <c r="E12" s="201">
        <v>0</v>
      </c>
      <c r="F12" s="201">
        <f>E12*-1</f>
        <v>0</v>
      </c>
      <c r="G12" s="133">
        <f>Distribution!P77</f>
        <v>4291.3987952397274</v>
      </c>
      <c r="H12" s="201">
        <f t="shared" si="0"/>
        <v>4291.3987952397274</v>
      </c>
    </row>
    <row r="13" spans="1:8">
      <c r="A13" s="2">
        <v>38300</v>
      </c>
      <c r="B13" s="1" t="s">
        <v>218</v>
      </c>
      <c r="D13" s="1" t="s">
        <v>313</v>
      </c>
      <c r="E13" s="201">
        <v>0</v>
      </c>
      <c r="F13" s="201">
        <f t="shared" ref="F13:F16" si="1">E13*-1</f>
        <v>0</v>
      </c>
      <c r="G13" s="133">
        <f>Distribution!P78</f>
        <v>2310.7036828444097</v>
      </c>
      <c r="H13" s="201">
        <f t="shared" si="0"/>
        <v>2310.7036828444097</v>
      </c>
    </row>
    <row r="14" spans="1:8">
      <c r="A14" s="2">
        <v>38400</v>
      </c>
      <c r="B14" s="1" t="s">
        <v>317</v>
      </c>
      <c r="D14" s="1" t="s">
        <v>313</v>
      </c>
      <c r="E14" s="201">
        <v>0</v>
      </c>
      <c r="F14" s="201">
        <f t="shared" si="1"/>
        <v>0</v>
      </c>
      <c r="G14" s="133">
        <f>Distribution!P79</f>
        <v>1841.7944561437873</v>
      </c>
      <c r="H14" s="201">
        <f t="shared" si="0"/>
        <v>1841.7944561437873</v>
      </c>
    </row>
    <row r="15" spans="1:8">
      <c r="A15" s="2">
        <v>38500</v>
      </c>
      <c r="B15" s="1" t="s">
        <v>318</v>
      </c>
      <c r="D15" s="1" t="s">
        <v>313</v>
      </c>
      <c r="E15" s="201">
        <v>0</v>
      </c>
      <c r="F15" s="201">
        <f t="shared" si="1"/>
        <v>0</v>
      </c>
      <c r="G15" s="133">
        <f>Distribution!P80</f>
        <v>3410.876046819139</v>
      </c>
      <c r="H15" s="201">
        <f t="shared" si="0"/>
        <v>3410.876046819139</v>
      </c>
    </row>
    <row r="16" spans="1:8">
      <c r="A16" s="2">
        <v>38700</v>
      </c>
      <c r="B16" s="1" t="s">
        <v>319</v>
      </c>
      <c r="D16" s="1" t="s">
        <v>313</v>
      </c>
      <c r="E16" s="201">
        <v>0</v>
      </c>
      <c r="F16" s="201">
        <f t="shared" si="1"/>
        <v>0</v>
      </c>
      <c r="G16" s="133">
        <f>Distribution!P81</f>
        <v>432.19630001469221</v>
      </c>
      <c r="H16" s="201">
        <f t="shared" si="0"/>
        <v>432.19630001469221</v>
      </c>
    </row>
    <row r="17" spans="1:24">
      <c r="A17" s="2"/>
      <c r="D17" s="193" t="s">
        <v>320</v>
      </c>
      <c r="E17" s="203">
        <f>SUM(E8:E16)</f>
        <v>2061379.43</v>
      </c>
      <c r="F17" s="203">
        <f t="shared" ref="F17:G17" si="2">SUM(F8:F16)</f>
        <v>0</v>
      </c>
      <c r="G17" s="203">
        <f t="shared" si="2"/>
        <v>49898.790243600219</v>
      </c>
      <c r="H17" s="443">
        <f>SUM(H8:H16)+2</f>
        <v>2111280.2202436002</v>
      </c>
      <c r="M17" s="444" t="s">
        <v>1182</v>
      </c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</row>
    <row r="18" spans="1:24" ht="18.75">
      <c r="A18" s="2" t="str">
        <f t="shared" ref="A18:A44" si="3">LEFT(C18,3)</f>
        <v>376</v>
      </c>
      <c r="B18" s="1" t="str">
        <f t="shared" ref="B18:B32" si="4">MID(C18,10,50)</f>
        <v>Mains - Steel</v>
      </c>
      <c r="C18" s="1" t="s">
        <v>321</v>
      </c>
      <c r="D18" s="1" t="s">
        <v>322</v>
      </c>
      <c r="E18" s="201">
        <f>PlantByAcctByCounty!C403</f>
        <v>15193180.85</v>
      </c>
      <c r="F18" s="201"/>
      <c r="G18" s="388">
        <v>0</v>
      </c>
      <c r="H18" s="201">
        <f t="shared" ref="H18:H32" si="5">E18+F18+G18</f>
        <v>15193180.85</v>
      </c>
    </row>
    <row r="19" spans="1:24">
      <c r="A19" s="2" t="str">
        <f t="shared" si="3"/>
        <v>378</v>
      </c>
      <c r="B19" s="1" t="str">
        <f t="shared" si="4"/>
        <v>Regulator Stations - Measu</v>
      </c>
      <c r="C19" s="1" t="s">
        <v>323</v>
      </c>
      <c r="D19" s="1" t="s">
        <v>322</v>
      </c>
      <c r="E19" s="201">
        <f>PlantByAcctByCounty!C404</f>
        <v>311934.84000000003</v>
      </c>
      <c r="F19" s="201"/>
      <c r="G19" s="133"/>
      <c r="H19" s="201">
        <f t="shared" si="5"/>
        <v>311934.84000000003</v>
      </c>
    </row>
    <row r="20" spans="1:24">
      <c r="A20" s="2" t="str">
        <f t="shared" si="3"/>
        <v>379</v>
      </c>
      <c r="B20" s="1" t="str">
        <f t="shared" si="4"/>
        <v>City Gate Stations - Measu</v>
      </c>
      <c r="C20" s="1" t="s">
        <v>324</v>
      </c>
      <c r="D20" s="1" t="s">
        <v>322</v>
      </c>
      <c r="E20" s="201">
        <f>PlantByAcctByCounty!C405</f>
        <v>1915402.95</v>
      </c>
      <c r="F20" s="201"/>
      <c r="G20" s="133"/>
      <c r="H20" s="201">
        <f t="shared" si="5"/>
        <v>1915402.95</v>
      </c>
    </row>
    <row r="21" spans="1:24">
      <c r="A21" s="2" t="str">
        <f t="shared" si="3"/>
        <v>380</v>
      </c>
      <c r="B21" s="1" t="str">
        <f t="shared" si="4"/>
        <v>Services Lines - Steel</v>
      </c>
      <c r="C21" s="1" t="s">
        <v>325</v>
      </c>
      <c r="D21" s="1" t="s">
        <v>322</v>
      </c>
      <c r="E21" s="201">
        <f>PlantByAcctByCounty!C406</f>
        <v>9349290.0199999996</v>
      </c>
      <c r="F21" s="201">
        <f t="shared" ref="F21:F27" si="6">E21*-1</f>
        <v>-9349290.0199999996</v>
      </c>
      <c r="G21" s="133">
        <f>Distribution!J130</f>
        <v>9347103.0515742693</v>
      </c>
      <c r="H21" s="201">
        <f t="shared" si="5"/>
        <v>9347103.0515742693</v>
      </c>
    </row>
    <row r="22" spans="1:24">
      <c r="A22" s="2" t="str">
        <f t="shared" si="3"/>
        <v>381</v>
      </c>
      <c r="B22" s="1" t="str">
        <f t="shared" si="4"/>
        <v>Meters</v>
      </c>
      <c r="C22" s="1" t="s">
        <v>326</v>
      </c>
      <c r="D22" s="1" t="s">
        <v>322</v>
      </c>
      <c r="E22" s="201">
        <f>PlantByAcctByCounty!C407</f>
        <v>548927.72</v>
      </c>
      <c r="F22" s="201">
        <f t="shared" si="6"/>
        <v>-548927.72</v>
      </c>
      <c r="G22" s="133">
        <f>Meters!E17</f>
        <v>2919916.0960315531</v>
      </c>
      <c r="H22" s="201">
        <f>E22+F22+G22</f>
        <v>2919916.0960315531</v>
      </c>
    </row>
    <row r="23" spans="1:24">
      <c r="A23" s="2" t="str">
        <f t="shared" si="3"/>
        <v>382</v>
      </c>
      <c r="B23" s="1" t="str">
        <f t="shared" si="4"/>
        <v>Meter Installations</v>
      </c>
      <c r="C23" s="1" t="s">
        <v>327</v>
      </c>
      <c r="D23" s="1" t="s">
        <v>322</v>
      </c>
      <c r="E23" s="201">
        <f>PlantByAcctByCounty!C408</f>
        <v>1998460.46</v>
      </c>
      <c r="F23" s="201">
        <f t="shared" si="6"/>
        <v>-1998460.46</v>
      </c>
      <c r="G23" s="133">
        <f>Distribution!J131</f>
        <v>1997992.9838690059</v>
      </c>
      <c r="H23" s="201">
        <f t="shared" si="5"/>
        <v>1997992.9838690059</v>
      </c>
    </row>
    <row r="24" spans="1:24">
      <c r="A24" s="2" t="str">
        <f t="shared" si="3"/>
        <v>383</v>
      </c>
      <c r="B24" s="1" t="str">
        <f t="shared" si="4"/>
        <v>House Regulators</v>
      </c>
      <c r="C24" s="1" t="s">
        <v>328</v>
      </c>
      <c r="D24" s="1" t="s">
        <v>322</v>
      </c>
      <c r="E24" s="201">
        <f>PlantByAcctByCounty!C409</f>
        <v>1009272.21</v>
      </c>
      <c r="F24" s="201">
        <f t="shared" si="6"/>
        <v>-1009272.21</v>
      </c>
      <c r="G24" s="133">
        <f>Distribution!J132</f>
        <v>1009036.1229333334</v>
      </c>
      <c r="H24" s="201">
        <f t="shared" si="5"/>
        <v>1009036.1229333334</v>
      </c>
    </row>
    <row r="25" spans="1:24">
      <c r="A25" s="2" t="str">
        <f t="shared" si="3"/>
        <v>384</v>
      </c>
      <c r="B25" s="1" t="str">
        <f t="shared" si="4"/>
        <v>House Regulator Installati</v>
      </c>
      <c r="C25" s="1" t="s">
        <v>329</v>
      </c>
      <c r="D25" s="1" t="s">
        <v>322</v>
      </c>
      <c r="E25" s="201">
        <f>PlantByAcctByCounty!C410</f>
        <v>1027622.72</v>
      </c>
      <c r="F25" s="201">
        <f t="shared" si="6"/>
        <v>-1027622.72</v>
      </c>
      <c r="G25" s="133">
        <f>Distribution!J133</f>
        <v>1027382.3404163743</v>
      </c>
      <c r="H25" s="201">
        <f t="shared" si="5"/>
        <v>1027382.3404163743</v>
      </c>
    </row>
    <row r="26" spans="1:24">
      <c r="A26" s="2" t="str">
        <f t="shared" si="3"/>
        <v>385</v>
      </c>
      <c r="B26" s="1" t="str">
        <f t="shared" si="4"/>
        <v>Industrial Customer Regula</v>
      </c>
      <c r="C26" s="1" t="s">
        <v>330</v>
      </c>
      <c r="D26" s="1" t="s">
        <v>322</v>
      </c>
      <c r="E26" s="201">
        <f>PlantByAcctByCounty!C411</f>
        <v>70739.13</v>
      </c>
      <c r="F26" s="201">
        <f t="shared" si="6"/>
        <v>-70739.13</v>
      </c>
      <c r="G26" s="133">
        <f>Distribution!J134</f>
        <v>70722.582835087727</v>
      </c>
      <c r="H26" s="201">
        <f t="shared" si="5"/>
        <v>70722.582835087727</v>
      </c>
    </row>
    <row r="27" spans="1:24">
      <c r="A27" s="2" t="str">
        <f t="shared" si="3"/>
        <v>387</v>
      </c>
      <c r="B27" s="1" t="str">
        <f t="shared" si="4"/>
        <v>Other Equipment for Distri</v>
      </c>
      <c r="C27" s="1" t="s">
        <v>331</v>
      </c>
      <c r="D27" s="1" t="s">
        <v>322</v>
      </c>
      <c r="E27" s="201">
        <f>PlantByAcctByCounty!C412</f>
        <v>131628.07</v>
      </c>
      <c r="F27" s="201">
        <f t="shared" si="6"/>
        <v>-131628.07</v>
      </c>
      <c r="G27" s="133">
        <f>Distribution!J135</f>
        <v>131597.27980818716</v>
      </c>
      <c r="H27" s="201">
        <f t="shared" si="5"/>
        <v>131597.27980818716</v>
      </c>
    </row>
    <row r="28" spans="1:24">
      <c r="A28" s="2" t="str">
        <f t="shared" si="3"/>
        <v>391</v>
      </c>
      <c r="B28" s="1" t="str">
        <f t="shared" si="4"/>
        <v>Office Furniture</v>
      </c>
      <c r="C28" s="1" t="s">
        <v>332</v>
      </c>
      <c r="D28" s="1" t="s">
        <v>322</v>
      </c>
      <c r="E28" s="201">
        <f>PlantByAcctByCounty!C413</f>
        <v>189836.86</v>
      </c>
      <c r="F28" s="201">
        <v>0</v>
      </c>
      <c r="G28" s="133"/>
      <c r="H28" s="201">
        <f t="shared" si="5"/>
        <v>189836.86</v>
      </c>
    </row>
    <row r="29" spans="1:24">
      <c r="A29" s="2" t="str">
        <f t="shared" si="3"/>
        <v>394</v>
      </c>
      <c r="B29" s="1" t="str">
        <f t="shared" si="4"/>
        <v>Tools, Shop, &amp; Garage Equi</v>
      </c>
      <c r="C29" s="1" t="s">
        <v>333</v>
      </c>
      <c r="D29" s="1" t="s">
        <v>322</v>
      </c>
      <c r="E29" s="201">
        <f>PlantByAcctByCounty!C414</f>
        <v>126912.53</v>
      </c>
      <c r="F29" s="201"/>
      <c r="G29" s="133"/>
      <c r="H29" s="201">
        <f t="shared" si="5"/>
        <v>126912.53</v>
      </c>
    </row>
    <row r="30" spans="1:24">
      <c r="A30" s="2" t="str">
        <f t="shared" si="3"/>
        <v>396</v>
      </c>
      <c r="B30" s="1" t="str">
        <f t="shared" si="4"/>
        <v>Power Operated Equipment-H</v>
      </c>
      <c r="C30" s="1" t="s">
        <v>334</v>
      </c>
      <c r="D30" s="1" t="s">
        <v>322</v>
      </c>
      <c r="E30" s="201">
        <f>PlantByAcctByCounty!C415</f>
        <v>64096.14</v>
      </c>
      <c r="F30" s="201"/>
      <c r="G30" s="133"/>
      <c r="H30" s="201">
        <f t="shared" si="5"/>
        <v>64096.14</v>
      </c>
    </row>
    <row r="31" spans="1:24">
      <c r="A31" s="2" t="str">
        <f t="shared" si="3"/>
        <v>397</v>
      </c>
      <c r="B31" s="1" t="str">
        <f t="shared" si="4"/>
        <v>Communication Equipment</v>
      </c>
      <c r="C31" s="1" t="s">
        <v>335</v>
      </c>
      <c r="D31" s="1" t="s">
        <v>322</v>
      </c>
      <c r="E31" s="201">
        <f>PlantByAcctByCounty!C416</f>
        <v>35249.17</v>
      </c>
      <c r="F31" s="201"/>
      <c r="G31" s="133"/>
      <c r="H31" s="201">
        <f t="shared" si="5"/>
        <v>35249.17</v>
      </c>
    </row>
    <row r="32" spans="1:24">
      <c r="A32" s="2" t="str">
        <f t="shared" si="3"/>
        <v>398</v>
      </c>
      <c r="B32" s="1" t="str">
        <f t="shared" si="4"/>
        <v>Misc Equipment-used for ga</v>
      </c>
      <c r="C32" s="1" t="s">
        <v>336</v>
      </c>
      <c r="D32" s="1" t="s">
        <v>322</v>
      </c>
      <c r="E32" s="201">
        <f>PlantByAcctByCounty!C417</f>
        <v>7731.81</v>
      </c>
      <c r="F32" s="201"/>
      <c r="G32" s="133"/>
      <c r="H32" s="201">
        <f t="shared" si="5"/>
        <v>7731.81</v>
      </c>
    </row>
    <row r="33" spans="1:8">
      <c r="A33" s="2"/>
      <c r="B33" s="133"/>
      <c r="D33" s="193" t="s">
        <v>337</v>
      </c>
      <c r="E33" s="203">
        <f>SUM(E18:E32)</f>
        <v>31980285.48</v>
      </c>
      <c r="F33" s="203">
        <f>SUBTOTAL(9,F18:F32)</f>
        <v>-14135940.330000002</v>
      </c>
      <c r="G33" s="203">
        <f>SUBTOTAL(9,G18:G32)</f>
        <v>16503750.457467809</v>
      </c>
      <c r="H33" s="443">
        <f>SUBTOTAL(9,H18:H32)-33</f>
        <v>34348062.607467808</v>
      </c>
    </row>
    <row r="34" spans="1:8" ht="18.75">
      <c r="A34" s="2" t="str">
        <f t="shared" si="3"/>
        <v>376</v>
      </c>
      <c r="B34" s="1" t="str">
        <f>MID(C34,10,50)</f>
        <v>Mains - Steel</v>
      </c>
      <c r="C34" s="1" t="s">
        <v>312</v>
      </c>
      <c r="D34" s="1" t="s">
        <v>338</v>
      </c>
      <c r="E34" s="201">
        <f>PlantByAcctByCounty!C418</f>
        <v>98906.46</v>
      </c>
      <c r="F34" s="388">
        <f>50000*0</f>
        <v>0</v>
      </c>
      <c r="G34" s="123">
        <f>160103*0</f>
        <v>0</v>
      </c>
      <c r="H34" s="201">
        <f>E34+F34+G34</f>
        <v>98906.46</v>
      </c>
    </row>
    <row r="35" spans="1:8">
      <c r="A35" s="2" t="str">
        <f t="shared" si="3"/>
        <v>379</v>
      </c>
      <c r="B35" s="1" t="str">
        <f>MID(C35,10,50)</f>
        <v>City Gate Station</v>
      </c>
      <c r="C35" s="1" t="s">
        <v>339</v>
      </c>
      <c r="D35" s="1" t="s">
        <v>338</v>
      </c>
      <c r="E35" s="201">
        <f>PlantByAcctByCounty!C419</f>
        <v>268144.71999999997</v>
      </c>
      <c r="F35" s="201">
        <v>0</v>
      </c>
      <c r="G35" s="133"/>
      <c r="H35" s="201">
        <f>E35+F35+G35</f>
        <v>268144.71999999997</v>
      </c>
    </row>
    <row r="36" spans="1:8">
      <c r="A36" s="2" t="str">
        <f t="shared" si="3"/>
        <v>381</v>
      </c>
      <c r="B36" s="1" t="str">
        <f t="shared" ref="B36" si="7">MID(C36,10,50)</f>
        <v>Meters</v>
      </c>
      <c r="C36" s="1" t="s">
        <v>326</v>
      </c>
      <c r="D36" s="1" t="s">
        <v>338</v>
      </c>
      <c r="E36" s="201">
        <v>0</v>
      </c>
      <c r="F36" s="201">
        <f t="shared" ref="F36" si="8">E36*-1</f>
        <v>0</v>
      </c>
      <c r="G36" s="133">
        <f>Meters!E18</f>
        <v>170.79527936543948</v>
      </c>
      <c r="H36" s="201">
        <f>E36+F36+G36</f>
        <v>170.79527936543948</v>
      </c>
    </row>
    <row r="37" spans="1:8">
      <c r="A37" s="2"/>
      <c r="D37" s="193" t="s">
        <v>340</v>
      </c>
      <c r="E37" s="203">
        <f>SUM(E34:E36)</f>
        <v>367051.18</v>
      </c>
      <c r="F37" s="203">
        <f>SUM(F34:F36)</f>
        <v>0</v>
      </c>
      <c r="G37" s="203">
        <f>SUM(G34:G36)</f>
        <v>170.79527936543948</v>
      </c>
      <c r="H37" s="203">
        <f>SUM(H34:H36)</f>
        <v>367221.97527936543</v>
      </c>
    </row>
    <row r="38" spans="1:8">
      <c r="A38" s="2"/>
      <c r="D38" s="193"/>
      <c r="E38" s="205"/>
      <c r="F38" s="205"/>
      <c r="G38" s="205"/>
      <c r="H38" s="205"/>
    </row>
    <row r="39" spans="1:8">
      <c r="A39" s="2" t="str">
        <f t="shared" ref="A39" si="9">LEFT(C39,3)</f>
        <v>379</v>
      </c>
      <c r="B39" s="1" t="str">
        <f>MID(C39,10,50)</f>
        <v>City Gate Station</v>
      </c>
      <c r="C39" s="1" t="s">
        <v>339</v>
      </c>
      <c r="D39" s="137" t="s">
        <v>1161</v>
      </c>
      <c r="E39" s="203">
        <f>PlantByAcctByCounty!C420</f>
        <v>2952795.08</v>
      </c>
      <c r="F39" s="203">
        <f>SUM(F36:F38)</f>
        <v>0</v>
      </c>
      <c r="G39" s="203">
        <v>0</v>
      </c>
      <c r="H39" s="203">
        <f>E39+F39+G39</f>
        <v>2952795.08</v>
      </c>
    </row>
    <row r="40" spans="1:8">
      <c r="A40" s="2"/>
      <c r="D40" s="193"/>
      <c r="E40" s="205"/>
      <c r="F40" s="205"/>
      <c r="G40" s="205"/>
      <c r="H40" s="205"/>
    </row>
    <row r="41" spans="1:8">
      <c r="A41" s="2" t="str">
        <f t="shared" si="3"/>
        <v>376</v>
      </c>
      <c r="B41" s="1" t="str">
        <f t="shared" ref="B41:B53" si="10">MID(C41,10,50)</f>
        <v>Mains - Steel</v>
      </c>
      <c r="C41" s="1" t="s">
        <v>341</v>
      </c>
      <c r="D41" s="1" t="s">
        <v>342</v>
      </c>
      <c r="E41" s="201">
        <f>PlantByAcctByCounty!C421</f>
        <v>38113595.530000001</v>
      </c>
      <c r="F41" s="201"/>
      <c r="G41" s="133"/>
      <c r="H41" s="201">
        <f t="shared" ref="H41:H53" si="11">E41+F41+G41</f>
        <v>38113595.530000001</v>
      </c>
    </row>
    <row r="42" spans="1:8">
      <c r="A42" s="2" t="str">
        <f t="shared" si="3"/>
        <v>378</v>
      </c>
      <c r="B42" s="1" t="str">
        <f t="shared" si="10"/>
        <v>Regulator Stations - Measu</v>
      </c>
      <c r="C42" s="1" t="s">
        <v>343</v>
      </c>
      <c r="D42" s="1" t="s">
        <v>342</v>
      </c>
      <c r="E42" s="201">
        <f>PlantByAcctByCounty!C422</f>
        <v>390920.59</v>
      </c>
      <c r="F42" s="201"/>
      <c r="G42" s="133"/>
      <c r="H42" s="201">
        <f t="shared" si="11"/>
        <v>390920.59</v>
      </c>
    </row>
    <row r="43" spans="1:8">
      <c r="A43" s="2" t="str">
        <f t="shared" si="3"/>
        <v>379</v>
      </c>
      <c r="B43" s="1" t="str">
        <f t="shared" si="10"/>
        <v>City Gate Stations - Measu</v>
      </c>
      <c r="C43" s="1" t="s">
        <v>344</v>
      </c>
      <c r="D43" s="1" t="s">
        <v>342</v>
      </c>
      <c r="E43" s="201">
        <f>PlantByAcctByCounty!C423</f>
        <v>712994.92</v>
      </c>
      <c r="F43" s="201"/>
      <c r="G43" s="133"/>
      <c r="H43" s="201">
        <f t="shared" si="11"/>
        <v>712994.92</v>
      </c>
    </row>
    <row r="44" spans="1:8">
      <c r="A44" s="2" t="str">
        <f t="shared" si="3"/>
        <v>380</v>
      </c>
      <c r="B44" s="1" t="str">
        <f t="shared" si="10"/>
        <v>Services Lines - Steel</v>
      </c>
      <c r="C44" s="1" t="s">
        <v>345</v>
      </c>
      <c r="D44" s="1" t="s">
        <v>342</v>
      </c>
      <c r="E44" s="201">
        <f>PlantByAcctByCounty!C424</f>
        <v>358731.55</v>
      </c>
      <c r="F44" s="201">
        <f t="shared" ref="F44:F50" si="12">E44*-1</f>
        <v>-358731.55</v>
      </c>
      <c r="G44" s="133">
        <f>Distribution!K10</f>
        <v>22398345.18</v>
      </c>
      <c r="H44" s="201">
        <f t="shared" si="11"/>
        <v>22398345.18</v>
      </c>
    </row>
    <row r="45" spans="1:8">
      <c r="A45" s="2">
        <v>38100</v>
      </c>
      <c r="B45" s="1" t="s">
        <v>216</v>
      </c>
      <c r="D45" s="1" t="s">
        <v>342</v>
      </c>
      <c r="E45" s="201">
        <v>0</v>
      </c>
      <c r="F45" s="201">
        <f t="shared" si="12"/>
        <v>0</v>
      </c>
      <c r="G45" s="133">
        <f>Meters!E19</f>
        <v>5053832.3164233537</v>
      </c>
      <c r="H45" s="201">
        <f t="shared" si="11"/>
        <v>5053832.3164233537</v>
      </c>
    </row>
    <row r="46" spans="1:8">
      <c r="A46" s="2">
        <v>38200</v>
      </c>
      <c r="B46" s="1" t="s">
        <v>217</v>
      </c>
      <c r="D46" s="1" t="s">
        <v>342</v>
      </c>
      <c r="E46" s="201">
        <v>0</v>
      </c>
      <c r="F46" s="201">
        <f t="shared" si="12"/>
        <v>0</v>
      </c>
      <c r="G46" s="133">
        <f>Distribution!K11</f>
        <v>2793929.54</v>
      </c>
      <c r="H46" s="201">
        <f t="shared" si="11"/>
        <v>2793929.54</v>
      </c>
    </row>
    <row r="47" spans="1:8">
      <c r="A47" s="2" t="str">
        <f t="shared" ref="A47:A75" si="13">LEFT(C47,3)</f>
        <v>383</v>
      </c>
      <c r="B47" s="1" t="str">
        <f t="shared" si="10"/>
        <v>House Regulators</v>
      </c>
      <c r="C47" s="1" t="s">
        <v>346</v>
      </c>
      <c r="D47" s="1" t="s">
        <v>342</v>
      </c>
      <c r="E47" s="201">
        <f>PlantByAcctByCounty!C425</f>
        <v>515207.66</v>
      </c>
      <c r="F47" s="201">
        <f t="shared" si="12"/>
        <v>-515207.66</v>
      </c>
      <c r="G47" s="133">
        <f>Distribution!K12</f>
        <v>984888.62</v>
      </c>
      <c r="H47" s="201">
        <f t="shared" si="11"/>
        <v>984888.62</v>
      </c>
    </row>
    <row r="48" spans="1:8">
      <c r="A48" s="2" t="str">
        <f t="shared" si="13"/>
        <v>384</v>
      </c>
      <c r="B48" s="1" t="str">
        <f t="shared" si="10"/>
        <v>House Regulator Installati</v>
      </c>
      <c r="C48" s="1" t="s">
        <v>347</v>
      </c>
      <c r="D48" s="1" t="s">
        <v>342</v>
      </c>
      <c r="E48" s="201">
        <f>PlantByAcctByCounty!C426</f>
        <v>6744.07</v>
      </c>
      <c r="F48" s="201">
        <f t="shared" si="12"/>
        <v>-6744.07</v>
      </c>
      <c r="G48" s="133">
        <f>Distribution!K13</f>
        <v>1166177.06</v>
      </c>
      <c r="H48" s="201">
        <f t="shared" si="11"/>
        <v>1166177.06</v>
      </c>
    </row>
    <row r="49" spans="1:8">
      <c r="A49" s="2" t="str">
        <f t="shared" si="13"/>
        <v>385</v>
      </c>
      <c r="B49" s="1" t="str">
        <f t="shared" si="10"/>
        <v>Industrial Customer Regula</v>
      </c>
      <c r="C49" s="1" t="s">
        <v>348</v>
      </c>
      <c r="D49" s="1" t="s">
        <v>342</v>
      </c>
      <c r="E49" s="201">
        <f>PlantByAcctByCounty!C427</f>
        <v>50285.87</v>
      </c>
      <c r="F49" s="201">
        <f t="shared" si="12"/>
        <v>-50285.87</v>
      </c>
      <c r="G49" s="133">
        <f>Distribution!K14</f>
        <v>323704.21999999997</v>
      </c>
      <c r="H49" s="201">
        <f t="shared" si="11"/>
        <v>323704.21999999997</v>
      </c>
    </row>
    <row r="50" spans="1:8">
      <c r="A50" s="2" t="str">
        <f t="shared" si="13"/>
        <v>387</v>
      </c>
      <c r="B50" s="1" t="str">
        <f t="shared" si="10"/>
        <v>Other Equipment for Distri</v>
      </c>
      <c r="C50" s="1" t="s">
        <v>349</v>
      </c>
      <c r="D50" s="1" t="s">
        <v>342</v>
      </c>
      <c r="E50" s="201">
        <f>PlantByAcctByCounty!C428</f>
        <v>71766.880000000005</v>
      </c>
      <c r="F50" s="201">
        <f t="shared" si="12"/>
        <v>-71766.880000000005</v>
      </c>
      <c r="G50" s="133">
        <f>Distribution!K15</f>
        <v>279782.90000000002</v>
      </c>
      <c r="H50" s="201">
        <f t="shared" si="11"/>
        <v>279782.90000000002</v>
      </c>
    </row>
    <row r="51" spans="1:8">
      <c r="A51" s="2" t="str">
        <f t="shared" si="13"/>
        <v>391</v>
      </c>
      <c r="B51" s="1" t="str">
        <f t="shared" si="10"/>
        <v>Office Furniture</v>
      </c>
      <c r="C51" s="1" t="s">
        <v>350</v>
      </c>
      <c r="D51" s="1" t="s">
        <v>342</v>
      </c>
      <c r="E51" s="201">
        <f>PlantByAcctByCounty!C429</f>
        <v>248938.72</v>
      </c>
      <c r="F51" s="201"/>
      <c r="G51" s="133"/>
      <c r="H51" s="201">
        <f t="shared" si="11"/>
        <v>248938.72</v>
      </c>
    </row>
    <row r="52" spans="1:8">
      <c r="A52" s="2" t="str">
        <f t="shared" si="13"/>
        <v>394</v>
      </c>
      <c r="B52" s="1" t="str">
        <f t="shared" si="10"/>
        <v>Tools, Shop, &amp; Garage Equi</v>
      </c>
      <c r="C52" s="1" t="s">
        <v>351</v>
      </c>
      <c r="D52" s="1" t="s">
        <v>342</v>
      </c>
      <c r="E52" s="201">
        <f>PlantByAcctByCounty!C430</f>
        <v>57534.48</v>
      </c>
      <c r="F52" s="201"/>
      <c r="G52" s="133"/>
      <c r="H52" s="201">
        <f t="shared" si="11"/>
        <v>57534.48</v>
      </c>
    </row>
    <row r="53" spans="1:8">
      <c r="A53" s="2" t="str">
        <f t="shared" si="13"/>
        <v>397</v>
      </c>
      <c r="B53" s="1" t="str">
        <f t="shared" si="10"/>
        <v>Communication Equipment</v>
      </c>
      <c r="C53" s="1" t="s">
        <v>352</v>
      </c>
      <c r="D53" s="1" t="s">
        <v>342</v>
      </c>
      <c r="E53" s="201">
        <f>PlantByAcctByCounty!C431+PlantByAcctByCounty!C432</f>
        <v>179714.44</v>
      </c>
      <c r="F53" s="201"/>
      <c r="G53" s="133"/>
      <c r="H53" s="201">
        <f t="shared" si="11"/>
        <v>179714.44</v>
      </c>
    </row>
    <row r="54" spans="1:8">
      <c r="A54" s="2"/>
      <c r="D54" s="193" t="s">
        <v>353</v>
      </c>
      <c r="E54" s="203">
        <f>SUM(E41:E53)</f>
        <v>40706434.709999993</v>
      </c>
      <c r="F54" s="203">
        <f>SUBTOTAL(9,F41:F53)</f>
        <v>-1002736.0299999999</v>
      </c>
      <c r="G54" s="203">
        <f>SUBTOTAL(9,G41:G53)</f>
        <v>33000659.836423349</v>
      </c>
      <c r="H54" s="443">
        <f>SUBTOTAL(9,H41:H53)-66</f>
        <v>72704292.516423374</v>
      </c>
    </row>
    <row r="55" spans="1:8">
      <c r="A55" s="2" t="str">
        <f t="shared" si="13"/>
        <v>376</v>
      </c>
      <c r="B55" s="1" t="str">
        <f>MID(C55,10,50)</f>
        <v>Mains - Steel</v>
      </c>
      <c r="C55" s="1" t="s">
        <v>354</v>
      </c>
      <c r="D55" s="1" t="s">
        <v>355</v>
      </c>
      <c r="E55" s="201">
        <f>PlantByAcctByCounty!C433</f>
        <v>15025835.960000001</v>
      </c>
      <c r="F55" s="201"/>
      <c r="G55" s="133"/>
      <c r="H55" s="201">
        <f t="shared" ref="H55:H61" si="14">E55+F55+G55</f>
        <v>15025835.960000001</v>
      </c>
    </row>
    <row r="56" spans="1:8">
      <c r="A56" s="2" t="str">
        <f t="shared" si="13"/>
        <v>378</v>
      </c>
      <c r="B56" s="1" t="str">
        <f>MID(C56,10,50)</f>
        <v>Regulator Stations - Measu</v>
      </c>
      <c r="C56" s="1" t="s">
        <v>356</v>
      </c>
      <c r="D56" s="1" t="s">
        <v>355</v>
      </c>
      <c r="E56" s="201">
        <f>PlantByAcctByCounty!C434</f>
        <v>170814.98</v>
      </c>
      <c r="F56" s="201"/>
      <c r="G56" s="133"/>
      <c r="H56" s="201">
        <f t="shared" si="14"/>
        <v>170814.98</v>
      </c>
    </row>
    <row r="57" spans="1:8">
      <c r="A57" s="2" t="str">
        <f t="shared" si="13"/>
        <v>380</v>
      </c>
      <c r="B57" s="1" t="str">
        <f>MID(C57,10,50)</f>
        <v>Service Lines - Plastic</v>
      </c>
      <c r="C57" s="1" t="s">
        <v>357</v>
      </c>
      <c r="D57" s="1" t="s">
        <v>355</v>
      </c>
      <c r="E57" s="201">
        <f>PlantByAcctByCounty!C435</f>
        <v>81679.570000000007</v>
      </c>
      <c r="F57" s="201">
        <f t="shared" ref="F57:F61" si="15">E57*-1</f>
        <v>-81679.570000000007</v>
      </c>
      <c r="G57" s="133">
        <f>E57</f>
        <v>81679.570000000007</v>
      </c>
      <c r="H57" s="201">
        <f t="shared" si="14"/>
        <v>81679.570000000007</v>
      </c>
    </row>
    <row r="58" spans="1:8">
      <c r="A58" s="2">
        <v>38100</v>
      </c>
      <c r="B58" s="1" t="s">
        <v>216</v>
      </c>
      <c r="D58" s="1" t="s">
        <v>355</v>
      </c>
      <c r="E58" s="201">
        <v>0</v>
      </c>
      <c r="F58" s="201">
        <f t="shared" si="15"/>
        <v>0</v>
      </c>
      <c r="G58" s="133">
        <f>Meters!E20</f>
        <v>152861.77503206831</v>
      </c>
      <c r="H58" s="201">
        <f t="shared" si="14"/>
        <v>152861.77503206831</v>
      </c>
    </row>
    <row r="59" spans="1:8">
      <c r="A59" s="2" t="s">
        <v>192</v>
      </c>
      <c r="B59" s="1" t="s">
        <v>217</v>
      </c>
      <c r="C59" s="1" t="s">
        <v>358</v>
      </c>
      <c r="D59" s="1" t="s">
        <v>355</v>
      </c>
      <c r="E59" s="201">
        <f>PlantByAcctByCounty!C436</f>
        <v>0</v>
      </c>
      <c r="F59" s="201">
        <f t="shared" si="15"/>
        <v>0</v>
      </c>
      <c r="G59" s="133">
        <f t="shared" ref="G59:G61" si="16">E59</f>
        <v>0</v>
      </c>
      <c r="H59" s="201">
        <f t="shared" si="14"/>
        <v>0</v>
      </c>
    </row>
    <row r="60" spans="1:8">
      <c r="A60" s="2" t="str">
        <f t="shared" si="13"/>
        <v>383</v>
      </c>
      <c r="B60" s="1" t="str">
        <f>MID(C60,10,50)</f>
        <v>House Regulators</v>
      </c>
      <c r="C60" s="1" t="s">
        <v>359</v>
      </c>
      <c r="D60" s="1" t="s">
        <v>355</v>
      </c>
      <c r="E60" s="201">
        <f>PlantByAcctByCounty!C437</f>
        <v>271052.81</v>
      </c>
      <c r="F60" s="201">
        <f t="shared" si="15"/>
        <v>-271052.81</v>
      </c>
      <c r="G60" s="133">
        <f t="shared" si="16"/>
        <v>271052.81</v>
      </c>
      <c r="H60" s="201">
        <f t="shared" si="14"/>
        <v>271052.81</v>
      </c>
    </row>
    <row r="61" spans="1:8">
      <c r="A61" s="2" t="s">
        <v>194</v>
      </c>
      <c r="B61" s="1" t="s">
        <v>317</v>
      </c>
      <c r="C61" s="1" t="s">
        <v>360</v>
      </c>
      <c r="D61" s="1" t="s">
        <v>355</v>
      </c>
      <c r="E61" s="201">
        <f>PlantByAcctByCounty!C438</f>
        <v>0</v>
      </c>
      <c r="F61" s="201">
        <f t="shared" si="15"/>
        <v>0</v>
      </c>
      <c r="G61" s="133">
        <f t="shared" si="16"/>
        <v>0</v>
      </c>
      <c r="H61" s="201">
        <f t="shared" si="14"/>
        <v>0</v>
      </c>
    </row>
    <row r="62" spans="1:8">
      <c r="A62" s="2"/>
      <c r="D62" s="193" t="s">
        <v>361</v>
      </c>
      <c r="E62" s="203">
        <f>SUM(E55:E61)</f>
        <v>15549383.320000002</v>
      </c>
      <c r="F62" s="203">
        <f>SUBTOTAL(9,F55:F61)</f>
        <v>-352732.38</v>
      </c>
      <c r="G62" s="203">
        <f>SUBTOTAL(9,G55:G61)</f>
        <v>505594.15503206832</v>
      </c>
      <c r="H62" s="443">
        <f>SUBTOTAL(9,H55:H61)-1</f>
        <v>15702244.09503207</v>
      </c>
    </row>
    <row r="63" spans="1:8">
      <c r="A63" s="2" t="s">
        <v>187</v>
      </c>
      <c r="B63" s="1" t="s">
        <v>311</v>
      </c>
      <c r="C63" s="1" t="s">
        <v>312</v>
      </c>
      <c r="D63" s="1" t="s">
        <v>362</v>
      </c>
      <c r="E63" s="201">
        <f>PlantByAcctByCounty!C439</f>
        <v>5391301.9100000001</v>
      </c>
      <c r="F63" s="201"/>
      <c r="G63" s="133"/>
      <c r="H63" s="201">
        <f t="shared" ref="H63:H72" si="17">E63+F63+G63</f>
        <v>5391301.9100000001</v>
      </c>
    </row>
    <row r="64" spans="1:8">
      <c r="A64" s="2" t="s">
        <v>188</v>
      </c>
      <c r="B64" s="1" t="s">
        <v>363</v>
      </c>
      <c r="C64" s="1" t="s">
        <v>364</v>
      </c>
      <c r="D64" s="1" t="s">
        <v>362</v>
      </c>
      <c r="E64" s="201">
        <f>PlantByAcctByCounty!C440</f>
        <v>12851.77</v>
      </c>
      <c r="F64" s="201"/>
      <c r="G64" s="133"/>
      <c r="H64" s="201">
        <f t="shared" si="17"/>
        <v>12851.77</v>
      </c>
    </row>
    <row r="65" spans="1:8">
      <c r="A65" s="2" t="s">
        <v>189</v>
      </c>
      <c r="B65" s="1" t="s">
        <v>314</v>
      </c>
      <c r="C65" s="1" t="s">
        <v>315</v>
      </c>
      <c r="D65" s="1" t="s">
        <v>362</v>
      </c>
      <c r="E65" s="201">
        <f>PlantByAcctByCounty!C441</f>
        <v>1843238.51</v>
      </c>
      <c r="F65" s="201"/>
      <c r="G65" s="133"/>
      <c r="H65" s="201">
        <f t="shared" si="17"/>
        <v>1843238.51</v>
      </c>
    </row>
    <row r="66" spans="1:8">
      <c r="A66" s="2" t="s">
        <v>190</v>
      </c>
      <c r="B66" s="1" t="s">
        <v>365</v>
      </c>
      <c r="C66" s="1" t="s">
        <v>366</v>
      </c>
      <c r="D66" s="1" t="s">
        <v>362</v>
      </c>
      <c r="E66" s="201">
        <f>PlantByAcctByCounty!C442</f>
        <v>17105.77</v>
      </c>
      <c r="F66" s="201">
        <f t="shared" ref="F66:F72" si="18">E66*-1</f>
        <v>-17105.77</v>
      </c>
      <c r="G66" s="133">
        <f>Distribution!Q76</f>
        <v>244062.99332190608</v>
      </c>
      <c r="H66" s="201">
        <f t="shared" si="17"/>
        <v>244062.99332190608</v>
      </c>
    </row>
    <row r="67" spans="1:8">
      <c r="A67" s="2">
        <v>38100</v>
      </c>
      <c r="B67" s="1" t="s">
        <v>216</v>
      </c>
      <c r="D67" s="1" t="s">
        <v>362</v>
      </c>
      <c r="E67" s="201">
        <v>0</v>
      </c>
      <c r="F67" s="201">
        <f t="shared" si="18"/>
        <v>0</v>
      </c>
      <c r="G67" s="133">
        <f>Meters!E21</f>
        <v>31255.536123875427</v>
      </c>
      <c r="H67" s="201">
        <f t="shared" si="17"/>
        <v>31255.536123875427</v>
      </c>
    </row>
    <row r="68" spans="1:8">
      <c r="A68" s="2" t="s">
        <v>192</v>
      </c>
      <c r="B68" s="1" t="s">
        <v>217</v>
      </c>
      <c r="D68" s="1" t="s">
        <v>362</v>
      </c>
      <c r="E68" s="201">
        <v>0</v>
      </c>
      <c r="F68" s="201">
        <f t="shared" si="18"/>
        <v>0</v>
      </c>
      <c r="G68" s="133">
        <f>Distribution!Q77</f>
        <v>31413.039181154811</v>
      </c>
      <c r="H68" s="201">
        <f t="shared" si="17"/>
        <v>31413.039181154811</v>
      </c>
    </row>
    <row r="69" spans="1:8">
      <c r="A69" s="2">
        <v>38300</v>
      </c>
      <c r="B69" s="1" t="s">
        <v>218</v>
      </c>
      <c r="D69" s="1" t="s">
        <v>362</v>
      </c>
      <c r="E69" s="201">
        <v>0</v>
      </c>
      <c r="F69" s="201">
        <f t="shared" si="18"/>
        <v>0</v>
      </c>
      <c r="G69" s="133">
        <f>Distribution!Q78</f>
        <v>16914.350958421081</v>
      </c>
      <c r="H69" s="201">
        <f t="shared" si="17"/>
        <v>16914.350958421081</v>
      </c>
    </row>
    <row r="70" spans="1:8">
      <c r="A70" s="2" t="s">
        <v>194</v>
      </c>
      <c r="B70" s="1" t="s">
        <v>317</v>
      </c>
      <c r="D70" s="1" t="s">
        <v>362</v>
      </c>
      <c r="E70" s="201">
        <v>0</v>
      </c>
      <c r="F70" s="201">
        <f t="shared" si="18"/>
        <v>0</v>
      </c>
      <c r="G70" s="133">
        <f>Distribution!Q79</f>
        <v>13481.935418972525</v>
      </c>
      <c r="H70" s="201">
        <f t="shared" si="17"/>
        <v>13481.935418972525</v>
      </c>
    </row>
    <row r="71" spans="1:8">
      <c r="A71" s="2" t="s">
        <v>195</v>
      </c>
      <c r="B71" s="1" t="s">
        <v>318</v>
      </c>
      <c r="C71" s="1" t="s">
        <v>367</v>
      </c>
      <c r="D71" s="1" t="s">
        <v>362</v>
      </c>
      <c r="E71" s="201">
        <f>PlantByAcctByCounty!C443</f>
        <v>2274.65</v>
      </c>
      <c r="F71" s="201">
        <f t="shared" si="18"/>
        <v>-2274.65</v>
      </c>
      <c r="G71" s="133">
        <f>Distribution!Q80</f>
        <v>24967.612662716103</v>
      </c>
      <c r="H71" s="201">
        <f t="shared" si="17"/>
        <v>24967.612662716103</v>
      </c>
    </row>
    <row r="72" spans="1:8">
      <c r="A72" s="2">
        <v>38700</v>
      </c>
      <c r="B72" s="1" t="s">
        <v>319</v>
      </c>
      <c r="D72" s="1" t="s">
        <v>362</v>
      </c>
      <c r="E72" s="201">
        <v>0</v>
      </c>
      <c r="F72" s="201">
        <f t="shared" si="18"/>
        <v>0</v>
      </c>
      <c r="G72" s="133">
        <f>Distribution!Q81</f>
        <v>3163.6769161075472</v>
      </c>
      <c r="H72" s="201">
        <f t="shared" si="17"/>
        <v>3163.6769161075472</v>
      </c>
    </row>
    <row r="73" spans="1:8">
      <c r="A73" s="2"/>
      <c r="D73" s="193" t="s">
        <v>368</v>
      </c>
      <c r="E73" s="203">
        <f>SUM(E63:E72)</f>
        <v>7266772.6099999994</v>
      </c>
      <c r="F73" s="203">
        <f t="shared" ref="F73:H73" si="19">SUM(F63:F72)</f>
        <v>-19380.420000000002</v>
      </c>
      <c r="G73" s="203">
        <f t="shared" si="19"/>
        <v>365259.14458315354</v>
      </c>
      <c r="H73" s="203">
        <f t="shared" si="19"/>
        <v>7612651.334583153</v>
      </c>
    </row>
    <row r="74" spans="1:8">
      <c r="A74" s="2" t="str">
        <f t="shared" si="13"/>
        <v>376</v>
      </c>
      <c r="B74" s="1" t="str">
        <f>MID(C74,10,50)</f>
        <v>Mains - Steel</v>
      </c>
      <c r="C74" s="1" t="s">
        <v>354</v>
      </c>
      <c r="D74" s="1" t="s">
        <v>369</v>
      </c>
      <c r="E74" s="201">
        <f>PlantByAcctByCounty!C444</f>
        <v>21093625.760000002</v>
      </c>
      <c r="F74" s="201"/>
      <c r="G74" s="133"/>
      <c r="H74" s="201">
        <f t="shared" ref="H74:H150" si="20">E74+F74+G74</f>
        <v>21093625.760000002</v>
      </c>
    </row>
    <row r="75" spans="1:8">
      <c r="A75" s="2" t="str">
        <f t="shared" si="13"/>
        <v>378</v>
      </c>
      <c r="B75" s="1" t="str">
        <f>MID(C75,10,50)</f>
        <v>Regulator Stations - Measu</v>
      </c>
      <c r="C75" s="1" t="s">
        <v>356</v>
      </c>
      <c r="D75" s="1" t="s">
        <v>369</v>
      </c>
      <c r="E75" s="201">
        <f>PlantByAcctByCounty!C445</f>
        <v>186967.88</v>
      </c>
      <c r="F75" s="201"/>
      <c r="G75" s="133"/>
      <c r="H75" s="201">
        <f t="shared" si="20"/>
        <v>186967.88</v>
      </c>
    </row>
    <row r="76" spans="1:8">
      <c r="A76" s="2">
        <v>38000</v>
      </c>
      <c r="B76" s="1" t="s">
        <v>370</v>
      </c>
      <c r="D76" s="1" t="s">
        <v>369</v>
      </c>
      <c r="E76" s="201"/>
      <c r="F76" s="201">
        <f t="shared" ref="F76:F82" si="21">E76*-1</f>
        <v>0</v>
      </c>
      <c r="G76" s="201">
        <f>Distribution!K118</f>
        <v>6351785.1232616687</v>
      </c>
      <c r="H76" s="201">
        <f t="shared" si="20"/>
        <v>6351785.1232616687</v>
      </c>
    </row>
    <row r="77" spans="1:8">
      <c r="A77" s="2">
        <v>38100</v>
      </c>
      <c r="B77" s="1" t="s">
        <v>216</v>
      </c>
      <c r="C77" s="1" t="s">
        <v>356</v>
      </c>
      <c r="D77" s="1" t="s">
        <v>369</v>
      </c>
      <c r="E77" s="201"/>
      <c r="F77" s="201">
        <f t="shared" si="21"/>
        <v>0</v>
      </c>
      <c r="G77" s="133">
        <f>Meters!E22</f>
        <v>680277.59771254542</v>
      </c>
      <c r="H77" s="201">
        <f t="shared" si="20"/>
        <v>680277.59771254542</v>
      </c>
    </row>
    <row r="78" spans="1:8">
      <c r="A78" s="2">
        <v>38200</v>
      </c>
      <c r="B78" s="1" t="s">
        <v>217</v>
      </c>
      <c r="D78" s="1" t="s">
        <v>369</v>
      </c>
      <c r="E78" s="201"/>
      <c r="F78" s="201">
        <f t="shared" si="21"/>
        <v>0</v>
      </c>
      <c r="G78" s="201">
        <f>Distribution!K119</f>
        <v>1027981.2208772133</v>
      </c>
      <c r="H78" s="201">
        <f t="shared" si="20"/>
        <v>1027981.2208772133</v>
      </c>
    </row>
    <row r="79" spans="1:8">
      <c r="A79" s="2">
        <v>38300</v>
      </c>
      <c r="B79" s="1" t="s">
        <v>218</v>
      </c>
      <c r="D79" s="1" t="s">
        <v>369</v>
      </c>
      <c r="E79" s="201"/>
      <c r="F79" s="201">
        <f t="shared" si="21"/>
        <v>0</v>
      </c>
      <c r="G79" s="201">
        <f>Distribution!K120</f>
        <v>159879.80428489306</v>
      </c>
      <c r="H79" s="201">
        <f t="shared" si="20"/>
        <v>159879.80428489306</v>
      </c>
    </row>
    <row r="80" spans="1:8">
      <c r="A80" s="2">
        <v>38400</v>
      </c>
      <c r="B80" s="1" t="s">
        <v>317</v>
      </c>
      <c r="D80" s="1" t="s">
        <v>369</v>
      </c>
      <c r="E80" s="201"/>
      <c r="F80" s="201">
        <f t="shared" si="21"/>
        <v>0</v>
      </c>
      <c r="G80" s="201">
        <f>Distribution!K121</f>
        <v>476603.92083927337</v>
      </c>
      <c r="H80" s="201">
        <f t="shared" si="20"/>
        <v>476603.92083927337</v>
      </c>
    </row>
    <row r="81" spans="1:8">
      <c r="A81" s="2">
        <v>38500</v>
      </c>
      <c r="B81" s="1" t="s">
        <v>318</v>
      </c>
      <c r="D81" s="1" t="s">
        <v>369</v>
      </c>
      <c r="E81" s="201"/>
      <c r="F81" s="201">
        <f t="shared" si="21"/>
        <v>0</v>
      </c>
      <c r="G81" s="201">
        <f>Distribution!K122</f>
        <v>33971.409054955162</v>
      </c>
      <c r="H81" s="201">
        <f t="shared" si="20"/>
        <v>33971.409054955162</v>
      </c>
    </row>
    <row r="82" spans="1:8">
      <c r="A82" s="2">
        <v>38700</v>
      </c>
      <c r="B82" s="1" t="s">
        <v>319</v>
      </c>
      <c r="D82" s="1" t="s">
        <v>369</v>
      </c>
      <c r="E82" s="201"/>
      <c r="F82" s="201">
        <f t="shared" si="21"/>
        <v>0</v>
      </c>
      <c r="G82" s="201">
        <f>Distribution!K123</f>
        <v>102978.41351230167</v>
      </c>
      <c r="H82" s="201">
        <f t="shared" si="20"/>
        <v>102978.41351230167</v>
      </c>
    </row>
    <row r="83" spans="1:8">
      <c r="A83" s="2"/>
      <c r="D83" s="193" t="s">
        <v>371</v>
      </c>
      <c r="E83" s="203">
        <f>SUM(E74:E82)</f>
        <v>21280593.640000001</v>
      </c>
      <c r="F83" s="203">
        <f>SUBTOTAL(9,F74:F82)</f>
        <v>0</v>
      </c>
      <c r="G83" s="203">
        <f>SUBTOTAL(9,G74:G82)</f>
        <v>8833477.4895428531</v>
      </c>
      <c r="H83" s="443">
        <f>SUBTOTAL(9,H74:H82)-18</f>
        <v>30114053.129542846</v>
      </c>
    </row>
    <row r="84" spans="1:8">
      <c r="A84" s="2" t="str">
        <f>LEFT(C84,5)</f>
        <v>37600</v>
      </c>
      <c r="B84" s="1" t="str">
        <f>MID(C84,10,50)</f>
        <v>Mains - Steel</v>
      </c>
      <c r="C84" s="1" t="s">
        <v>312</v>
      </c>
      <c r="D84" s="1" t="s">
        <v>0</v>
      </c>
      <c r="E84" s="201">
        <f>PlantByAcctByCounty!C446</f>
        <v>209636.34</v>
      </c>
      <c r="F84" s="201"/>
      <c r="G84" s="133"/>
      <c r="H84" s="201">
        <f t="shared" si="20"/>
        <v>209636.34</v>
      </c>
    </row>
    <row r="85" spans="1:8">
      <c r="A85" s="2">
        <v>38000</v>
      </c>
      <c r="B85" s="1" t="s">
        <v>370</v>
      </c>
      <c r="D85" s="1" t="s">
        <v>0</v>
      </c>
      <c r="E85" s="201"/>
      <c r="F85" s="201">
        <f t="shared" ref="F85:F91" si="22">E85*-1</f>
        <v>0</v>
      </c>
      <c r="G85" s="201">
        <f>Distribution!O76</f>
        <v>4001.0326774082955</v>
      </c>
      <c r="H85" s="201">
        <f t="shared" si="20"/>
        <v>4001.0326774082955</v>
      </c>
    </row>
    <row r="86" spans="1:8">
      <c r="A86" s="2">
        <v>38100</v>
      </c>
      <c r="B86" s="1" t="s">
        <v>216</v>
      </c>
      <c r="C86" s="1" t="s">
        <v>312</v>
      </c>
      <c r="D86" s="1" t="s">
        <v>0</v>
      </c>
      <c r="E86" s="201"/>
      <c r="F86" s="201">
        <f t="shared" si="22"/>
        <v>0</v>
      </c>
      <c r="G86" s="133">
        <f>Meters!E23</f>
        <v>512.38583809631837</v>
      </c>
      <c r="H86" s="201">
        <f t="shared" si="20"/>
        <v>512.38583809631837</v>
      </c>
    </row>
    <row r="87" spans="1:8">
      <c r="A87" s="2">
        <v>38200</v>
      </c>
      <c r="B87" s="1" t="s">
        <v>217</v>
      </c>
      <c r="D87" s="1" t="s">
        <v>0</v>
      </c>
      <c r="E87" s="201"/>
      <c r="F87" s="201">
        <f t="shared" si="22"/>
        <v>0</v>
      </c>
      <c r="G87" s="201">
        <f>Distribution!O77</f>
        <v>514.96785542876728</v>
      </c>
      <c r="H87" s="201">
        <f t="shared" si="20"/>
        <v>514.96785542876728</v>
      </c>
    </row>
    <row r="88" spans="1:8">
      <c r="A88" s="2">
        <v>38300</v>
      </c>
      <c r="B88" s="1" t="s">
        <v>218</v>
      </c>
      <c r="D88" s="1" t="s">
        <v>0</v>
      </c>
      <c r="E88" s="201"/>
      <c r="F88" s="201">
        <f t="shared" si="22"/>
        <v>0</v>
      </c>
      <c r="G88" s="201">
        <f>Distribution!O78</f>
        <v>277.28444194132913</v>
      </c>
      <c r="H88" s="201">
        <f t="shared" si="20"/>
        <v>277.28444194132913</v>
      </c>
    </row>
    <row r="89" spans="1:8">
      <c r="A89" s="2">
        <v>38400</v>
      </c>
      <c r="B89" s="1" t="s">
        <v>317</v>
      </c>
      <c r="D89" s="1" t="s">
        <v>0</v>
      </c>
      <c r="E89" s="201"/>
      <c r="F89" s="201">
        <f t="shared" si="22"/>
        <v>0</v>
      </c>
      <c r="G89" s="201">
        <f>Distribution!O79</f>
        <v>221.01533473725448</v>
      </c>
      <c r="H89" s="201">
        <f t="shared" si="20"/>
        <v>221.01533473725448</v>
      </c>
    </row>
    <row r="90" spans="1:8">
      <c r="A90" s="2">
        <v>38500</v>
      </c>
      <c r="B90" s="1" t="s">
        <v>318</v>
      </c>
      <c r="D90" s="1" t="s">
        <v>0</v>
      </c>
      <c r="E90" s="201"/>
      <c r="F90" s="201">
        <f t="shared" si="22"/>
        <v>0</v>
      </c>
      <c r="G90" s="201">
        <f>Distribution!O80</f>
        <v>409.3051256182967</v>
      </c>
      <c r="H90" s="201">
        <f t="shared" si="20"/>
        <v>409.3051256182967</v>
      </c>
    </row>
    <row r="91" spans="1:8">
      <c r="A91" s="2">
        <v>38700</v>
      </c>
      <c r="B91" s="1" t="s">
        <v>319</v>
      </c>
      <c r="D91" s="1" t="s">
        <v>0</v>
      </c>
      <c r="E91" s="201"/>
      <c r="F91" s="201">
        <f t="shared" si="22"/>
        <v>0</v>
      </c>
      <c r="G91" s="201">
        <f>Distribution!O81</f>
        <v>51.863556001763065</v>
      </c>
      <c r="H91" s="201">
        <f t="shared" si="20"/>
        <v>51.863556001763065</v>
      </c>
    </row>
    <row r="92" spans="1:8">
      <c r="A92" s="2"/>
      <c r="D92" s="193" t="s">
        <v>372</v>
      </c>
      <c r="E92" s="203">
        <f>SUBTOTAL(9,E84:E91)</f>
        <v>209636.34</v>
      </c>
      <c r="F92" s="203">
        <f>SUBTOTAL(9,F84:F91)</f>
        <v>0</v>
      </c>
      <c r="G92" s="203">
        <f>SUBTOTAL(9,G84:G91)</f>
        <v>5987.8548292320256</v>
      </c>
      <c r="H92" s="443">
        <f>SUBTOTAL(9,H84:H91)+1</f>
        <v>215625.19482923203</v>
      </c>
    </row>
    <row r="93" spans="1:8">
      <c r="A93" s="2" t="str">
        <f t="shared" ref="A93:A109" si="23">LEFT(C93,5)</f>
        <v>37600</v>
      </c>
      <c r="B93" s="1" t="str">
        <f t="shared" ref="B93:B109" si="24">MID(C93,10,50)</f>
        <v>Mains - Steel</v>
      </c>
      <c r="C93" s="1" t="s">
        <v>341</v>
      </c>
      <c r="D93" s="1" t="s">
        <v>373</v>
      </c>
      <c r="E93" s="201">
        <f>PlantByAcctByCounty!C447</f>
        <v>43265777.049999997</v>
      </c>
      <c r="F93" s="201">
        <v>0</v>
      </c>
      <c r="G93" s="133"/>
      <c r="H93" s="201">
        <f t="shared" si="20"/>
        <v>43265777.049999997</v>
      </c>
    </row>
    <row r="94" spans="1:8">
      <c r="A94" s="2" t="str">
        <f t="shared" si="23"/>
        <v>37800</v>
      </c>
      <c r="B94" s="1" t="str">
        <f t="shared" si="24"/>
        <v>Regulator Stations - Measu</v>
      </c>
      <c r="C94" s="1" t="s">
        <v>343</v>
      </c>
      <c r="D94" s="1" t="s">
        <v>373</v>
      </c>
      <c r="E94" s="201">
        <f>PlantByAcctByCounty!C448</f>
        <v>442897.07</v>
      </c>
      <c r="F94" s="201"/>
      <c r="G94" s="133"/>
      <c r="H94" s="201">
        <f t="shared" si="20"/>
        <v>442897.07</v>
      </c>
    </row>
    <row r="95" spans="1:8">
      <c r="A95" s="2" t="str">
        <f t="shared" si="23"/>
        <v>37900</v>
      </c>
      <c r="B95" s="1" t="str">
        <f t="shared" si="24"/>
        <v>City Gate Stations - Measu</v>
      </c>
      <c r="C95" s="1" t="s">
        <v>344</v>
      </c>
      <c r="D95" s="1" t="s">
        <v>373</v>
      </c>
      <c r="E95" s="201">
        <f>PlantByAcctByCounty!C449</f>
        <v>322631.99</v>
      </c>
      <c r="F95" s="201"/>
      <c r="G95" s="133"/>
      <c r="H95" s="201">
        <f t="shared" si="20"/>
        <v>322631.99</v>
      </c>
    </row>
    <row r="96" spans="1:8">
      <c r="A96" s="2" t="str">
        <f t="shared" si="23"/>
        <v>38000</v>
      </c>
      <c r="B96" s="1" t="str">
        <f t="shared" si="24"/>
        <v>Services Lines - Steel</v>
      </c>
      <c r="C96" s="1" t="s">
        <v>345</v>
      </c>
      <c r="D96" s="1" t="s">
        <v>373</v>
      </c>
      <c r="E96" s="201">
        <f>PlantByAcctByCounty!C450</f>
        <v>44874722.75</v>
      </c>
      <c r="F96" s="201">
        <f t="shared" ref="F96:F102" si="25">E96*-1</f>
        <v>-44874722.75</v>
      </c>
      <c r="G96" s="201">
        <f>Distribution!L10</f>
        <v>22835109.120000001</v>
      </c>
      <c r="H96" s="201">
        <f t="shared" si="20"/>
        <v>22835109.120000001</v>
      </c>
    </row>
    <row r="97" spans="1:8">
      <c r="A97" s="2">
        <v>38100</v>
      </c>
      <c r="B97" s="1" t="s">
        <v>216</v>
      </c>
      <c r="D97" s="1" t="s">
        <v>373</v>
      </c>
      <c r="E97" s="201">
        <v>0</v>
      </c>
      <c r="F97" s="201">
        <f t="shared" si="25"/>
        <v>0</v>
      </c>
      <c r="G97" s="133">
        <f>Meters!E24</f>
        <v>5152381.1926172124</v>
      </c>
      <c r="H97" s="201">
        <f t="shared" si="20"/>
        <v>5152381.1926172124</v>
      </c>
    </row>
    <row r="98" spans="1:8">
      <c r="A98" s="2" t="str">
        <f t="shared" si="23"/>
        <v>38200</v>
      </c>
      <c r="B98" s="1" t="str">
        <f t="shared" si="24"/>
        <v>Meter Installations</v>
      </c>
      <c r="C98" s="1" t="s">
        <v>374</v>
      </c>
      <c r="D98" s="1" t="s">
        <v>373</v>
      </c>
      <c r="E98" s="201">
        <f>PlantByAcctByCounty!C451</f>
        <v>5642340.2400000002</v>
      </c>
      <c r="F98" s="201">
        <f t="shared" si="25"/>
        <v>-5642340.2400000002</v>
      </c>
      <c r="G98" s="201">
        <f>Distribution!L11</f>
        <v>2848410.7</v>
      </c>
      <c r="H98" s="201">
        <f t="shared" si="20"/>
        <v>2848410.7</v>
      </c>
    </row>
    <row r="99" spans="1:8">
      <c r="A99" s="2" t="str">
        <f t="shared" si="23"/>
        <v>38300</v>
      </c>
      <c r="B99" s="1" t="str">
        <f t="shared" si="24"/>
        <v>House Regulators</v>
      </c>
      <c r="C99" s="1" t="s">
        <v>346</v>
      </c>
      <c r="D99" s="1" t="s">
        <v>373</v>
      </c>
      <c r="E99" s="201">
        <f>PlantByAcctByCounty!C452</f>
        <v>1473774.74</v>
      </c>
      <c r="F99" s="201">
        <f t="shared" si="25"/>
        <v>-1473774.74</v>
      </c>
      <c r="G99" s="201">
        <f>Distribution!L12</f>
        <v>1004093.78</v>
      </c>
      <c r="H99" s="201">
        <f t="shared" si="20"/>
        <v>1004093.78</v>
      </c>
    </row>
    <row r="100" spans="1:8">
      <c r="A100" s="2" t="str">
        <f t="shared" si="23"/>
        <v>38400</v>
      </c>
      <c r="B100" s="1" t="str">
        <f t="shared" si="24"/>
        <v>House Regulator Installati</v>
      </c>
      <c r="C100" s="1" t="s">
        <v>347</v>
      </c>
      <c r="D100" s="1" t="s">
        <v>373</v>
      </c>
      <c r="E100" s="201">
        <f>PlantByAcctByCounty!C453</f>
        <v>2348350.2999999998</v>
      </c>
      <c r="F100" s="201">
        <f t="shared" si="25"/>
        <v>-2348350.2999999998</v>
      </c>
      <c r="G100" s="201">
        <f>Distribution!L13</f>
        <v>1188917.31</v>
      </c>
      <c r="H100" s="201">
        <f t="shared" si="20"/>
        <v>1188917.31</v>
      </c>
    </row>
    <row r="101" spans="1:8">
      <c r="A101" s="2" t="str">
        <f t="shared" si="23"/>
        <v>38500</v>
      </c>
      <c r="B101" s="1" t="str">
        <f t="shared" si="24"/>
        <v>Industrial Customer Regula</v>
      </c>
      <c r="C101" s="1" t="s">
        <v>348</v>
      </c>
      <c r="D101" s="1" t="s">
        <v>373</v>
      </c>
      <c r="E101" s="201">
        <f>PlantByAcctByCounty!C454</f>
        <v>603434.74</v>
      </c>
      <c r="F101" s="201">
        <f t="shared" si="25"/>
        <v>-603434.74</v>
      </c>
      <c r="G101" s="201">
        <f>Distribution!L14</f>
        <v>330016.39</v>
      </c>
      <c r="H101" s="201">
        <f t="shared" si="20"/>
        <v>330016.39</v>
      </c>
    </row>
    <row r="102" spans="1:8">
      <c r="A102" s="2" t="str">
        <f t="shared" si="23"/>
        <v>38700</v>
      </c>
      <c r="B102" s="1" t="str">
        <f t="shared" si="24"/>
        <v>Other Equipment for Distri</v>
      </c>
      <c r="C102" s="1" t="s">
        <v>349</v>
      </c>
      <c r="D102" s="1" t="s">
        <v>373</v>
      </c>
      <c r="E102" s="201">
        <f>PlantByAcctByCounty!C455</f>
        <v>493254.63</v>
      </c>
      <c r="F102" s="201">
        <f t="shared" si="25"/>
        <v>-493254.63</v>
      </c>
      <c r="G102" s="201">
        <f>Distribution!L15</f>
        <v>285238.61</v>
      </c>
      <c r="H102" s="201">
        <f t="shared" si="20"/>
        <v>285238.61</v>
      </c>
    </row>
    <row r="103" spans="1:8">
      <c r="A103" s="2" t="str">
        <f t="shared" si="23"/>
        <v>39100</v>
      </c>
      <c r="B103" s="1" t="str">
        <f t="shared" si="24"/>
        <v>Office Furniture</v>
      </c>
      <c r="C103" s="1" t="s">
        <v>350</v>
      </c>
      <c r="D103" s="1" t="s">
        <v>373</v>
      </c>
      <c r="E103" s="201">
        <f>PlantByAcctByCounty!C456</f>
        <v>1236333.79</v>
      </c>
      <c r="F103" s="201"/>
      <c r="G103" s="133"/>
      <c r="H103" s="201">
        <f t="shared" si="20"/>
        <v>1236333.79</v>
      </c>
    </row>
    <row r="104" spans="1:8">
      <c r="A104" s="2" t="str">
        <f t="shared" si="23"/>
        <v>39300</v>
      </c>
      <c r="B104" s="1" t="str">
        <f t="shared" si="24"/>
        <v>Stores Equipment</v>
      </c>
      <c r="C104" s="1" t="s">
        <v>375</v>
      </c>
      <c r="D104" s="1" t="s">
        <v>373</v>
      </c>
      <c r="E104" s="201">
        <v>0</v>
      </c>
      <c r="F104" s="201"/>
      <c r="G104" s="133"/>
      <c r="H104" s="201">
        <f t="shared" si="20"/>
        <v>0</v>
      </c>
    </row>
    <row r="105" spans="1:8">
      <c r="A105" s="2" t="str">
        <f t="shared" si="23"/>
        <v>39400</v>
      </c>
      <c r="B105" s="1" t="str">
        <f t="shared" si="24"/>
        <v>Tools, Shop, &amp; Garage Equi</v>
      </c>
      <c r="C105" s="1" t="s">
        <v>376</v>
      </c>
      <c r="D105" s="1" t="s">
        <v>373</v>
      </c>
      <c r="E105" s="201">
        <f>PlantByAcctByCounty!C457</f>
        <v>598218.88</v>
      </c>
      <c r="F105" s="201"/>
      <c r="G105" s="133"/>
      <c r="H105" s="201">
        <f t="shared" si="20"/>
        <v>598218.88</v>
      </c>
    </row>
    <row r="106" spans="1:8">
      <c r="A106" s="2" t="str">
        <f t="shared" si="23"/>
        <v>39500</v>
      </c>
      <c r="B106" s="1" t="str">
        <f t="shared" si="24"/>
        <v>Laboratory Equipment</v>
      </c>
      <c r="C106" s="1" t="s">
        <v>377</v>
      </c>
      <c r="D106" s="1" t="s">
        <v>373</v>
      </c>
      <c r="E106" s="201">
        <f>PlantByAcctByCounty!C458</f>
        <v>16833.22</v>
      </c>
      <c r="F106" s="201"/>
      <c r="G106" s="133"/>
      <c r="H106" s="201">
        <f t="shared" si="20"/>
        <v>16833.22</v>
      </c>
    </row>
    <row r="107" spans="1:8">
      <c r="A107" s="2" t="str">
        <f t="shared" si="23"/>
        <v>39600</v>
      </c>
      <c r="B107" s="1" t="str">
        <f t="shared" si="24"/>
        <v>Power Operated Equipment-H</v>
      </c>
      <c r="C107" s="1" t="s">
        <v>378</v>
      </c>
      <c r="D107" s="1" t="s">
        <v>373</v>
      </c>
      <c r="E107" s="201">
        <f>PlantByAcctByCounty!C459</f>
        <v>478971.97</v>
      </c>
      <c r="F107" s="201"/>
      <c r="G107" s="133"/>
      <c r="H107" s="201">
        <f t="shared" si="20"/>
        <v>478971.97</v>
      </c>
    </row>
    <row r="108" spans="1:8">
      <c r="A108" s="2" t="str">
        <f t="shared" si="23"/>
        <v>39700</v>
      </c>
      <c r="B108" s="1" t="str">
        <f t="shared" si="24"/>
        <v>Communication Equipment</v>
      </c>
      <c r="C108" s="1" t="s">
        <v>352</v>
      </c>
      <c r="D108" s="1" t="s">
        <v>373</v>
      </c>
      <c r="E108" s="201">
        <f>PlantByAcctByCounty!C460</f>
        <v>797938.06</v>
      </c>
      <c r="F108" s="201"/>
      <c r="G108" s="133"/>
      <c r="H108" s="201">
        <f t="shared" si="20"/>
        <v>797938.06</v>
      </c>
    </row>
    <row r="109" spans="1:8">
      <c r="A109" s="2" t="str">
        <f t="shared" si="23"/>
        <v>39800</v>
      </c>
      <c r="B109" s="1" t="str">
        <f t="shared" si="24"/>
        <v>Misc Equipment-used for ga</v>
      </c>
      <c r="C109" s="1" t="s">
        <v>379</v>
      </c>
      <c r="D109" s="1" t="s">
        <v>373</v>
      </c>
      <c r="E109" s="201">
        <f>PlantByAcctByCounty!C461</f>
        <v>71037.55</v>
      </c>
      <c r="F109" s="201"/>
      <c r="G109" s="133"/>
      <c r="H109" s="201">
        <f t="shared" si="20"/>
        <v>71037.55</v>
      </c>
    </row>
    <row r="110" spans="1:8">
      <c r="A110" s="2"/>
      <c r="D110" s="193" t="s">
        <v>380</v>
      </c>
      <c r="E110" s="203">
        <f>SUM(E93:E109)</f>
        <v>102666516.97999997</v>
      </c>
      <c r="F110" s="203">
        <f t="shared" ref="F110:G110" si="26">SUM(F93:F109)</f>
        <v>-55435877.400000006</v>
      </c>
      <c r="G110" s="203">
        <f t="shared" si="26"/>
        <v>33644167.102617212</v>
      </c>
      <c r="H110" s="443">
        <f>SUM(H93:H109)-68</f>
        <v>80874738.682617217</v>
      </c>
    </row>
    <row r="111" spans="1:8">
      <c r="A111" s="2" t="s">
        <v>381</v>
      </c>
      <c r="B111" s="1" t="s">
        <v>311</v>
      </c>
      <c r="C111" s="1" t="s">
        <v>312</v>
      </c>
      <c r="D111" s="1" t="s">
        <v>382</v>
      </c>
      <c r="E111" s="201">
        <f>PlantByAcctByCounty!C462</f>
        <v>87394838.689999998</v>
      </c>
      <c r="F111" s="201"/>
      <c r="G111" s="133"/>
      <c r="H111" s="201">
        <f t="shared" si="20"/>
        <v>87394838.689999998</v>
      </c>
    </row>
    <row r="112" spans="1:8">
      <c r="A112" s="2" t="s">
        <v>383</v>
      </c>
      <c r="B112" s="1" t="s">
        <v>363</v>
      </c>
      <c r="C112" s="1" t="s">
        <v>364</v>
      </c>
      <c r="D112" s="1" t="s">
        <v>382</v>
      </c>
      <c r="E112" s="201">
        <f>PlantByAcctByCounty!C463</f>
        <v>3392816.07</v>
      </c>
      <c r="F112" s="201"/>
      <c r="G112" s="133"/>
      <c r="H112" s="201">
        <f t="shared" si="20"/>
        <v>3392816.07</v>
      </c>
    </row>
    <row r="113" spans="1:8">
      <c r="A113" s="2" t="s">
        <v>384</v>
      </c>
      <c r="B113" s="1" t="s">
        <v>314</v>
      </c>
      <c r="C113" s="1" t="s">
        <v>315</v>
      </c>
      <c r="D113" s="1" t="s">
        <v>382</v>
      </c>
      <c r="E113" s="201">
        <f>PlantByAcctByCounty!C464</f>
        <v>1464980.06</v>
      </c>
      <c r="F113" s="201"/>
      <c r="G113" s="133"/>
      <c r="H113" s="201">
        <f t="shared" si="20"/>
        <v>1464980.06</v>
      </c>
    </row>
    <row r="114" spans="1:8">
      <c r="A114" s="2" t="s">
        <v>385</v>
      </c>
      <c r="B114" s="1" t="s">
        <v>370</v>
      </c>
      <c r="C114" s="1" t="s">
        <v>386</v>
      </c>
      <c r="D114" s="1" t="s">
        <v>382</v>
      </c>
      <c r="E114" s="201">
        <f>PlantByAcctByCounty!C465</f>
        <v>27215256.309999999</v>
      </c>
      <c r="F114" s="201">
        <f t="shared" ref="F114:F120" si="27">E114*-1</f>
        <v>-27215256.309999999</v>
      </c>
      <c r="G114" s="201">
        <f>Distribution!L76</f>
        <v>21705602.274940006</v>
      </c>
      <c r="H114" s="201">
        <f t="shared" si="20"/>
        <v>21705602.274940006</v>
      </c>
    </row>
    <row r="115" spans="1:8">
      <c r="A115" s="2">
        <v>38100</v>
      </c>
      <c r="B115" s="1" t="s">
        <v>216</v>
      </c>
      <c r="D115" s="1" t="s">
        <v>382</v>
      </c>
      <c r="E115" s="201">
        <v>0</v>
      </c>
      <c r="F115" s="201">
        <f t="shared" si="27"/>
        <v>0</v>
      </c>
      <c r="G115" s="133">
        <f>Meters!E25</f>
        <v>2779693.1716725277</v>
      </c>
      <c r="H115" s="201">
        <f t="shared" si="20"/>
        <v>2779693.1716725277</v>
      </c>
    </row>
    <row r="116" spans="1:8">
      <c r="A116" s="2" t="s">
        <v>387</v>
      </c>
      <c r="B116" s="1" t="s">
        <v>217</v>
      </c>
      <c r="C116" s="1" t="s">
        <v>388</v>
      </c>
      <c r="D116" s="1" t="s">
        <v>382</v>
      </c>
      <c r="E116" s="201">
        <f>PlantByAcctByCounty!C466</f>
        <v>3467645.31</v>
      </c>
      <c r="F116" s="201">
        <f t="shared" si="27"/>
        <v>-3467645.31</v>
      </c>
      <c r="G116" s="201">
        <f>Distribution!L77</f>
        <v>2793700.6157010631</v>
      </c>
      <c r="H116" s="201">
        <f t="shared" si="20"/>
        <v>2793700.6157010631</v>
      </c>
    </row>
    <row r="117" spans="1:8">
      <c r="A117" s="2" t="s">
        <v>389</v>
      </c>
      <c r="B117" s="1" t="s">
        <v>218</v>
      </c>
      <c r="C117" s="1" t="s">
        <v>390</v>
      </c>
      <c r="D117" s="1" t="s">
        <v>382</v>
      </c>
      <c r="E117" s="201">
        <f>PlantByAcctByCounty!C467</f>
        <v>1450886.79</v>
      </c>
      <c r="F117" s="201">
        <f t="shared" si="27"/>
        <v>-1450886.79</v>
      </c>
      <c r="G117" s="201">
        <f>Distribution!L78</f>
        <v>1504268.0975317108</v>
      </c>
      <c r="H117" s="201">
        <f t="shared" si="20"/>
        <v>1504268.0975317108</v>
      </c>
    </row>
    <row r="118" spans="1:8">
      <c r="A118" s="2" t="s">
        <v>391</v>
      </c>
      <c r="B118" s="1" t="s">
        <v>317</v>
      </c>
      <c r="C118" s="1" t="s">
        <v>392</v>
      </c>
      <c r="D118" s="1" t="s">
        <v>382</v>
      </c>
      <c r="E118" s="201">
        <f>PlantByAcctByCounty!C468</f>
        <v>1491838.19</v>
      </c>
      <c r="F118" s="201">
        <f t="shared" si="27"/>
        <v>-1491838.19</v>
      </c>
      <c r="G118" s="201">
        <f>Distribution!L79</f>
        <v>1199008.1909496058</v>
      </c>
      <c r="H118" s="201">
        <f t="shared" si="20"/>
        <v>1199008.1909496058</v>
      </c>
    </row>
    <row r="119" spans="1:8">
      <c r="A119" s="2" t="s">
        <v>393</v>
      </c>
      <c r="B119" s="1" t="s">
        <v>318</v>
      </c>
      <c r="C119" s="1" t="s">
        <v>367</v>
      </c>
      <c r="D119" s="1" t="s">
        <v>382</v>
      </c>
      <c r="E119" s="201">
        <f>PlantByAcctByCounty!C469</f>
        <v>2783592.47</v>
      </c>
      <c r="F119" s="201">
        <f t="shared" si="27"/>
        <v>-2783592.47</v>
      </c>
      <c r="G119" s="201">
        <f>Distribution!L80</f>
        <v>2220480.3064792599</v>
      </c>
      <c r="H119" s="201">
        <f t="shared" si="20"/>
        <v>2220480.3064792599</v>
      </c>
    </row>
    <row r="120" spans="1:8">
      <c r="A120" s="2" t="s">
        <v>394</v>
      </c>
      <c r="B120" s="1" t="s">
        <v>319</v>
      </c>
      <c r="C120" s="1" t="s">
        <v>395</v>
      </c>
      <c r="D120" s="1" t="s">
        <v>382</v>
      </c>
      <c r="E120" s="201">
        <f>PlantByAcctByCounty!C470</f>
        <v>353000.65</v>
      </c>
      <c r="F120" s="201">
        <f t="shared" si="27"/>
        <v>-353000.65</v>
      </c>
      <c r="G120" s="201">
        <f>Distribution!L81</f>
        <v>281359.79130956467</v>
      </c>
      <c r="H120" s="201">
        <f t="shared" si="20"/>
        <v>281359.79130956467</v>
      </c>
    </row>
    <row r="121" spans="1:8">
      <c r="A121" s="2" t="s">
        <v>396</v>
      </c>
      <c r="B121" s="1" t="s">
        <v>397</v>
      </c>
      <c r="C121" s="1" t="s">
        <v>398</v>
      </c>
      <c r="D121" s="1" t="s">
        <v>382</v>
      </c>
      <c r="E121" s="201">
        <f>PlantByAcctByCounty!C471</f>
        <v>400700.39</v>
      </c>
      <c r="F121" s="201"/>
      <c r="G121" s="201"/>
      <c r="H121" s="201">
        <f t="shared" si="20"/>
        <v>400700.39</v>
      </c>
    </row>
    <row r="122" spans="1:8">
      <c r="A122" s="2" t="s">
        <v>399</v>
      </c>
      <c r="B122" s="1" t="s">
        <v>400</v>
      </c>
      <c r="C122" s="1" t="s">
        <v>401</v>
      </c>
      <c r="D122" s="1" t="s">
        <v>382</v>
      </c>
      <c r="E122" s="201">
        <f>PlantByAcctByCounty!C472</f>
        <v>391723.54</v>
      </c>
      <c r="F122" s="201"/>
      <c r="G122" s="133"/>
      <c r="H122" s="201">
        <f t="shared" si="20"/>
        <v>391723.54</v>
      </c>
    </row>
    <row r="123" spans="1:8">
      <c r="A123" s="2" t="s">
        <v>402</v>
      </c>
      <c r="B123" s="1" t="s">
        <v>403</v>
      </c>
      <c r="C123" s="1" t="s">
        <v>404</v>
      </c>
      <c r="D123" s="1" t="s">
        <v>382</v>
      </c>
      <c r="E123" s="201">
        <f>PlantByAcctByCounty!C473</f>
        <v>235746.45</v>
      </c>
      <c r="F123" s="201"/>
      <c r="G123" s="133"/>
      <c r="H123" s="201">
        <f t="shared" si="20"/>
        <v>235746.45</v>
      </c>
    </row>
    <row r="124" spans="1:8">
      <c r="A124" s="2" t="s">
        <v>405</v>
      </c>
      <c r="B124" s="1" t="s">
        <v>227</v>
      </c>
      <c r="C124" s="1" t="s">
        <v>406</v>
      </c>
      <c r="D124" s="1" t="s">
        <v>382</v>
      </c>
      <c r="E124" s="201">
        <f>PlantByAcctByCounty!C474</f>
        <v>305990.21000000002</v>
      </c>
      <c r="F124" s="201"/>
      <c r="G124" s="133"/>
      <c r="H124" s="201">
        <f t="shared" si="20"/>
        <v>305990.21000000002</v>
      </c>
    </row>
    <row r="125" spans="1:8">
      <c r="A125" s="2" t="s">
        <v>407</v>
      </c>
      <c r="B125" s="1" t="s">
        <v>408</v>
      </c>
      <c r="C125" s="1" t="s">
        <v>409</v>
      </c>
      <c r="D125" s="1" t="s">
        <v>382</v>
      </c>
      <c r="E125" s="201">
        <f>PlantByAcctByCounty!C475</f>
        <v>9699.66</v>
      </c>
      <c r="F125" s="201"/>
      <c r="G125" s="133"/>
      <c r="H125" s="201">
        <f t="shared" si="20"/>
        <v>9699.66</v>
      </c>
    </row>
    <row r="126" spans="1:8">
      <c r="A126" s="2"/>
      <c r="D126" s="193" t="s">
        <v>410</v>
      </c>
      <c r="E126" s="203">
        <f>SUBTOTAL(9,E111:E125)</f>
        <v>130358714.79000001</v>
      </c>
      <c r="F126" s="203">
        <f>SUBTOTAL(9,F111:F125)</f>
        <v>-36762219.719999991</v>
      </c>
      <c r="G126" s="203">
        <f>SUBTOTAL(9,G111:G125)</f>
        <v>32484112.448583737</v>
      </c>
      <c r="H126" s="443">
        <f>SUBTOTAL(9,H111:H125)-66</f>
        <v>126080541.51858373</v>
      </c>
    </row>
    <row r="127" spans="1:8">
      <c r="A127" s="2" t="str">
        <f>LEFT(C127,5)</f>
        <v>37600</v>
      </c>
      <c r="B127" s="1" t="str">
        <f>MID(C127,10,50)</f>
        <v>Mains - Steel</v>
      </c>
      <c r="C127" s="1" t="s">
        <v>411</v>
      </c>
      <c r="D127" s="1" t="s">
        <v>412</v>
      </c>
      <c r="E127" s="201">
        <f>PlantByAcctByCounty!C476</f>
        <v>5636293.9500000002</v>
      </c>
      <c r="F127" s="201"/>
      <c r="G127" s="133"/>
      <c r="H127" s="201">
        <f t="shared" si="20"/>
        <v>5636293.9500000002</v>
      </c>
    </row>
    <row r="128" spans="1:8">
      <c r="A128" s="2" t="s">
        <v>383</v>
      </c>
      <c r="B128" s="1" t="s">
        <v>363</v>
      </c>
      <c r="C128" s="1" t="s">
        <v>364</v>
      </c>
      <c r="D128" s="1" t="s">
        <v>412</v>
      </c>
      <c r="E128" s="201">
        <f>PlantByAcctByCounty!C477</f>
        <v>50914.3</v>
      </c>
      <c r="F128" s="201"/>
      <c r="G128" s="133"/>
      <c r="H128" s="201">
        <f t="shared" si="20"/>
        <v>50914.3</v>
      </c>
    </row>
    <row r="129" spans="1:8">
      <c r="A129" s="2" t="s">
        <v>385</v>
      </c>
      <c r="B129" s="1" t="s">
        <v>370</v>
      </c>
      <c r="D129" s="1" t="s">
        <v>412</v>
      </c>
      <c r="E129" s="201">
        <v>0</v>
      </c>
      <c r="F129" s="201"/>
      <c r="G129" s="201">
        <f>Distribution!E142</f>
        <v>5765.0082160001621</v>
      </c>
      <c r="H129" s="201">
        <f t="shared" si="20"/>
        <v>5765.0082160001621</v>
      </c>
    </row>
    <row r="130" spans="1:8">
      <c r="A130" s="2">
        <v>38100</v>
      </c>
      <c r="B130" s="1" t="s">
        <v>216</v>
      </c>
      <c r="D130" s="1" t="s">
        <v>412</v>
      </c>
      <c r="E130" s="201">
        <v>0</v>
      </c>
      <c r="F130" s="201"/>
      <c r="G130" s="133">
        <f>Meters!E26</f>
        <v>32792.693638164375</v>
      </c>
      <c r="H130" s="201">
        <f t="shared" si="20"/>
        <v>32792.693638164375</v>
      </c>
    </row>
    <row r="131" spans="1:8">
      <c r="A131" s="2" t="s">
        <v>387</v>
      </c>
      <c r="B131" s="1" t="s">
        <v>217</v>
      </c>
      <c r="D131" s="1" t="s">
        <v>412</v>
      </c>
      <c r="E131" s="201">
        <v>0</v>
      </c>
      <c r="F131" s="201"/>
      <c r="G131" s="201">
        <f>Distribution!E143</f>
        <v>677.75540799996816</v>
      </c>
      <c r="H131" s="201">
        <f t="shared" si="20"/>
        <v>677.75540799996816</v>
      </c>
    </row>
    <row r="132" spans="1:8">
      <c r="A132" s="2" t="s">
        <v>389</v>
      </c>
      <c r="B132" s="1" t="s">
        <v>218</v>
      </c>
      <c r="D132" s="1" t="s">
        <v>412</v>
      </c>
      <c r="E132" s="201">
        <v>0</v>
      </c>
      <c r="F132" s="201"/>
      <c r="G132" s="201">
        <f>Distribution!E144</f>
        <v>245.76486400002614</v>
      </c>
      <c r="H132" s="201">
        <f t="shared" si="20"/>
        <v>245.76486400002614</v>
      </c>
    </row>
    <row r="133" spans="1:8">
      <c r="A133" s="2" t="s">
        <v>391</v>
      </c>
      <c r="B133" s="1" t="s">
        <v>317</v>
      </c>
      <c r="D133" s="1" t="s">
        <v>412</v>
      </c>
      <c r="E133" s="201">
        <v>0</v>
      </c>
      <c r="F133" s="201"/>
      <c r="G133" s="201">
        <f>Distribution!E145</f>
        <v>268.28717600001255</v>
      </c>
      <c r="H133" s="201">
        <f t="shared" si="20"/>
        <v>268.28717600001255</v>
      </c>
    </row>
    <row r="134" spans="1:8">
      <c r="A134" s="2" t="s">
        <v>393</v>
      </c>
      <c r="B134" s="1" t="s">
        <v>318</v>
      </c>
      <c r="D134" s="1" t="s">
        <v>412</v>
      </c>
      <c r="E134" s="201">
        <v>0</v>
      </c>
      <c r="F134" s="201"/>
      <c r="G134" s="201">
        <f>Distribution!E146</f>
        <v>71.290368000001763</v>
      </c>
      <c r="H134" s="201">
        <f t="shared" si="20"/>
        <v>71.290368000001763</v>
      </c>
    </row>
    <row r="135" spans="1:8">
      <c r="A135" s="2" t="s">
        <v>394</v>
      </c>
      <c r="B135" s="1" t="s">
        <v>319</v>
      </c>
      <c r="D135" s="1" t="s">
        <v>412</v>
      </c>
      <c r="E135" s="201">
        <v>0</v>
      </c>
      <c r="F135" s="201"/>
      <c r="G135" s="201">
        <f>Distribution!E147</f>
        <v>95.144591999996919</v>
      </c>
      <c r="H135" s="201">
        <f t="shared" si="20"/>
        <v>95.144591999996919</v>
      </c>
    </row>
    <row r="136" spans="1:8">
      <c r="A136" s="2"/>
      <c r="D136" s="193" t="s">
        <v>413</v>
      </c>
      <c r="E136" s="203">
        <f>SUM(E127:E135)</f>
        <v>5687208.25</v>
      </c>
      <c r="F136" s="203">
        <f>SUM(F127:F135)</f>
        <v>0</v>
      </c>
      <c r="G136" s="203">
        <f>SUM(G127:G135)</f>
        <v>39915.944262164543</v>
      </c>
      <c r="H136" s="203">
        <f>SUM(H127:H135)</f>
        <v>5727124.1942621656</v>
      </c>
    </row>
    <row r="137" spans="1:8">
      <c r="A137" s="2" t="str">
        <f>LEFT(C137,5)</f>
        <v>37600</v>
      </c>
      <c r="B137" s="1" t="str">
        <f>MID(C137,10,50)</f>
        <v>Mains - Steel</v>
      </c>
      <c r="C137" s="1" t="s">
        <v>414</v>
      </c>
      <c r="D137" s="1" t="s">
        <v>415</v>
      </c>
      <c r="E137" s="201">
        <f>PlantByAcctByCounty!C478</f>
        <v>238051.89</v>
      </c>
      <c r="F137" s="201"/>
      <c r="G137" s="133"/>
      <c r="H137" s="201">
        <f t="shared" si="20"/>
        <v>238051.89</v>
      </c>
    </row>
    <row r="138" spans="1:8">
      <c r="A138" s="2" t="str">
        <f>LEFT(C138,5)</f>
        <v>37900</v>
      </c>
      <c r="B138" s="1" t="str">
        <f>MID(C138,10,50)</f>
        <v>City Gate Stations - Measu</v>
      </c>
      <c r="C138" s="1" t="s">
        <v>416</v>
      </c>
      <c r="D138" s="1" t="s">
        <v>415</v>
      </c>
      <c r="E138" s="201">
        <f>PlantByAcctByCounty!C479</f>
        <v>796736.06</v>
      </c>
      <c r="F138" s="201"/>
      <c r="G138" s="133"/>
      <c r="H138" s="201">
        <f t="shared" si="20"/>
        <v>796736.06</v>
      </c>
    </row>
    <row r="139" spans="1:8">
      <c r="A139" s="2">
        <v>38100</v>
      </c>
      <c r="B139" s="1" t="s">
        <v>216</v>
      </c>
      <c r="D139" s="1" t="s">
        <v>415</v>
      </c>
      <c r="E139" s="201">
        <v>0</v>
      </c>
      <c r="F139" s="201"/>
      <c r="G139" s="133">
        <f>Meters!E27</f>
        <v>170.79527936543948</v>
      </c>
      <c r="H139" s="201">
        <f t="shared" ref="H139" si="28">E139+F139+G139</f>
        <v>170.79527936543948</v>
      </c>
    </row>
    <row r="140" spans="1:8">
      <c r="A140" s="2"/>
      <c r="D140" s="193" t="s">
        <v>417</v>
      </c>
      <c r="E140" s="203">
        <f>SUBTOTAL(9,E137:E139)</f>
        <v>1034787.9500000001</v>
      </c>
      <c r="F140" s="203">
        <f t="shared" ref="F140:G140" si="29">SUBTOTAL(9,F137:F139)</f>
        <v>0</v>
      </c>
      <c r="G140" s="203">
        <f t="shared" si="29"/>
        <v>170.79527936543948</v>
      </c>
      <c r="H140" s="443">
        <f>SUBTOTAL(9,H137:H139)-1</f>
        <v>1034957.7452793655</v>
      </c>
    </row>
    <row r="142" spans="1:8">
      <c r="A142" s="2" t="str">
        <f t="shared" ref="A142" si="30">LEFT(C142,3)</f>
        <v>376</v>
      </c>
      <c r="B142" s="1" t="str">
        <f>MID(C142,10,50)</f>
        <v>Mains - Steel</v>
      </c>
      <c r="C142" s="1" t="str">
        <f>C157</f>
        <v>37600 10 Mains - Steel</v>
      </c>
      <c r="D142" s="137" t="s">
        <v>1164</v>
      </c>
      <c r="E142" s="203">
        <f>PlantByAcctByCounty!J480</f>
        <v>705003.66</v>
      </c>
      <c r="F142" s="203">
        <f>SUM(F138:F140)</f>
        <v>0</v>
      </c>
      <c r="G142" s="203">
        <v>0</v>
      </c>
      <c r="H142" s="203">
        <f>E142+F142+G142</f>
        <v>705003.66</v>
      </c>
    </row>
    <row r="143" spans="1:8">
      <c r="A143" s="2"/>
      <c r="D143" s="193"/>
      <c r="E143" s="205"/>
      <c r="F143" s="205"/>
      <c r="G143" s="205"/>
      <c r="H143" s="205"/>
    </row>
    <row r="144" spans="1:8">
      <c r="A144" s="2" t="str">
        <f t="shared" ref="A144:A155" si="31">LEFT(C144,5)</f>
        <v>37600</v>
      </c>
      <c r="B144" s="1" t="str">
        <f t="shared" ref="B144:B155" si="32">MID(C144,10,50)</f>
        <v>Mains - Steel</v>
      </c>
      <c r="C144" s="1" t="s">
        <v>418</v>
      </c>
      <c r="D144" s="1" t="s">
        <v>419</v>
      </c>
      <c r="E144" s="201">
        <f>PlantByAcctByCounty!C481</f>
        <v>6584165.3300000001</v>
      </c>
      <c r="F144" s="201"/>
      <c r="G144" s="133"/>
      <c r="H144" s="201">
        <f t="shared" si="20"/>
        <v>6584165.3300000001</v>
      </c>
    </row>
    <row r="145" spans="1:8">
      <c r="A145" s="2" t="str">
        <f t="shared" si="31"/>
        <v>37800</v>
      </c>
      <c r="B145" s="1" t="str">
        <f t="shared" si="32"/>
        <v>Regulator Stations - Measu</v>
      </c>
      <c r="C145" s="1" t="s">
        <v>420</v>
      </c>
      <c r="D145" s="1" t="s">
        <v>419</v>
      </c>
      <c r="E145" s="201">
        <f>PlantByAcctByCounty!C482</f>
        <v>50344.3</v>
      </c>
      <c r="F145" s="201"/>
      <c r="G145" s="133"/>
      <c r="H145" s="201">
        <f t="shared" si="20"/>
        <v>50344.3</v>
      </c>
    </row>
    <row r="146" spans="1:8">
      <c r="A146" s="2" t="s">
        <v>384</v>
      </c>
      <c r="B146" s="1" t="s">
        <v>314</v>
      </c>
      <c r="C146" s="1" t="s">
        <v>315</v>
      </c>
      <c r="D146" s="1" t="s">
        <v>419</v>
      </c>
      <c r="E146" s="201">
        <f>PlantByAcctByCounty!C483</f>
        <v>515205.6</v>
      </c>
      <c r="F146" s="201"/>
      <c r="G146" s="133"/>
      <c r="H146" s="201">
        <f t="shared" si="20"/>
        <v>515205.6</v>
      </c>
    </row>
    <row r="147" spans="1:8">
      <c r="A147" s="2">
        <v>38000</v>
      </c>
      <c r="B147" s="1" t="s">
        <v>370</v>
      </c>
      <c r="D147" s="1" t="s">
        <v>419</v>
      </c>
      <c r="E147" s="201"/>
      <c r="F147" s="201">
        <f t="shared" ref="F147:F153" si="33">E147*-1</f>
        <v>0</v>
      </c>
      <c r="G147" s="201">
        <f>Distribution!K40</f>
        <v>596633.29048493423</v>
      </c>
      <c r="H147" s="201">
        <f t="shared" si="20"/>
        <v>596633.29048493423</v>
      </c>
    </row>
    <row r="148" spans="1:8">
      <c r="A148" s="2">
        <v>38100</v>
      </c>
      <c r="B148" s="1" t="s">
        <v>216</v>
      </c>
      <c r="D148" s="1" t="s">
        <v>419</v>
      </c>
      <c r="E148" s="201"/>
      <c r="F148" s="201">
        <f t="shared" si="33"/>
        <v>0</v>
      </c>
      <c r="G148" s="133">
        <f>Meters!E28</f>
        <v>177627.09054005708</v>
      </c>
      <c r="H148" s="201">
        <f t="shared" si="20"/>
        <v>177627.09054005708</v>
      </c>
    </row>
    <row r="149" spans="1:8">
      <c r="A149" s="2">
        <v>38200</v>
      </c>
      <c r="B149" s="1" t="s">
        <v>217</v>
      </c>
      <c r="D149" s="1" t="s">
        <v>419</v>
      </c>
      <c r="E149" s="201"/>
      <c r="F149" s="201">
        <f t="shared" si="33"/>
        <v>0</v>
      </c>
      <c r="G149" s="201">
        <f>Distribution!K41</f>
        <v>84068.877565395378</v>
      </c>
      <c r="H149" s="201">
        <f t="shared" si="20"/>
        <v>84068.877565395378</v>
      </c>
    </row>
    <row r="150" spans="1:8">
      <c r="A150" s="2">
        <v>38300</v>
      </c>
      <c r="B150" s="1" t="s">
        <v>218</v>
      </c>
      <c r="D150" s="1" t="s">
        <v>419</v>
      </c>
      <c r="E150" s="201"/>
      <c r="F150" s="201">
        <f t="shared" si="33"/>
        <v>0</v>
      </c>
      <c r="G150" s="201">
        <f>Distribution!K42</f>
        <v>32981.794142259416</v>
      </c>
      <c r="H150" s="201">
        <f t="shared" si="20"/>
        <v>32981.794142259416</v>
      </c>
    </row>
    <row r="151" spans="1:8">
      <c r="A151" s="2">
        <v>38400</v>
      </c>
      <c r="B151" s="1" t="s">
        <v>317</v>
      </c>
      <c r="D151" s="1" t="s">
        <v>419</v>
      </c>
      <c r="E151" s="201"/>
      <c r="F151" s="201">
        <f t="shared" si="33"/>
        <v>0</v>
      </c>
      <c r="G151" s="201">
        <f>Distribution!K43</f>
        <v>28118.363324403239</v>
      </c>
      <c r="H151" s="201">
        <f t="shared" ref="H151:H155" si="34">E151+F151+G151</f>
        <v>28118.363324403239</v>
      </c>
    </row>
    <row r="152" spans="1:8">
      <c r="A152" s="2">
        <v>38500</v>
      </c>
      <c r="B152" s="1" t="s">
        <v>318</v>
      </c>
      <c r="D152" s="1" t="s">
        <v>419</v>
      </c>
      <c r="E152" s="201"/>
      <c r="F152" s="201">
        <f t="shared" si="33"/>
        <v>0</v>
      </c>
      <c r="G152" s="201">
        <f>Distribution!K44</f>
        <v>22352.632250684808</v>
      </c>
      <c r="H152" s="201">
        <f t="shared" si="34"/>
        <v>22352.632250684808</v>
      </c>
    </row>
    <row r="153" spans="1:8">
      <c r="A153" s="2">
        <v>38700</v>
      </c>
      <c r="B153" s="1" t="s">
        <v>319</v>
      </c>
      <c r="D153" s="1" t="s">
        <v>419</v>
      </c>
      <c r="E153" s="201">
        <f>PlantByAcctByCounty!C484</f>
        <v>21918.58</v>
      </c>
      <c r="F153" s="201">
        <f t="shared" si="33"/>
        <v>-21918.58</v>
      </c>
      <c r="G153" s="201">
        <f>Distribution!K45</f>
        <v>6713.4333824990208</v>
      </c>
      <c r="H153" s="201">
        <f t="shared" si="34"/>
        <v>6713.4333824990208</v>
      </c>
    </row>
    <row r="154" spans="1:8">
      <c r="A154" s="2" t="str">
        <f t="shared" si="31"/>
        <v>39101</v>
      </c>
      <c r="B154" s="1" t="str">
        <f t="shared" si="32"/>
        <v>Computer Equipment</v>
      </c>
      <c r="C154" s="1" t="s">
        <v>421</v>
      </c>
      <c r="D154" s="1" t="s">
        <v>419</v>
      </c>
      <c r="E154" s="201">
        <v>0</v>
      </c>
      <c r="F154" s="201"/>
      <c r="G154" s="133"/>
      <c r="H154" s="201">
        <f t="shared" si="34"/>
        <v>0</v>
      </c>
    </row>
    <row r="155" spans="1:8">
      <c r="A155" s="2" t="str">
        <f t="shared" si="31"/>
        <v>39400</v>
      </c>
      <c r="B155" s="1" t="str">
        <f t="shared" si="32"/>
        <v>Tools, Shop, &amp; Garage Equi</v>
      </c>
      <c r="C155" s="1" t="s">
        <v>422</v>
      </c>
      <c r="D155" s="1" t="s">
        <v>419</v>
      </c>
      <c r="E155" s="201">
        <f>PlantByAcctByCounty!C485</f>
        <v>1925.04</v>
      </c>
      <c r="F155" s="201"/>
      <c r="G155" s="133"/>
      <c r="H155" s="201">
        <f t="shared" si="34"/>
        <v>1925.04</v>
      </c>
    </row>
    <row r="156" spans="1:8">
      <c r="A156" s="2"/>
      <c r="D156" s="193" t="s">
        <v>423</v>
      </c>
      <c r="E156" s="203">
        <f>SUBTOTAL(9,E144:E155)</f>
        <v>7173558.8499999996</v>
      </c>
      <c r="F156" s="203">
        <f>SUBTOTAL(9,F144:F155)</f>
        <v>-21918.58</v>
      </c>
      <c r="G156" s="203">
        <f>SUBTOTAL(9,G144:G155)</f>
        <v>948495.48169023311</v>
      </c>
      <c r="H156" s="443">
        <f>SUBTOTAL(9,H144:H155)-2</f>
        <v>8100133.7516902322</v>
      </c>
    </row>
    <row r="157" spans="1:8">
      <c r="A157" s="2" t="str">
        <f t="shared" ref="A157:A170" si="35">LEFT(C157,5)</f>
        <v>37600</v>
      </c>
      <c r="B157" s="1" t="str">
        <f t="shared" ref="B157:B170" si="36">MID(C157,10,50)</f>
        <v>Mains - Steel</v>
      </c>
      <c r="C157" s="1" t="s">
        <v>424</v>
      </c>
      <c r="D157" s="1" t="s">
        <v>425</v>
      </c>
      <c r="E157" s="201">
        <f>PlantByAcctByCounty!C486</f>
        <v>1827460.77</v>
      </c>
      <c r="F157" s="201"/>
      <c r="G157" s="133"/>
      <c r="H157" s="201">
        <f t="shared" ref="H157:H170" si="37">E157+F157+G157</f>
        <v>1827460.77</v>
      </c>
    </row>
    <row r="158" spans="1:8">
      <c r="A158" s="2" t="str">
        <f t="shared" si="35"/>
        <v>37800</v>
      </c>
      <c r="B158" s="1" t="str">
        <f t="shared" si="36"/>
        <v>Regulator Stations - Measu</v>
      </c>
      <c r="C158" s="1" t="s">
        <v>426</v>
      </c>
      <c r="D158" s="1" t="s">
        <v>425</v>
      </c>
      <c r="E158" s="201">
        <f>PlantByAcctByCounty!C487</f>
        <v>22263.35</v>
      </c>
      <c r="F158" s="201"/>
      <c r="G158" s="133"/>
      <c r="H158" s="201">
        <f t="shared" si="37"/>
        <v>22263.35</v>
      </c>
    </row>
    <row r="159" spans="1:8">
      <c r="A159" s="2" t="str">
        <f t="shared" si="35"/>
        <v>37900</v>
      </c>
      <c r="B159" s="1" t="str">
        <f t="shared" si="36"/>
        <v>City Gate Stations - Measu</v>
      </c>
      <c r="C159" s="1" t="s">
        <v>427</v>
      </c>
      <c r="D159" s="1" t="s">
        <v>425</v>
      </c>
      <c r="E159" s="201">
        <f>PlantByAcctByCounty!C488</f>
        <v>41669.83</v>
      </c>
      <c r="F159" s="201"/>
      <c r="G159" s="133"/>
      <c r="H159" s="201">
        <f t="shared" si="37"/>
        <v>41669.83</v>
      </c>
    </row>
    <row r="160" spans="1:8">
      <c r="A160" s="2" t="str">
        <f t="shared" si="35"/>
        <v>38000</v>
      </c>
      <c r="B160" s="1" t="str">
        <f t="shared" si="36"/>
        <v>Services Lines - Steel</v>
      </c>
      <c r="C160" s="1" t="s">
        <v>428</v>
      </c>
      <c r="D160" s="1" t="s">
        <v>425</v>
      </c>
      <c r="E160" s="201">
        <f>PlantByAcctByCounty!C489</f>
        <v>558073.63</v>
      </c>
      <c r="F160" s="201">
        <f t="shared" ref="F160:F166" si="38">E160*-1</f>
        <v>-558073.63</v>
      </c>
      <c r="G160" s="133">
        <f>E160</f>
        <v>558073.63</v>
      </c>
      <c r="H160" s="201">
        <f t="shared" si="37"/>
        <v>558073.63</v>
      </c>
    </row>
    <row r="161" spans="1:8">
      <c r="A161" s="2">
        <v>38100</v>
      </c>
      <c r="B161" s="1" t="s">
        <v>216</v>
      </c>
      <c r="D161" s="1" t="s">
        <v>425</v>
      </c>
      <c r="E161" s="201">
        <v>0</v>
      </c>
      <c r="F161" s="201">
        <f t="shared" si="38"/>
        <v>0</v>
      </c>
      <c r="G161" s="133">
        <f>Meters!E29</f>
        <v>69172.088143002999</v>
      </c>
      <c r="H161" s="201">
        <f t="shared" si="37"/>
        <v>69172.088143002999</v>
      </c>
    </row>
    <row r="162" spans="1:8">
      <c r="A162" s="2" t="str">
        <f t="shared" si="35"/>
        <v>38200</v>
      </c>
      <c r="B162" s="1" t="str">
        <f t="shared" si="36"/>
        <v>Meter Installations</v>
      </c>
      <c r="C162" s="1" t="s">
        <v>429</v>
      </c>
      <c r="D162" s="1" t="s">
        <v>425</v>
      </c>
      <c r="E162" s="201">
        <f>PlantByAcctByCounty!C490</f>
        <v>57848.66</v>
      </c>
      <c r="F162" s="201">
        <f t="shared" si="38"/>
        <v>-57848.66</v>
      </c>
      <c r="G162" s="133">
        <f t="shared" ref="G162:G166" si="39">E162</f>
        <v>57848.66</v>
      </c>
      <c r="H162" s="201">
        <f t="shared" si="37"/>
        <v>57848.66</v>
      </c>
    </row>
    <row r="163" spans="1:8">
      <c r="A163" s="2" t="str">
        <f t="shared" si="35"/>
        <v>38300</v>
      </c>
      <c r="B163" s="1" t="str">
        <f t="shared" si="36"/>
        <v>House Regulators</v>
      </c>
      <c r="C163" s="1" t="s">
        <v>430</v>
      </c>
      <c r="D163" s="1" t="s">
        <v>425</v>
      </c>
      <c r="E163" s="201">
        <f>PlantByAcctByCounty!C491</f>
        <v>18197.650000000001</v>
      </c>
      <c r="F163" s="201">
        <f t="shared" si="38"/>
        <v>-18197.650000000001</v>
      </c>
      <c r="G163" s="133">
        <f t="shared" si="39"/>
        <v>18197.650000000001</v>
      </c>
      <c r="H163" s="201">
        <f t="shared" si="37"/>
        <v>18197.650000000001</v>
      </c>
    </row>
    <row r="164" spans="1:8">
      <c r="A164" s="2" t="str">
        <f t="shared" si="35"/>
        <v>38400</v>
      </c>
      <c r="B164" s="1" t="str">
        <f t="shared" si="36"/>
        <v>House Regulator Installati</v>
      </c>
      <c r="C164" s="1" t="s">
        <v>431</v>
      </c>
      <c r="D164" s="1" t="s">
        <v>425</v>
      </c>
      <c r="E164" s="201">
        <f>PlantByAcctByCounty!C492</f>
        <v>20187.18</v>
      </c>
      <c r="F164" s="201">
        <f t="shared" si="38"/>
        <v>-20187.18</v>
      </c>
      <c r="G164" s="133">
        <f t="shared" si="39"/>
        <v>20187.18</v>
      </c>
      <c r="H164" s="201">
        <f t="shared" si="37"/>
        <v>20187.18</v>
      </c>
    </row>
    <row r="165" spans="1:8">
      <c r="A165" s="2" t="str">
        <f t="shared" si="35"/>
        <v>38500</v>
      </c>
      <c r="B165" s="1" t="str">
        <f t="shared" si="36"/>
        <v>Industrial Customer Regula</v>
      </c>
      <c r="C165" s="1" t="s">
        <v>432</v>
      </c>
      <c r="D165" s="1" t="s">
        <v>425</v>
      </c>
      <c r="E165" s="201">
        <f>PlantByAcctByCounty!C493</f>
        <v>14883.51</v>
      </c>
      <c r="F165" s="201">
        <f t="shared" si="38"/>
        <v>-14883.51</v>
      </c>
      <c r="G165" s="133">
        <f t="shared" si="39"/>
        <v>14883.51</v>
      </c>
      <c r="H165" s="201">
        <f t="shared" si="37"/>
        <v>14883.51</v>
      </c>
    </row>
    <row r="166" spans="1:8">
      <c r="A166" s="2" t="str">
        <f t="shared" si="35"/>
        <v>38700</v>
      </c>
      <c r="B166" s="1" t="str">
        <f t="shared" si="36"/>
        <v>Other Equipment for Distri</v>
      </c>
      <c r="C166" s="1" t="s">
        <v>433</v>
      </c>
      <c r="D166" s="1" t="s">
        <v>425</v>
      </c>
      <c r="E166" s="201">
        <f>PlantByAcctByCounty!C494</f>
        <v>47165.2</v>
      </c>
      <c r="F166" s="201">
        <f t="shared" si="38"/>
        <v>-47165.2</v>
      </c>
      <c r="G166" s="133">
        <f t="shared" si="39"/>
        <v>47165.2</v>
      </c>
      <c r="H166" s="201">
        <f t="shared" si="37"/>
        <v>47165.2</v>
      </c>
    </row>
    <row r="167" spans="1:8">
      <c r="A167" s="2" t="str">
        <f t="shared" si="35"/>
        <v>39100</v>
      </c>
      <c r="B167" s="1" t="str">
        <f t="shared" si="36"/>
        <v>Office Furniture</v>
      </c>
      <c r="C167" s="1" t="s">
        <v>434</v>
      </c>
      <c r="D167" s="1" t="s">
        <v>425</v>
      </c>
      <c r="E167" s="201">
        <f>PlantByAcctByCounty!C495</f>
        <v>18983.22</v>
      </c>
      <c r="F167" s="201"/>
      <c r="G167" s="133"/>
      <c r="H167" s="201">
        <f t="shared" si="37"/>
        <v>18983.22</v>
      </c>
    </row>
    <row r="168" spans="1:8">
      <c r="A168" s="2" t="str">
        <f t="shared" si="35"/>
        <v>39400</v>
      </c>
      <c r="B168" s="1" t="str">
        <f t="shared" si="36"/>
        <v>Tools, Shop, &amp; Garage Equi</v>
      </c>
      <c r="C168" s="1" t="s">
        <v>435</v>
      </c>
      <c r="D168" s="1" t="s">
        <v>425</v>
      </c>
      <c r="E168" s="201">
        <f>PlantByAcctByCounty!C496</f>
        <v>41973.52</v>
      </c>
      <c r="F168" s="201"/>
      <c r="G168" s="133"/>
      <c r="H168" s="201">
        <f t="shared" si="37"/>
        <v>41973.52</v>
      </c>
    </row>
    <row r="169" spans="1:8">
      <c r="A169" s="2" t="str">
        <f t="shared" si="35"/>
        <v>39600</v>
      </c>
      <c r="B169" s="1" t="str">
        <f t="shared" si="36"/>
        <v>Power Operated Equipment-H</v>
      </c>
      <c r="C169" s="1" t="s">
        <v>436</v>
      </c>
      <c r="D169" s="1" t="s">
        <v>425</v>
      </c>
      <c r="E169" s="201">
        <f>PlantByAcctByCounty!C497</f>
        <v>83331.23</v>
      </c>
      <c r="F169" s="201"/>
      <c r="G169" s="133"/>
      <c r="H169" s="201">
        <f t="shared" si="37"/>
        <v>83331.23</v>
      </c>
    </row>
    <row r="170" spans="1:8">
      <c r="A170" s="2" t="str">
        <f t="shared" si="35"/>
        <v>39800</v>
      </c>
      <c r="B170" s="1" t="str">
        <f t="shared" si="36"/>
        <v>Misc Equipment-used for ga</v>
      </c>
      <c r="C170" s="1" t="s">
        <v>437</v>
      </c>
      <c r="D170" s="1" t="s">
        <v>425</v>
      </c>
      <c r="E170" s="201">
        <f>PlantByAcctByCounty!C498</f>
        <v>4155.2</v>
      </c>
      <c r="F170" s="201"/>
      <c r="G170" s="133"/>
      <c r="H170" s="201">
        <f t="shared" si="37"/>
        <v>4155.2</v>
      </c>
    </row>
    <row r="171" spans="1:8">
      <c r="A171" s="2"/>
      <c r="D171" s="193" t="s">
        <v>438</v>
      </c>
      <c r="E171" s="203">
        <f>SUBTOTAL(9,E157:E170)</f>
        <v>2756192.9500000007</v>
      </c>
      <c r="F171" s="203">
        <f>SUBTOTAL(9,F157:F170)</f>
        <v>-716355.83000000007</v>
      </c>
      <c r="G171" s="203">
        <f>SUBTOTAL(9,G157:G170)</f>
        <v>785527.91814300313</v>
      </c>
      <c r="H171" s="443">
        <f>SUBTOTAL(9,H157:H170)+12</f>
        <v>2825377.0381430038</v>
      </c>
    </row>
    <row r="172" spans="1:8">
      <c r="A172" s="2" t="s">
        <v>381</v>
      </c>
      <c r="B172" s="1" t="s">
        <v>311</v>
      </c>
      <c r="C172" s="1" t="s">
        <v>439</v>
      </c>
      <c r="D172" s="1" t="s">
        <v>243</v>
      </c>
      <c r="E172" s="201">
        <f>PlantByAcctByCounty!C499</f>
        <v>88154251.659999996</v>
      </c>
      <c r="F172" s="201"/>
      <c r="G172" s="133"/>
      <c r="H172" s="201">
        <f t="shared" ref="H172:H188" si="40">E172+F172+G172</f>
        <v>88154251.659999996</v>
      </c>
    </row>
    <row r="173" spans="1:8">
      <c r="A173" s="2" t="s">
        <v>383</v>
      </c>
      <c r="B173" s="1" t="s">
        <v>363</v>
      </c>
      <c r="C173" s="1" t="s">
        <v>440</v>
      </c>
      <c r="D173" s="1" t="s">
        <v>243</v>
      </c>
      <c r="E173" s="201">
        <f>PlantByAcctByCounty!C500</f>
        <v>871719.99</v>
      </c>
      <c r="F173" s="201"/>
      <c r="G173" s="133"/>
      <c r="H173" s="201">
        <f t="shared" si="40"/>
        <v>871719.99</v>
      </c>
    </row>
    <row r="174" spans="1:8">
      <c r="A174" s="2" t="s">
        <v>384</v>
      </c>
      <c r="B174" s="1" t="s">
        <v>314</v>
      </c>
      <c r="C174" s="1" t="s">
        <v>441</v>
      </c>
      <c r="D174" s="1" t="s">
        <v>243</v>
      </c>
      <c r="E174" s="201">
        <f>PlantByAcctByCounty!C501</f>
        <v>5724043.2800000003</v>
      </c>
      <c r="F174" s="201"/>
      <c r="G174" s="133"/>
      <c r="H174" s="201">
        <f t="shared" si="40"/>
        <v>5724043.2800000003</v>
      </c>
    </row>
    <row r="175" spans="1:8">
      <c r="A175" s="2" t="s">
        <v>385</v>
      </c>
      <c r="B175" s="1" t="s">
        <v>370</v>
      </c>
      <c r="C175" s="1" t="s">
        <v>442</v>
      </c>
      <c r="D175" s="1" t="s">
        <v>243</v>
      </c>
      <c r="E175" s="201">
        <f>PlantByAcctByCounty!C502</f>
        <v>44959630.25</v>
      </c>
      <c r="F175" s="201">
        <f t="shared" ref="F175:F181" si="41">E175*-1</f>
        <v>-44959630.25</v>
      </c>
      <c r="G175" s="133">
        <f>E175</f>
        <v>44959630.25</v>
      </c>
      <c r="H175" s="201">
        <f t="shared" si="40"/>
        <v>44959630.25</v>
      </c>
    </row>
    <row r="176" spans="1:8">
      <c r="A176" s="2" t="s">
        <v>443</v>
      </c>
      <c r="B176" s="1" t="s">
        <v>216</v>
      </c>
      <c r="C176" s="1" t="s">
        <v>444</v>
      </c>
      <c r="D176" s="1" t="s">
        <v>243</v>
      </c>
      <c r="E176" s="201">
        <f>PlantByAcctByCounty!C503</f>
        <v>57839393.549999997</v>
      </c>
      <c r="F176" s="201">
        <f t="shared" si="41"/>
        <v>-57839393.549999997</v>
      </c>
      <c r="G176" s="133">
        <f>Meters!E30</f>
        <v>9238829.0467147175</v>
      </c>
      <c r="H176" s="201">
        <f t="shared" si="40"/>
        <v>9238829.0467147175</v>
      </c>
    </row>
    <row r="177" spans="1:8">
      <c r="A177" s="2" t="s">
        <v>387</v>
      </c>
      <c r="B177" s="1" t="s">
        <v>217</v>
      </c>
      <c r="C177" s="1" t="s">
        <v>445</v>
      </c>
      <c r="D177" s="1" t="s">
        <v>243</v>
      </c>
      <c r="E177" s="201">
        <f>PlantByAcctByCounty!C504</f>
        <v>9061216.75</v>
      </c>
      <c r="F177" s="201">
        <f t="shared" si="41"/>
        <v>-9061216.75</v>
      </c>
      <c r="G177" s="133">
        <f t="shared" ref="G177:G181" si="42">E177</f>
        <v>9061216.75</v>
      </c>
      <c r="H177" s="201">
        <f t="shared" si="40"/>
        <v>9061216.75</v>
      </c>
    </row>
    <row r="178" spans="1:8">
      <c r="A178" s="2" t="s">
        <v>389</v>
      </c>
      <c r="B178" s="1" t="s">
        <v>218</v>
      </c>
      <c r="C178" s="1" t="s">
        <v>446</v>
      </c>
      <c r="D178" s="1" t="s">
        <v>243</v>
      </c>
      <c r="E178" s="201">
        <f>PlantByAcctByCounty!C505</f>
        <v>2310093.84</v>
      </c>
      <c r="F178" s="201">
        <f t="shared" si="41"/>
        <v>-2310093.84</v>
      </c>
      <c r="G178" s="133">
        <f t="shared" si="42"/>
        <v>2310093.84</v>
      </c>
      <c r="H178" s="201">
        <f t="shared" si="40"/>
        <v>2310093.84</v>
      </c>
    </row>
    <row r="179" spans="1:8">
      <c r="A179" s="2" t="s">
        <v>391</v>
      </c>
      <c r="B179" s="1" t="s">
        <v>317</v>
      </c>
      <c r="C179" s="1" t="s">
        <v>447</v>
      </c>
      <c r="D179" s="1" t="s">
        <v>243</v>
      </c>
      <c r="E179" s="201">
        <f>PlantByAcctByCounty!C506</f>
        <v>3550742.48</v>
      </c>
      <c r="F179" s="201">
        <f t="shared" si="41"/>
        <v>-3550742.48</v>
      </c>
      <c r="G179" s="133">
        <f t="shared" si="42"/>
        <v>3550742.48</v>
      </c>
      <c r="H179" s="201">
        <f t="shared" si="40"/>
        <v>3550742.48</v>
      </c>
    </row>
    <row r="180" spans="1:8">
      <c r="A180" s="2" t="s">
        <v>393</v>
      </c>
      <c r="B180" s="1" t="s">
        <v>318</v>
      </c>
      <c r="C180" s="1" t="s">
        <v>448</v>
      </c>
      <c r="D180" s="1" t="s">
        <v>243</v>
      </c>
      <c r="E180" s="201">
        <f>PlantByAcctByCounty!C507</f>
        <v>1064837.3500000001</v>
      </c>
      <c r="F180" s="201">
        <f t="shared" si="41"/>
        <v>-1064837.3500000001</v>
      </c>
      <c r="G180" s="133">
        <f t="shared" si="42"/>
        <v>1064837.3500000001</v>
      </c>
      <c r="H180" s="201">
        <f t="shared" si="40"/>
        <v>1064837.3500000001</v>
      </c>
    </row>
    <row r="181" spans="1:8">
      <c r="A181" s="2" t="s">
        <v>394</v>
      </c>
      <c r="B181" s="1" t="s">
        <v>319</v>
      </c>
      <c r="C181" s="1" t="s">
        <v>449</v>
      </c>
      <c r="D181" s="1" t="s">
        <v>243</v>
      </c>
      <c r="E181" s="201">
        <f>PlantByAcctByCounty!C508</f>
        <v>1110309.01</v>
      </c>
      <c r="F181" s="201">
        <f t="shared" si="41"/>
        <v>-1110309.01</v>
      </c>
      <c r="G181" s="133">
        <f t="shared" si="42"/>
        <v>1110309.01</v>
      </c>
      <c r="H181" s="201">
        <f t="shared" si="40"/>
        <v>1110309.01</v>
      </c>
    </row>
    <row r="182" spans="1:8">
      <c r="A182" s="2" t="s">
        <v>396</v>
      </c>
      <c r="B182" s="1" t="s">
        <v>397</v>
      </c>
      <c r="C182" s="1" t="s">
        <v>450</v>
      </c>
      <c r="D182" s="1" t="s">
        <v>243</v>
      </c>
      <c r="E182" s="201">
        <f>PlantByAcctByCounty!C509</f>
        <v>7426798.8200000003</v>
      </c>
      <c r="F182" s="201"/>
      <c r="G182" s="133"/>
      <c r="H182" s="201">
        <f t="shared" si="40"/>
        <v>7426798.8200000003</v>
      </c>
    </row>
    <row r="183" spans="1:8">
      <c r="A183" s="2" t="s">
        <v>451</v>
      </c>
      <c r="B183" s="1" t="s">
        <v>452</v>
      </c>
      <c r="C183" s="1" t="s">
        <v>453</v>
      </c>
      <c r="D183" s="1" t="s">
        <v>243</v>
      </c>
      <c r="E183" s="201">
        <v>0</v>
      </c>
      <c r="F183" s="201"/>
      <c r="G183" s="133"/>
      <c r="H183" s="201">
        <f t="shared" si="40"/>
        <v>0</v>
      </c>
    </row>
    <row r="184" spans="1:8">
      <c r="A184" s="2" t="s">
        <v>399</v>
      </c>
      <c r="B184" s="1" t="s">
        <v>400</v>
      </c>
      <c r="C184" s="1" t="s">
        <v>454</v>
      </c>
      <c r="D184" s="1" t="s">
        <v>243</v>
      </c>
      <c r="E184" s="201">
        <f>PlantByAcctByCounty!C510</f>
        <v>983956.6</v>
      </c>
      <c r="F184" s="201"/>
      <c r="G184" s="133"/>
      <c r="H184" s="201">
        <f t="shared" si="40"/>
        <v>983956.6</v>
      </c>
    </row>
    <row r="185" spans="1:8">
      <c r="A185" s="2" t="s">
        <v>455</v>
      </c>
      <c r="B185" s="1" t="s">
        <v>225</v>
      </c>
      <c r="C185" s="1" t="s">
        <v>377</v>
      </c>
      <c r="D185" s="1" t="s">
        <v>243</v>
      </c>
      <c r="E185" s="201">
        <f>PlantByAcctByCounty!C511</f>
        <v>29611.34</v>
      </c>
      <c r="F185" s="201"/>
      <c r="G185" s="133"/>
      <c r="H185" s="201">
        <f t="shared" si="40"/>
        <v>29611.34</v>
      </c>
    </row>
    <row r="186" spans="1:8">
      <c r="A186" s="2" t="s">
        <v>402</v>
      </c>
      <c r="B186" s="1" t="s">
        <v>403</v>
      </c>
      <c r="C186" s="1" t="s">
        <v>456</v>
      </c>
      <c r="D186" s="1" t="s">
        <v>243</v>
      </c>
      <c r="E186" s="201">
        <f>PlantByAcctByCounty!C512</f>
        <v>327760.89</v>
      </c>
      <c r="F186" s="201"/>
      <c r="G186" s="133"/>
      <c r="H186" s="201">
        <f t="shared" si="40"/>
        <v>327760.89</v>
      </c>
    </row>
    <row r="187" spans="1:8">
      <c r="A187" s="2" t="s">
        <v>405</v>
      </c>
      <c r="B187" s="1" t="s">
        <v>227</v>
      </c>
      <c r="C187" s="1" t="s">
        <v>457</v>
      </c>
      <c r="D187" s="1" t="s">
        <v>243</v>
      </c>
      <c r="E187" s="201">
        <f>PlantByAcctByCounty!C513</f>
        <v>4192101.35</v>
      </c>
      <c r="F187" s="201"/>
      <c r="G187" s="133"/>
      <c r="H187" s="201">
        <f t="shared" si="40"/>
        <v>4192101.35</v>
      </c>
    </row>
    <row r="188" spans="1:8">
      <c r="A188" s="2" t="s">
        <v>407</v>
      </c>
      <c r="B188" s="1" t="s">
        <v>408</v>
      </c>
      <c r="C188" s="1" t="s">
        <v>458</v>
      </c>
      <c r="D188" s="1" t="s">
        <v>243</v>
      </c>
      <c r="E188" s="201">
        <f>PlantByAcctByCounty!C514</f>
        <v>21044.04</v>
      </c>
      <c r="F188" s="201"/>
      <c r="G188" s="133"/>
      <c r="H188" s="201">
        <f t="shared" si="40"/>
        <v>21044.04</v>
      </c>
    </row>
    <row r="189" spans="1:8">
      <c r="A189" s="2"/>
      <c r="D189" s="193" t="s">
        <v>459</v>
      </c>
      <c r="E189" s="203">
        <f>SUM(E172:E188)</f>
        <v>227627511.19999996</v>
      </c>
      <c r="F189" s="203">
        <f>SUBTOTAL(9,F172:F188)</f>
        <v>-119896223.23</v>
      </c>
      <c r="G189" s="203">
        <f>SUBTOTAL(9,G172:G188)</f>
        <v>71295658.726714715</v>
      </c>
      <c r="H189" s="443">
        <f>SUBTOTAL(9,H172:H188)-142</f>
        <v>179026804.69671467</v>
      </c>
    </row>
    <row r="190" spans="1:8">
      <c r="A190" s="2" t="s">
        <v>381</v>
      </c>
      <c r="B190" s="1" t="str">
        <f>MID(C190,10,50)</f>
        <v>Mains - Steel</v>
      </c>
      <c r="C190" s="1" t="s">
        <v>439</v>
      </c>
      <c r="D190" s="1" t="s">
        <v>460</v>
      </c>
      <c r="E190" s="201">
        <f>PlantByAcctByCounty!C515</f>
        <v>699829.36</v>
      </c>
      <c r="F190" s="201"/>
      <c r="G190" s="133"/>
      <c r="H190" s="201">
        <f t="shared" ref="H190:H198" si="43">E190+F190+G190</f>
        <v>699829.36</v>
      </c>
    </row>
    <row r="191" spans="1:8">
      <c r="A191" s="2" t="str">
        <f>LEFT(C191,5)</f>
        <v>37900</v>
      </c>
      <c r="B191" s="1" t="str">
        <f>MID(C191,10,50)</f>
        <v>City Gate Stations - Measu</v>
      </c>
      <c r="C191" s="1" t="s">
        <v>461</v>
      </c>
      <c r="D191" s="1" t="s">
        <v>460</v>
      </c>
      <c r="E191" s="201">
        <v>0</v>
      </c>
      <c r="F191" s="201"/>
      <c r="G191" s="133"/>
      <c r="H191" s="201">
        <f t="shared" si="43"/>
        <v>0</v>
      </c>
    </row>
    <row r="192" spans="1:8">
      <c r="A192" s="2" t="s">
        <v>385</v>
      </c>
      <c r="B192" s="1" t="s">
        <v>370</v>
      </c>
      <c r="D192" s="1" t="s">
        <v>460</v>
      </c>
      <c r="E192" s="201">
        <v>0</v>
      </c>
      <c r="F192" s="201">
        <f t="shared" ref="F192:F198" si="44">E192*-1</f>
        <v>0</v>
      </c>
      <c r="G192" s="133">
        <v>0</v>
      </c>
      <c r="H192" s="201">
        <f t="shared" si="43"/>
        <v>0</v>
      </c>
    </row>
    <row r="193" spans="1:8">
      <c r="A193" s="2">
        <v>38100</v>
      </c>
      <c r="B193" s="1" t="s">
        <v>216</v>
      </c>
      <c r="D193" s="1" t="s">
        <v>460</v>
      </c>
      <c r="E193" s="201">
        <v>0</v>
      </c>
      <c r="F193" s="201">
        <f t="shared" si="44"/>
        <v>0</v>
      </c>
      <c r="G193" s="133">
        <f>Meters!E31</f>
        <v>170.79527936543948</v>
      </c>
      <c r="H193" s="201">
        <f t="shared" si="43"/>
        <v>170.79527936543948</v>
      </c>
    </row>
    <row r="194" spans="1:8">
      <c r="A194" s="2" t="s">
        <v>387</v>
      </c>
      <c r="B194" s="1" t="s">
        <v>217</v>
      </c>
      <c r="D194" s="1" t="s">
        <v>460</v>
      </c>
      <c r="E194" s="201">
        <v>0</v>
      </c>
      <c r="F194" s="201">
        <f t="shared" si="44"/>
        <v>0</v>
      </c>
      <c r="G194" s="133">
        <v>0</v>
      </c>
      <c r="H194" s="201">
        <f t="shared" si="43"/>
        <v>0</v>
      </c>
    </row>
    <row r="195" spans="1:8">
      <c r="A195" s="2" t="s">
        <v>389</v>
      </c>
      <c r="B195" s="1" t="s">
        <v>218</v>
      </c>
      <c r="D195" s="1" t="s">
        <v>460</v>
      </c>
      <c r="E195" s="201">
        <v>0</v>
      </c>
      <c r="F195" s="201">
        <f t="shared" si="44"/>
        <v>0</v>
      </c>
      <c r="G195" s="133">
        <v>0</v>
      </c>
      <c r="H195" s="201">
        <f t="shared" si="43"/>
        <v>0</v>
      </c>
    </row>
    <row r="196" spans="1:8">
      <c r="A196" s="2" t="s">
        <v>391</v>
      </c>
      <c r="B196" s="1" t="s">
        <v>317</v>
      </c>
      <c r="D196" s="1" t="s">
        <v>460</v>
      </c>
      <c r="E196" s="201">
        <v>0</v>
      </c>
      <c r="F196" s="201">
        <f t="shared" si="44"/>
        <v>0</v>
      </c>
      <c r="G196" s="133">
        <v>0</v>
      </c>
      <c r="H196" s="201">
        <f t="shared" si="43"/>
        <v>0</v>
      </c>
    </row>
    <row r="197" spans="1:8">
      <c r="A197" s="2" t="s">
        <v>393</v>
      </c>
      <c r="B197" s="1" t="s">
        <v>318</v>
      </c>
      <c r="D197" s="1" t="s">
        <v>460</v>
      </c>
      <c r="E197" s="201">
        <v>0</v>
      </c>
      <c r="F197" s="201">
        <f t="shared" si="44"/>
        <v>0</v>
      </c>
      <c r="G197" s="133">
        <v>0</v>
      </c>
      <c r="H197" s="201">
        <f t="shared" si="43"/>
        <v>0</v>
      </c>
    </row>
    <row r="198" spans="1:8">
      <c r="A198" s="2" t="s">
        <v>394</v>
      </c>
      <c r="B198" s="1" t="s">
        <v>319</v>
      </c>
      <c r="D198" s="1" t="s">
        <v>460</v>
      </c>
      <c r="E198" s="201">
        <v>0</v>
      </c>
      <c r="F198" s="201">
        <f t="shared" si="44"/>
        <v>0</v>
      </c>
      <c r="G198" s="133">
        <v>0</v>
      </c>
      <c r="H198" s="201">
        <f t="shared" si="43"/>
        <v>0</v>
      </c>
    </row>
    <row r="199" spans="1:8">
      <c r="A199" s="2"/>
      <c r="D199" s="193" t="s">
        <v>462</v>
      </c>
      <c r="E199" s="203">
        <f>SUBTOTAL(9,E190:E198)</f>
        <v>699829.36</v>
      </c>
      <c r="F199" s="203">
        <f>SUBTOTAL(9,F190:F198)</f>
        <v>0</v>
      </c>
      <c r="G199" s="203">
        <f>SUBTOTAL(9,G190:G198)</f>
        <v>170.79527936543948</v>
      </c>
      <c r="H199" s="203">
        <f>SUBTOTAL(9,H190:H198)</f>
        <v>700000.15527936537</v>
      </c>
    </row>
    <row r="200" spans="1:8">
      <c r="A200" s="2" t="str">
        <f>LEFT(C200,5)</f>
        <v>37602</v>
      </c>
      <c r="B200" s="1" t="str">
        <f>MID(C200,10,50)</f>
        <v>Mains - Plastic</v>
      </c>
      <c r="C200" s="1" t="s">
        <v>463</v>
      </c>
      <c r="D200" s="1" t="s">
        <v>464</v>
      </c>
      <c r="E200" s="201">
        <f>PlantByAcctByCounty!C516</f>
        <v>67041.58</v>
      </c>
      <c r="F200" s="201"/>
      <c r="G200" s="133"/>
      <c r="H200" s="201">
        <f t="shared" ref="H200:H208" si="45">E200+F200+G200</f>
        <v>67041.58</v>
      </c>
    </row>
    <row r="201" spans="1:8">
      <c r="A201" s="2" t="str">
        <f>LEFT(C201,5)</f>
        <v>37900</v>
      </c>
      <c r="B201" s="1" t="str">
        <f>MID(C201,10,50)</f>
        <v>City Gate Stations - Measu</v>
      </c>
      <c r="C201" s="1" t="s">
        <v>461</v>
      </c>
      <c r="D201" s="1" t="s">
        <v>464</v>
      </c>
      <c r="E201" s="201">
        <f>PlantByAcctByCounty!C517</f>
        <v>61449.15</v>
      </c>
      <c r="F201" s="201"/>
      <c r="G201" s="133"/>
      <c r="H201" s="201">
        <f t="shared" si="45"/>
        <v>61449.15</v>
      </c>
    </row>
    <row r="202" spans="1:8">
      <c r="A202" s="2" t="s">
        <v>385</v>
      </c>
      <c r="B202" s="1" t="s">
        <v>370</v>
      </c>
      <c r="D202" s="1" t="s">
        <v>464</v>
      </c>
      <c r="E202" s="201"/>
      <c r="F202" s="201">
        <f t="shared" ref="F202:F208" si="46">E202*-1</f>
        <v>0</v>
      </c>
      <c r="G202" s="133">
        <f>Distribution!N107</f>
        <v>473.53150379385858</v>
      </c>
      <c r="H202" s="201">
        <f t="shared" si="45"/>
        <v>473.53150379385858</v>
      </c>
    </row>
    <row r="203" spans="1:8">
      <c r="A203" s="2">
        <v>38100</v>
      </c>
      <c r="B203" s="1" t="s">
        <v>216</v>
      </c>
      <c r="D203" s="1" t="s">
        <v>464</v>
      </c>
      <c r="E203" s="201"/>
      <c r="F203" s="201">
        <f t="shared" si="46"/>
        <v>0</v>
      </c>
      <c r="G203" s="133">
        <f>Meters!E32</f>
        <v>170.79527936543948</v>
      </c>
      <c r="H203" s="201">
        <f t="shared" si="45"/>
        <v>170.79527936543948</v>
      </c>
    </row>
    <row r="204" spans="1:8">
      <c r="A204" s="2" t="s">
        <v>387</v>
      </c>
      <c r="B204" s="1" t="s">
        <v>217</v>
      </c>
      <c r="D204" s="1" t="s">
        <v>464</v>
      </c>
      <c r="E204" s="201"/>
      <c r="F204" s="201">
        <f t="shared" si="46"/>
        <v>0</v>
      </c>
      <c r="G204" s="133">
        <f>Distribution!N108</f>
        <v>140.59135916891583</v>
      </c>
      <c r="H204" s="201">
        <f t="shared" si="45"/>
        <v>140.59135916891583</v>
      </c>
    </row>
    <row r="205" spans="1:8">
      <c r="A205" s="2" t="s">
        <v>389</v>
      </c>
      <c r="B205" s="1" t="s">
        <v>218</v>
      </c>
      <c r="D205" s="1" t="s">
        <v>464</v>
      </c>
      <c r="E205" s="201"/>
      <c r="F205" s="201">
        <f t="shared" si="46"/>
        <v>0</v>
      </c>
      <c r="G205" s="133">
        <f>Distribution!N109</f>
        <v>19.512606559046699</v>
      </c>
      <c r="H205" s="201">
        <f t="shared" si="45"/>
        <v>19.512606559046699</v>
      </c>
    </row>
    <row r="206" spans="1:8">
      <c r="A206" s="2" t="s">
        <v>391</v>
      </c>
      <c r="B206" s="1" t="s">
        <v>317</v>
      </c>
      <c r="D206" s="1" t="s">
        <v>464</v>
      </c>
      <c r="E206" s="201"/>
      <c r="F206" s="201">
        <f t="shared" si="46"/>
        <v>0</v>
      </c>
      <c r="G206" s="133">
        <f>Distribution!N110</f>
        <v>60.706857972195351</v>
      </c>
      <c r="H206" s="201">
        <f t="shared" si="45"/>
        <v>60.706857972195351</v>
      </c>
    </row>
    <row r="207" spans="1:8">
      <c r="A207" s="2" t="s">
        <v>393</v>
      </c>
      <c r="B207" s="1" t="s">
        <v>318</v>
      </c>
      <c r="D207" s="1" t="s">
        <v>464</v>
      </c>
      <c r="E207" s="201"/>
      <c r="F207" s="201">
        <f t="shared" si="46"/>
        <v>0</v>
      </c>
      <c r="G207" s="133">
        <f>Distribution!N111</f>
        <v>3.8688885776849831</v>
      </c>
      <c r="H207" s="201">
        <f t="shared" si="45"/>
        <v>3.8688885776849831</v>
      </c>
    </row>
    <row r="208" spans="1:8">
      <c r="A208" s="2" t="s">
        <v>394</v>
      </c>
      <c r="B208" s="1" t="s">
        <v>319</v>
      </c>
      <c r="D208" s="1" t="s">
        <v>464</v>
      </c>
      <c r="E208" s="201"/>
      <c r="F208" s="201">
        <f t="shared" si="46"/>
        <v>0</v>
      </c>
      <c r="G208" s="133">
        <f>Distribution!N112</f>
        <v>5.1552248306767838</v>
      </c>
      <c r="H208" s="201">
        <f t="shared" si="45"/>
        <v>5.1552248306767838</v>
      </c>
    </row>
    <row r="209" spans="1:8">
      <c r="A209" s="2"/>
      <c r="D209" s="193" t="s">
        <v>462</v>
      </c>
      <c r="E209" s="203">
        <f>SUBTOTAL(9,E200:E208)</f>
        <v>128490.73000000001</v>
      </c>
      <c r="F209" s="203">
        <f>SUBTOTAL(9,F200:F208)</f>
        <v>0</v>
      </c>
      <c r="G209" s="203">
        <f>SUBTOTAL(9,G200:G208)</f>
        <v>874.16172026781771</v>
      </c>
      <c r="H209" s="203">
        <f>SUBTOTAL(9,H200:H208)</f>
        <v>129364.89172026783</v>
      </c>
    </row>
    <row r="210" spans="1:8">
      <c r="A210" s="2" t="str">
        <f t="shared" ref="A210:A225" si="47">LEFT(C210,5)</f>
        <v>37600</v>
      </c>
      <c r="B210" s="1" t="str">
        <f t="shared" ref="B210:B225" si="48">MID(C210,10,50)</f>
        <v>Mains - Steel</v>
      </c>
      <c r="C210" s="1" t="s">
        <v>465</v>
      </c>
      <c r="D210" s="1" t="s">
        <v>466</v>
      </c>
      <c r="E210" s="201">
        <f>PlantByAcctByCounty!C518</f>
        <v>17518604.640000001</v>
      </c>
      <c r="F210" s="201"/>
      <c r="G210" s="133"/>
      <c r="H210" s="201">
        <f t="shared" ref="H210:H225" si="49">E210+F210+G210</f>
        <v>17518604.640000001</v>
      </c>
    </row>
    <row r="211" spans="1:8">
      <c r="A211" s="2" t="str">
        <f t="shared" si="47"/>
        <v>37800</v>
      </c>
      <c r="B211" s="1" t="str">
        <f t="shared" si="48"/>
        <v>Regulator Stations - Measu</v>
      </c>
      <c r="C211" s="1" t="s">
        <v>467</v>
      </c>
      <c r="D211" s="1" t="s">
        <v>466</v>
      </c>
      <c r="E211" s="201">
        <f>PlantByAcctByCounty!C519</f>
        <v>127641.77</v>
      </c>
      <c r="F211" s="201"/>
      <c r="G211" s="133"/>
      <c r="H211" s="201">
        <f t="shared" si="49"/>
        <v>127641.77</v>
      </c>
    </row>
    <row r="212" spans="1:8">
      <c r="A212" s="2" t="str">
        <f t="shared" si="47"/>
        <v>37900</v>
      </c>
      <c r="B212" s="1" t="str">
        <f t="shared" si="48"/>
        <v>City Gate Stations - Measu</v>
      </c>
      <c r="C212" s="1" t="s">
        <v>468</v>
      </c>
      <c r="D212" s="1" t="s">
        <v>466</v>
      </c>
      <c r="E212" s="201">
        <f>PlantByAcctByCounty!C520</f>
        <v>817921.21</v>
      </c>
      <c r="F212" s="201"/>
      <c r="G212" s="133"/>
      <c r="H212" s="201">
        <f t="shared" si="49"/>
        <v>817921.21</v>
      </c>
    </row>
    <row r="213" spans="1:8">
      <c r="A213" s="2" t="str">
        <f t="shared" si="47"/>
        <v>38000</v>
      </c>
      <c r="B213" s="1" t="str">
        <f t="shared" si="48"/>
        <v>Services Lines - Steel</v>
      </c>
      <c r="C213" s="1" t="s">
        <v>469</v>
      </c>
      <c r="D213" s="1" t="s">
        <v>466</v>
      </c>
      <c r="E213" s="201">
        <f>PlantByAcctByCounty!C521</f>
        <v>4064919.31</v>
      </c>
      <c r="F213" s="201">
        <f t="shared" ref="F213:F219" si="50">E213*-1</f>
        <v>-4064919.31</v>
      </c>
      <c r="G213" s="133">
        <f>E213</f>
        <v>4064919.31</v>
      </c>
      <c r="H213" s="201">
        <f t="shared" si="49"/>
        <v>4064919.31</v>
      </c>
    </row>
    <row r="214" spans="1:8">
      <c r="A214" s="2">
        <v>38100</v>
      </c>
      <c r="B214" s="1" t="s">
        <v>216</v>
      </c>
      <c r="D214" s="1" t="s">
        <v>466</v>
      </c>
      <c r="E214" s="201">
        <v>0</v>
      </c>
      <c r="F214" s="201">
        <f t="shared" si="50"/>
        <v>0</v>
      </c>
      <c r="G214" s="133">
        <f>Meters!E33</f>
        <v>1324858.982037714</v>
      </c>
      <c r="H214" s="201">
        <f t="shared" si="49"/>
        <v>1324858.982037714</v>
      </c>
    </row>
    <row r="215" spans="1:8">
      <c r="A215" s="2" t="str">
        <f t="shared" si="47"/>
        <v>38200</v>
      </c>
      <c r="B215" s="1" t="str">
        <f t="shared" si="48"/>
        <v>Meter Installations</v>
      </c>
      <c r="C215" s="1" t="s">
        <v>470</v>
      </c>
      <c r="D215" s="1" t="s">
        <v>466</v>
      </c>
      <c r="E215" s="201">
        <f>PlantByAcctByCounty!C522</f>
        <v>607851.9</v>
      </c>
      <c r="F215" s="201">
        <f t="shared" si="50"/>
        <v>-607851.9</v>
      </c>
      <c r="G215" s="133">
        <f t="shared" ref="G215:G219" si="51">E215</f>
        <v>607851.9</v>
      </c>
      <c r="H215" s="201">
        <f t="shared" si="49"/>
        <v>607851.9</v>
      </c>
    </row>
    <row r="216" spans="1:8">
      <c r="A216" s="2" t="str">
        <f t="shared" si="47"/>
        <v>38300</v>
      </c>
      <c r="B216" s="1" t="str">
        <f t="shared" si="48"/>
        <v>House Regulators</v>
      </c>
      <c r="C216" s="1" t="s">
        <v>471</v>
      </c>
      <c r="D216" s="1" t="s">
        <v>466</v>
      </c>
      <c r="E216" s="201">
        <f>PlantByAcctByCounty!C523</f>
        <v>277682.24</v>
      </c>
      <c r="F216" s="201">
        <f t="shared" si="50"/>
        <v>-277682.24</v>
      </c>
      <c r="G216" s="133">
        <f t="shared" si="51"/>
        <v>277682.24</v>
      </c>
      <c r="H216" s="201">
        <f t="shared" si="49"/>
        <v>277682.24</v>
      </c>
    </row>
    <row r="217" spans="1:8">
      <c r="A217" s="2" t="str">
        <f t="shared" si="47"/>
        <v>38400</v>
      </c>
      <c r="B217" s="1" t="str">
        <f t="shared" si="48"/>
        <v>House Regulator Installati</v>
      </c>
      <c r="C217" s="1" t="s">
        <v>472</v>
      </c>
      <c r="D217" s="1" t="s">
        <v>466</v>
      </c>
      <c r="E217" s="201">
        <f>PlantByAcctByCounty!C524</f>
        <v>274034.49</v>
      </c>
      <c r="F217" s="201">
        <f t="shared" si="50"/>
        <v>-274034.49</v>
      </c>
      <c r="G217" s="133">
        <f t="shared" si="51"/>
        <v>274034.49</v>
      </c>
      <c r="H217" s="201">
        <f t="shared" si="49"/>
        <v>274034.49</v>
      </c>
    </row>
    <row r="218" spans="1:8">
      <c r="A218" s="2" t="str">
        <f t="shared" si="47"/>
        <v>38500</v>
      </c>
      <c r="B218" s="1" t="str">
        <f t="shared" si="48"/>
        <v>Industrial Customer Regula</v>
      </c>
      <c r="C218" s="1" t="s">
        <v>473</v>
      </c>
      <c r="D218" s="1" t="s">
        <v>466</v>
      </c>
      <c r="E218" s="201">
        <f>PlantByAcctByCounty!C525</f>
        <v>229473.9</v>
      </c>
      <c r="F218" s="201">
        <f t="shared" si="50"/>
        <v>-229473.9</v>
      </c>
      <c r="G218" s="133">
        <f t="shared" si="51"/>
        <v>229473.9</v>
      </c>
      <c r="H218" s="201">
        <f t="shared" si="49"/>
        <v>229473.9</v>
      </c>
    </row>
    <row r="219" spans="1:8">
      <c r="A219" s="2" t="str">
        <f t="shared" si="47"/>
        <v>38700</v>
      </c>
      <c r="B219" s="1" t="str">
        <f t="shared" si="48"/>
        <v>Other Equipment for Distri</v>
      </c>
      <c r="C219" s="1" t="s">
        <v>474</v>
      </c>
      <c r="D219" s="1" t="s">
        <v>466</v>
      </c>
      <c r="E219" s="201">
        <f>PlantByAcctByCounty!C526</f>
        <v>192309.35</v>
      </c>
      <c r="F219" s="201">
        <f t="shared" si="50"/>
        <v>-192309.35</v>
      </c>
      <c r="G219" s="133">
        <f t="shared" si="51"/>
        <v>192309.35</v>
      </c>
      <c r="H219" s="201">
        <f t="shared" si="49"/>
        <v>192309.35</v>
      </c>
    </row>
    <row r="220" spans="1:8">
      <c r="A220" s="2" t="str">
        <f t="shared" si="47"/>
        <v>39100</v>
      </c>
      <c r="B220" s="1" t="str">
        <f t="shared" si="48"/>
        <v>Office Furniture</v>
      </c>
      <c r="C220" s="1" t="s">
        <v>475</v>
      </c>
      <c r="D220" s="1" t="s">
        <v>466</v>
      </c>
      <c r="E220" s="201">
        <f>PlantByAcctByCounty!C527</f>
        <v>74708.25</v>
      </c>
      <c r="F220" s="201"/>
      <c r="G220" s="133"/>
      <c r="H220" s="201">
        <f t="shared" si="49"/>
        <v>74708.25</v>
      </c>
    </row>
    <row r="221" spans="1:8">
      <c r="A221" s="2" t="str">
        <f t="shared" si="47"/>
        <v>39300</v>
      </c>
      <c r="B221" s="1" t="str">
        <f t="shared" si="48"/>
        <v>Stores Equipment</v>
      </c>
      <c r="C221" s="1" t="s">
        <v>476</v>
      </c>
      <c r="D221" s="1" t="s">
        <v>466</v>
      </c>
      <c r="E221" s="201">
        <f>PlantByAcctByCounty!C528</f>
        <v>1655.93</v>
      </c>
      <c r="F221" s="201"/>
      <c r="G221" s="133"/>
      <c r="H221" s="201">
        <f t="shared" si="49"/>
        <v>1655.93</v>
      </c>
    </row>
    <row r="222" spans="1:8">
      <c r="A222" s="2" t="str">
        <f t="shared" si="47"/>
        <v>39400</v>
      </c>
      <c r="B222" s="1" t="str">
        <f t="shared" si="48"/>
        <v>Tools, Shop, &amp; Garage Equi</v>
      </c>
      <c r="C222" s="1" t="s">
        <v>477</v>
      </c>
      <c r="D222" s="1" t="s">
        <v>466</v>
      </c>
      <c r="E222" s="201">
        <f>PlantByAcctByCounty!C529</f>
        <v>100517.69</v>
      </c>
      <c r="F222" s="201"/>
      <c r="G222" s="133"/>
      <c r="H222" s="201">
        <f t="shared" si="49"/>
        <v>100517.69</v>
      </c>
    </row>
    <row r="223" spans="1:8">
      <c r="A223" s="2" t="str">
        <f t="shared" si="47"/>
        <v>39600</v>
      </c>
      <c r="B223" s="1" t="str">
        <f t="shared" si="48"/>
        <v>Power Operated Equipment-H</v>
      </c>
      <c r="C223" s="1" t="s">
        <v>478</v>
      </c>
      <c r="D223" s="1" t="s">
        <v>466</v>
      </c>
      <c r="E223" s="201">
        <f>PlantByAcctByCounty!C530</f>
        <v>86702.18</v>
      </c>
      <c r="F223" s="201"/>
      <c r="G223" s="133"/>
      <c r="H223" s="201">
        <f t="shared" si="49"/>
        <v>86702.18</v>
      </c>
    </row>
    <row r="224" spans="1:8">
      <c r="A224" s="2" t="str">
        <f t="shared" si="47"/>
        <v>39700</v>
      </c>
      <c r="B224" s="1" t="str">
        <f t="shared" si="48"/>
        <v>Communication Equipment</v>
      </c>
      <c r="C224" s="1" t="s">
        <v>479</v>
      </c>
      <c r="D224" s="1" t="s">
        <v>466</v>
      </c>
      <c r="E224" s="201">
        <f>PlantByAcctByCounty!C531</f>
        <v>72830.759999999995</v>
      </c>
      <c r="F224" s="201"/>
      <c r="G224" s="133"/>
      <c r="H224" s="201">
        <f t="shared" si="49"/>
        <v>72830.759999999995</v>
      </c>
    </row>
    <row r="225" spans="1:8">
      <c r="A225" s="2" t="str">
        <f t="shared" si="47"/>
        <v>39800</v>
      </c>
      <c r="B225" s="1" t="str">
        <f t="shared" si="48"/>
        <v>Misc Equipment-used for ga</v>
      </c>
      <c r="C225" s="1" t="s">
        <v>480</v>
      </c>
      <c r="D225" s="1" t="s">
        <v>466</v>
      </c>
      <c r="E225" s="201">
        <f>PlantByAcctByCounty!C532</f>
        <v>4277.41</v>
      </c>
      <c r="F225" s="201"/>
      <c r="G225" s="133"/>
      <c r="H225" s="201">
        <f t="shared" si="49"/>
        <v>4277.41</v>
      </c>
    </row>
    <row r="226" spans="1:8">
      <c r="A226" s="2"/>
      <c r="D226" s="193" t="s">
        <v>481</v>
      </c>
      <c r="E226" s="203">
        <f>SUBTOTAL(9,E210:E225)</f>
        <v>24451131.029999997</v>
      </c>
      <c r="F226" s="203">
        <f>SUBTOTAL(9,F210:F225)</f>
        <v>-5646271.1900000004</v>
      </c>
      <c r="G226" s="203">
        <f>SUBTOTAL(9,G210:G225)</f>
        <v>6971130.1720377151</v>
      </c>
      <c r="H226" s="443">
        <f>SUBTOTAL(9,H210:H225)-14</f>
        <v>25775976.012037713</v>
      </c>
    </row>
    <row r="227" spans="1:8">
      <c r="A227" s="2" t="str">
        <f t="shared" ref="A227:A242" si="52">LEFT(C227,5)</f>
        <v>37600</v>
      </c>
      <c r="B227" s="1" t="str">
        <f t="shared" ref="B227:B242" si="53">MID(C227,10,50)</f>
        <v>Mains - Steel</v>
      </c>
      <c r="C227" s="1" t="s">
        <v>354</v>
      </c>
      <c r="D227" s="1" t="s">
        <v>482</v>
      </c>
      <c r="E227" s="201">
        <f>PlantByAcctByCounty!C533</f>
        <v>44552518</v>
      </c>
      <c r="F227" s="201"/>
      <c r="G227" s="133"/>
      <c r="H227" s="201">
        <f t="shared" ref="H227:H242" si="54">E227+F227+G227</f>
        <v>44552518</v>
      </c>
    </row>
    <row r="228" spans="1:8">
      <c r="A228" s="2" t="str">
        <f t="shared" si="52"/>
        <v>37800</v>
      </c>
      <c r="B228" s="1" t="str">
        <f t="shared" si="53"/>
        <v>Regulator Stations - Measu</v>
      </c>
      <c r="C228" s="1" t="s">
        <v>356</v>
      </c>
      <c r="D228" s="1" t="s">
        <v>482</v>
      </c>
      <c r="E228" s="201">
        <f>PlantByAcctByCounty!C534</f>
        <v>957471.96</v>
      </c>
      <c r="F228" s="201"/>
      <c r="G228" s="133"/>
      <c r="H228" s="201">
        <f t="shared" si="54"/>
        <v>957471.96</v>
      </c>
    </row>
    <row r="229" spans="1:8">
      <c r="A229" s="2" t="str">
        <f t="shared" si="52"/>
        <v>37900</v>
      </c>
      <c r="B229" s="1" t="str">
        <f t="shared" si="53"/>
        <v>City Gate Stations - Measu</v>
      </c>
      <c r="C229" s="1" t="s">
        <v>483</v>
      </c>
      <c r="D229" s="1" t="s">
        <v>482</v>
      </c>
      <c r="E229" s="201">
        <f>PlantByAcctByCounty!C535</f>
        <v>411469.49</v>
      </c>
      <c r="F229" s="201"/>
      <c r="G229" s="133"/>
      <c r="H229" s="201">
        <f t="shared" si="54"/>
        <v>411469.49</v>
      </c>
    </row>
    <row r="230" spans="1:8">
      <c r="A230" s="2" t="str">
        <f t="shared" si="52"/>
        <v>38000</v>
      </c>
      <c r="B230" s="1" t="str">
        <f t="shared" si="53"/>
        <v>Services Lines - Steel</v>
      </c>
      <c r="C230" s="1" t="s">
        <v>484</v>
      </c>
      <c r="D230" s="1" t="s">
        <v>482</v>
      </c>
      <c r="E230" s="201">
        <f>PlantByAcctByCounty!C536</f>
        <v>13870908.109999999</v>
      </c>
      <c r="F230" s="201">
        <f t="shared" ref="F230:F236" si="55">E230*-1</f>
        <v>-13870908.109999999</v>
      </c>
      <c r="G230" s="201">
        <f>Distribution!L118</f>
        <v>7519122.9867383307</v>
      </c>
      <c r="H230" s="201">
        <f t="shared" si="54"/>
        <v>7519122.9867383307</v>
      </c>
    </row>
    <row r="231" spans="1:8">
      <c r="A231" s="2">
        <v>38100</v>
      </c>
      <c r="B231" s="1" t="s">
        <v>216</v>
      </c>
      <c r="D231" s="1" t="s">
        <v>482</v>
      </c>
      <c r="E231" s="201"/>
      <c r="F231" s="201">
        <f t="shared" si="55"/>
        <v>0</v>
      </c>
      <c r="G231" s="133">
        <f>Meters!E34</f>
        <v>805299.74220804707</v>
      </c>
      <c r="H231" s="201">
        <f t="shared" si="54"/>
        <v>805299.74220804707</v>
      </c>
    </row>
    <row r="232" spans="1:8">
      <c r="A232" s="2" t="str">
        <f t="shared" si="52"/>
        <v>38200</v>
      </c>
      <c r="B232" s="1" t="str">
        <f t="shared" si="53"/>
        <v>Meter Installations</v>
      </c>
      <c r="C232" s="1" t="s">
        <v>358</v>
      </c>
      <c r="D232" s="1" t="s">
        <v>482</v>
      </c>
      <c r="E232" s="201">
        <f>PlantByAcctByCounty!C537</f>
        <v>2244885.9300000002</v>
      </c>
      <c r="F232" s="201">
        <f t="shared" si="55"/>
        <v>-2244885.9300000002</v>
      </c>
      <c r="G232" s="201">
        <f>Distribution!L119</f>
        <v>1216904.709122787</v>
      </c>
      <c r="H232" s="201">
        <f t="shared" si="54"/>
        <v>1216904.709122787</v>
      </c>
    </row>
    <row r="233" spans="1:8">
      <c r="A233" s="2" t="str">
        <f t="shared" si="52"/>
        <v>38300</v>
      </c>
      <c r="B233" s="1" t="str">
        <f t="shared" si="53"/>
        <v>House Regulators</v>
      </c>
      <c r="C233" s="1" t="s">
        <v>359</v>
      </c>
      <c r="D233" s="1" t="s">
        <v>482</v>
      </c>
      <c r="E233" s="201">
        <f>PlantByAcctByCounty!C538</f>
        <v>349142.49</v>
      </c>
      <c r="F233" s="201">
        <f t="shared" si="55"/>
        <v>-349142.49</v>
      </c>
      <c r="G233" s="201">
        <f>Distribution!L120</f>
        <v>189262.68571510693</v>
      </c>
      <c r="H233" s="201">
        <f t="shared" si="54"/>
        <v>189262.68571510693</v>
      </c>
    </row>
    <row r="234" spans="1:8">
      <c r="A234" s="2" t="str">
        <f t="shared" si="52"/>
        <v>38400</v>
      </c>
      <c r="B234" s="1" t="str">
        <f t="shared" si="53"/>
        <v>House Regulator Installati</v>
      </c>
      <c r="C234" s="1" t="s">
        <v>360</v>
      </c>
      <c r="D234" s="1" t="s">
        <v>482</v>
      </c>
      <c r="E234" s="201">
        <f>PlantByAcctByCounty!C539</f>
        <v>1040798.62</v>
      </c>
      <c r="F234" s="201">
        <f t="shared" si="55"/>
        <v>-1040798.62</v>
      </c>
      <c r="G234" s="201">
        <f>Distribution!L121</f>
        <v>564194.69916072662</v>
      </c>
      <c r="H234" s="201">
        <f t="shared" si="54"/>
        <v>564194.69916072662</v>
      </c>
    </row>
    <row r="235" spans="1:8">
      <c r="A235" s="2" t="str">
        <f t="shared" si="52"/>
        <v>38500</v>
      </c>
      <c r="B235" s="1" t="str">
        <f t="shared" si="53"/>
        <v>Industrial Customer Regula</v>
      </c>
      <c r="C235" s="1" t="s">
        <v>485</v>
      </c>
      <c r="D235" s="1" t="s">
        <v>482</v>
      </c>
      <c r="E235" s="201">
        <f>PlantByAcctByCounty!C540</f>
        <v>74186.12</v>
      </c>
      <c r="F235" s="201">
        <f t="shared" si="55"/>
        <v>-74186.12</v>
      </c>
      <c r="G235" s="201">
        <f>Distribution!L122</f>
        <v>40214.710945044841</v>
      </c>
      <c r="H235" s="201">
        <f t="shared" si="54"/>
        <v>40214.710945044841</v>
      </c>
    </row>
    <row r="236" spans="1:8">
      <c r="A236" s="2" t="str">
        <f t="shared" si="52"/>
        <v>38700</v>
      </c>
      <c r="B236" s="1" t="str">
        <f t="shared" si="53"/>
        <v>Other Equipment for Distri</v>
      </c>
      <c r="C236" s="1" t="s">
        <v>486</v>
      </c>
      <c r="D236" s="1" t="s">
        <v>482</v>
      </c>
      <c r="E236" s="201">
        <f>PlantByAcctByCounty!C541</f>
        <v>224882.31</v>
      </c>
      <c r="F236" s="201">
        <f t="shared" si="55"/>
        <v>-224882.31</v>
      </c>
      <c r="G236" s="201">
        <f>Distribution!L123</f>
        <v>121903.89648769834</v>
      </c>
      <c r="H236" s="201">
        <f t="shared" si="54"/>
        <v>121903.89648769834</v>
      </c>
    </row>
    <row r="237" spans="1:8">
      <c r="A237" s="2" t="str">
        <f t="shared" si="52"/>
        <v>39100</v>
      </c>
      <c r="B237" s="1" t="str">
        <f t="shared" si="53"/>
        <v>Office Furniture</v>
      </c>
      <c r="C237" s="1" t="s">
        <v>487</v>
      </c>
      <c r="D237" s="1" t="s">
        <v>482</v>
      </c>
      <c r="E237" s="201">
        <f>PlantByAcctByCounty!C542</f>
        <v>264427.19</v>
      </c>
      <c r="F237" s="201"/>
      <c r="G237" s="133"/>
      <c r="H237" s="201">
        <f t="shared" si="54"/>
        <v>264427.19</v>
      </c>
    </row>
    <row r="238" spans="1:8">
      <c r="A238" s="2" t="str">
        <f t="shared" si="52"/>
        <v>39300</v>
      </c>
      <c r="B238" s="1" t="str">
        <f t="shared" si="53"/>
        <v>Stores Equipment</v>
      </c>
      <c r="C238" s="1" t="s">
        <v>488</v>
      </c>
      <c r="D238" s="1" t="s">
        <v>482</v>
      </c>
      <c r="E238" s="201">
        <f>PlantByAcctByCounty!C543</f>
        <v>4361.8500000000004</v>
      </c>
      <c r="F238" s="201"/>
      <c r="G238" s="133"/>
      <c r="H238" s="201">
        <f t="shared" si="54"/>
        <v>4361.8500000000004</v>
      </c>
    </row>
    <row r="239" spans="1:8">
      <c r="A239" s="2" t="str">
        <f t="shared" si="52"/>
        <v>39400</v>
      </c>
      <c r="B239" s="1" t="str">
        <f t="shared" si="53"/>
        <v>Tools, Shop, &amp; Garage Equi</v>
      </c>
      <c r="C239" s="1" t="s">
        <v>489</v>
      </c>
      <c r="D239" s="1" t="s">
        <v>482</v>
      </c>
      <c r="E239" s="201">
        <f>PlantByAcctByCounty!C544</f>
        <v>177621.22</v>
      </c>
      <c r="F239" s="201"/>
      <c r="G239" s="133"/>
      <c r="H239" s="201">
        <f t="shared" si="54"/>
        <v>177621.22</v>
      </c>
    </row>
    <row r="240" spans="1:8">
      <c r="A240" s="2" t="str">
        <f t="shared" si="52"/>
        <v>39600</v>
      </c>
      <c r="B240" s="1" t="str">
        <f t="shared" si="53"/>
        <v>Power Operated Equipment-H</v>
      </c>
      <c r="C240" s="1" t="s">
        <v>490</v>
      </c>
      <c r="D240" s="1" t="s">
        <v>482</v>
      </c>
      <c r="E240" s="201">
        <f>PlantByAcctByCounty!C545</f>
        <v>13016.98</v>
      </c>
      <c r="F240" s="201"/>
      <c r="G240" s="133"/>
      <c r="H240" s="201">
        <f t="shared" si="54"/>
        <v>13016.98</v>
      </c>
    </row>
    <row r="241" spans="1:18">
      <c r="A241" s="2" t="str">
        <f t="shared" si="52"/>
        <v>39700</v>
      </c>
      <c r="B241" s="1" t="str">
        <f t="shared" si="53"/>
        <v>Communication Equipment</v>
      </c>
      <c r="C241" s="1" t="s">
        <v>491</v>
      </c>
      <c r="D241" s="1" t="s">
        <v>482</v>
      </c>
      <c r="E241" s="201">
        <f>PlantByAcctByCounty!C546</f>
        <v>310455.21999999997</v>
      </c>
      <c r="F241" s="201"/>
      <c r="G241" s="133"/>
      <c r="H241" s="201">
        <f t="shared" si="54"/>
        <v>310455.21999999997</v>
      </c>
    </row>
    <row r="242" spans="1:18">
      <c r="A242" s="2" t="str">
        <f t="shared" si="52"/>
        <v>39800</v>
      </c>
      <c r="B242" s="1" t="str">
        <f t="shared" si="53"/>
        <v>Misc Equipment-used for ga</v>
      </c>
      <c r="C242" s="1" t="s">
        <v>492</v>
      </c>
      <c r="D242" s="1" t="s">
        <v>482</v>
      </c>
      <c r="E242" s="201">
        <f>PlantByAcctByCounty!C547</f>
        <v>4414.4799999999996</v>
      </c>
      <c r="F242" s="201"/>
      <c r="G242" s="133"/>
      <c r="H242" s="201">
        <f t="shared" si="54"/>
        <v>4414.4799999999996</v>
      </c>
    </row>
    <row r="243" spans="1:18">
      <c r="A243" s="2"/>
      <c r="B243" s="133"/>
      <c r="D243" s="193" t="s">
        <v>493</v>
      </c>
      <c r="E243" s="203">
        <f>SUBTOTAL(9,E227:E242)</f>
        <v>64500559.969999991</v>
      </c>
      <c r="F243" s="203">
        <f>SUBTOTAL(9,F227:F242)</f>
        <v>-17804803.579999998</v>
      </c>
      <c r="G243" s="203">
        <f>SUBTOTAL(9,G227:G242)</f>
        <v>10456903.430377742</v>
      </c>
      <c r="H243" s="443">
        <f>SUBTOTAL(9,H227:H242)-22</f>
        <v>57152637.820377737</v>
      </c>
    </row>
    <row r="244" spans="1:18">
      <c r="A244" s="2">
        <v>37600</v>
      </c>
      <c r="B244" s="1" t="s">
        <v>311</v>
      </c>
      <c r="D244" s="1" t="s">
        <v>494</v>
      </c>
      <c r="E244" s="201">
        <f>PlantByAcctByCounty!C548</f>
        <v>288957.90000000002</v>
      </c>
      <c r="F244" s="205"/>
      <c r="G244" s="205"/>
      <c r="H244" s="201">
        <f t="shared" ref="H244:H245" si="56">E244+F244+G244</f>
        <v>288957.90000000002</v>
      </c>
    </row>
    <row r="245" spans="1:18">
      <c r="A245" s="2">
        <v>37800</v>
      </c>
      <c r="B245" s="1" t="s">
        <v>363</v>
      </c>
      <c r="D245" s="1" t="s">
        <v>494</v>
      </c>
      <c r="E245" s="201">
        <f>PlantByAcctByCounty!C549</f>
        <v>2859.66</v>
      </c>
      <c r="F245" s="205"/>
      <c r="G245" s="205"/>
      <c r="H245" s="201">
        <f t="shared" si="56"/>
        <v>2859.66</v>
      </c>
    </row>
    <row r="246" spans="1:18">
      <c r="A246" s="2"/>
      <c r="D246" s="193" t="s">
        <v>495</v>
      </c>
      <c r="E246" s="203">
        <f>SUM(E244:E245)</f>
        <v>291817.56</v>
      </c>
      <c r="F246" s="203">
        <f>SUM(F244:F245)</f>
        <v>0</v>
      </c>
      <c r="G246" s="203">
        <f>SUM(G244:G245)</f>
        <v>0</v>
      </c>
      <c r="H246" s="443">
        <v>315382</v>
      </c>
      <c r="I246" s="444" t="s">
        <v>1175</v>
      </c>
      <c r="J246" s="444"/>
      <c r="K246" s="444"/>
      <c r="L246" s="444"/>
      <c r="M246" s="444"/>
      <c r="N246" s="444" t="s">
        <v>1177</v>
      </c>
      <c r="O246" s="444"/>
      <c r="P246" s="444"/>
      <c r="Q246" s="444"/>
      <c r="R246" s="444"/>
    </row>
    <row r="247" spans="1:18">
      <c r="A247" s="2" t="str">
        <f>LEFT(C247,5)</f>
        <v>37602</v>
      </c>
      <c r="B247" s="1" t="str">
        <f>MID(C247,10,50)</f>
        <v>Mains - Plastic</v>
      </c>
      <c r="C247" s="1" t="s">
        <v>463</v>
      </c>
      <c r="D247" s="1" t="s">
        <v>496</v>
      </c>
      <c r="E247" s="201">
        <f>PlantByAcctByCounty!C550+PlantByAcctByCounty!C552</f>
        <v>478340.14</v>
      </c>
      <c r="F247" s="201"/>
      <c r="G247" s="133"/>
      <c r="H247" s="201">
        <f t="shared" ref="H247:H255" si="57">E247+F247+G247</f>
        <v>478340.14</v>
      </c>
    </row>
    <row r="248" spans="1:18">
      <c r="A248" s="2" t="str">
        <f>LEFT(C248,5)</f>
        <v>37900</v>
      </c>
      <c r="B248" s="1" t="str">
        <f>MID(C248,10,50)</f>
        <v>City Gate Stations - Measu</v>
      </c>
      <c r="C248" s="1" t="s">
        <v>461</v>
      </c>
      <c r="D248" s="1" t="s">
        <v>496</v>
      </c>
      <c r="E248" s="201">
        <f>PlantByAcctByCounty!C551</f>
        <v>23564.93</v>
      </c>
      <c r="F248" s="201"/>
      <c r="G248" s="133"/>
      <c r="H248" s="201">
        <f t="shared" si="57"/>
        <v>23564.93</v>
      </c>
    </row>
    <row r="249" spans="1:18">
      <c r="A249" s="2">
        <v>38002</v>
      </c>
      <c r="B249" s="1" t="s">
        <v>365</v>
      </c>
      <c r="D249" s="1" t="s">
        <v>496</v>
      </c>
      <c r="E249" s="201"/>
      <c r="F249" s="201">
        <f t="shared" ref="F249:F255" si="58">E249*-1</f>
        <v>0</v>
      </c>
      <c r="G249" s="201">
        <f>Distribution!M107</f>
        <v>1420.5945113815756</v>
      </c>
      <c r="H249" s="201">
        <f t="shared" si="57"/>
        <v>1420.5945113815756</v>
      </c>
    </row>
    <row r="250" spans="1:18">
      <c r="A250" s="2">
        <v>38100</v>
      </c>
      <c r="B250" s="1" t="s">
        <v>216</v>
      </c>
      <c r="C250" s="1" t="s">
        <v>461</v>
      </c>
      <c r="D250" s="1" t="s">
        <v>496</v>
      </c>
      <c r="E250" s="201"/>
      <c r="F250" s="201">
        <f t="shared" si="58"/>
        <v>0</v>
      </c>
      <c r="G250" s="133">
        <f>Meters!E36</f>
        <v>512.38583809631837</v>
      </c>
      <c r="H250" s="201">
        <f t="shared" si="57"/>
        <v>512.38583809631837</v>
      </c>
    </row>
    <row r="251" spans="1:18">
      <c r="A251" s="2">
        <v>38200</v>
      </c>
      <c r="B251" s="1" t="s">
        <v>217</v>
      </c>
      <c r="D251" s="1" t="s">
        <v>496</v>
      </c>
      <c r="E251" s="201"/>
      <c r="F251" s="201">
        <f t="shared" si="58"/>
        <v>0</v>
      </c>
      <c r="G251" s="201">
        <f>Distribution!M108</f>
        <v>421.77407750674746</v>
      </c>
      <c r="H251" s="201">
        <f t="shared" si="57"/>
        <v>421.77407750674746</v>
      </c>
    </row>
    <row r="252" spans="1:18">
      <c r="A252" s="2">
        <v>38300</v>
      </c>
      <c r="B252" s="1" t="s">
        <v>218</v>
      </c>
      <c r="D252" s="1" t="s">
        <v>496</v>
      </c>
      <c r="E252" s="201"/>
      <c r="F252" s="201">
        <f t="shared" si="58"/>
        <v>0</v>
      </c>
      <c r="G252" s="201">
        <f>Distribution!M109</f>
        <v>58.537819677140092</v>
      </c>
      <c r="H252" s="201">
        <f t="shared" si="57"/>
        <v>58.537819677140092</v>
      </c>
    </row>
    <row r="253" spans="1:18">
      <c r="A253" s="2">
        <v>38400</v>
      </c>
      <c r="B253" s="1" t="s">
        <v>317</v>
      </c>
      <c r="D253" s="1" t="s">
        <v>496</v>
      </c>
      <c r="E253" s="201"/>
      <c r="F253" s="201">
        <f t="shared" si="58"/>
        <v>0</v>
      </c>
      <c r="G253" s="201">
        <f>Distribution!M110</f>
        <v>182.12057391658604</v>
      </c>
      <c r="H253" s="201">
        <f t="shared" si="57"/>
        <v>182.12057391658604</v>
      </c>
    </row>
    <row r="254" spans="1:18">
      <c r="A254" s="2">
        <v>38500</v>
      </c>
      <c r="B254" s="1" t="s">
        <v>318</v>
      </c>
      <c r="D254" s="1" t="s">
        <v>496</v>
      </c>
      <c r="E254" s="201"/>
      <c r="F254" s="201">
        <f t="shared" si="58"/>
        <v>0</v>
      </c>
      <c r="G254" s="201">
        <f>Distribution!M111</f>
        <v>11.606665733054948</v>
      </c>
      <c r="H254" s="201">
        <f t="shared" si="57"/>
        <v>11.606665733054948</v>
      </c>
    </row>
    <row r="255" spans="1:18">
      <c r="A255" s="2">
        <v>38700</v>
      </c>
      <c r="B255" s="1" t="s">
        <v>319</v>
      </c>
      <c r="D255" s="1" t="s">
        <v>496</v>
      </c>
      <c r="E255" s="201"/>
      <c r="F255" s="201">
        <f t="shared" si="58"/>
        <v>0</v>
      </c>
      <c r="G255" s="201">
        <f>Distribution!M112</f>
        <v>15.465674492030349</v>
      </c>
      <c r="H255" s="201">
        <f t="shared" si="57"/>
        <v>15.465674492030349</v>
      </c>
    </row>
    <row r="256" spans="1:18">
      <c r="A256" s="2"/>
      <c r="D256" s="193" t="s">
        <v>497</v>
      </c>
      <c r="E256" s="203">
        <f>SUBTOTAL(9,E247:E255)</f>
        <v>501905.07</v>
      </c>
      <c r="F256" s="203">
        <f>SUBTOTAL(9,F247:F255)</f>
        <v>0</v>
      </c>
      <c r="G256" s="203">
        <f>SUBTOTAL(9,G247:G255)</f>
        <v>2622.4851608034528</v>
      </c>
      <c r="H256" s="443">
        <v>605156</v>
      </c>
      <c r="I256" s="444" t="s">
        <v>1174</v>
      </c>
      <c r="J256" s="444"/>
      <c r="K256" s="444"/>
      <c r="L256" s="444"/>
      <c r="M256" s="444"/>
    </row>
    <row r="257" spans="1:13">
      <c r="A257" s="2">
        <v>37602</v>
      </c>
      <c r="B257" s="1" t="s">
        <v>498</v>
      </c>
      <c r="D257" s="1" t="s">
        <v>499</v>
      </c>
      <c r="E257" s="201">
        <f>PlantByAcctByCounty!C553</f>
        <v>277460.74</v>
      </c>
      <c r="F257" s="205"/>
      <c r="G257" s="205"/>
      <c r="H257" s="201">
        <f t="shared" ref="H257:H265" si="59">E257+F257+G257</f>
        <v>277460.74</v>
      </c>
    </row>
    <row r="258" spans="1:13">
      <c r="A258" s="2">
        <v>37900</v>
      </c>
      <c r="B258" s="1" t="s">
        <v>314</v>
      </c>
      <c r="D258" s="1" t="s">
        <v>499</v>
      </c>
      <c r="E258" s="201"/>
      <c r="F258" s="205"/>
      <c r="G258" s="205"/>
      <c r="H258" s="201">
        <f t="shared" si="59"/>
        <v>0</v>
      </c>
    </row>
    <row r="259" spans="1:13">
      <c r="A259" s="2" t="s">
        <v>385</v>
      </c>
      <c r="B259" s="1" t="s">
        <v>370</v>
      </c>
      <c r="D259" s="1" t="s">
        <v>499</v>
      </c>
      <c r="E259" s="201"/>
      <c r="F259" s="201">
        <f t="shared" ref="F259:F265" si="60">E259*-1</f>
        <v>0</v>
      </c>
      <c r="G259" s="201">
        <f>Distribution!K130</f>
        <v>546.74210643274853</v>
      </c>
      <c r="H259" s="201">
        <f t="shared" si="59"/>
        <v>546.74210643274853</v>
      </c>
    </row>
    <row r="260" spans="1:13">
      <c r="A260" s="2">
        <v>38100</v>
      </c>
      <c r="B260" s="1" t="s">
        <v>216</v>
      </c>
      <c r="D260" s="1" t="s">
        <v>499</v>
      </c>
      <c r="E260" s="205"/>
      <c r="F260" s="201">
        <f t="shared" si="60"/>
        <v>0</v>
      </c>
      <c r="G260" s="133">
        <f>Meters!E37</f>
        <v>170.79527936543948</v>
      </c>
      <c r="H260" s="201">
        <f t="shared" si="59"/>
        <v>170.79527936543948</v>
      </c>
    </row>
    <row r="261" spans="1:13">
      <c r="A261" s="2" t="s">
        <v>387</v>
      </c>
      <c r="B261" s="1" t="s">
        <v>217</v>
      </c>
      <c r="D261" s="1" t="s">
        <v>499</v>
      </c>
      <c r="E261" s="205"/>
      <c r="F261" s="201">
        <f t="shared" si="60"/>
        <v>0</v>
      </c>
      <c r="G261" s="201">
        <f>Distribution!K131</f>
        <v>116.86903274853802</v>
      </c>
      <c r="H261" s="201">
        <f t="shared" si="59"/>
        <v>116.86903274853802</v>
      </c>
    </row>
    <row r="262" spans="1:13">
      <c r="A262" s="2" t="s">
        <v>389</v>
      </c>
      <c r="B262" s="137" t="s">
        <v>218</v>
      </c>
      <c r="D262" s="1" t="s">
        <v>499</v>
      </c>
      <c r="E262" s="205"/>
      <c r="F262" s="201">
        <f t="shared" ref="F262" si="61">E262*-1</f>
        <v>0</v>
      </c>
      <c r="G262" s="201">
        <f>Distribution!K132</f>
        <v>59.021766666666664</v>
      </c>
      <c r="H262" s="201">
        <f t="shared" ref="H262" si="62">E262+F262+G262</f>
        <v>59.021766666666664</v>
      </c>
    </row>
    <row r="263" spans="1:13">
      <c r="A263" s="2" t="s">
        <v>391</v>
      </c>
      <c r="B263" s="137" t="s">
        <v>317</v>
      </c>
      <c r="D263" s="1" t="s">
        <v>499</v>
      </c>
      <c r="E263" s="205"/>
      <c r="F263" s="201">
        <f t="shared" si="60"/>
        <v>0</v>
      </c>
      <c r="G263" s="201">
        <f>Distribution!K133</f>
        <v>60.094895906432747</v>
      </c>
      <c r="H263" s="201">
        <f t="shared" si="59"/>
        <v>60.094895906432747</v>
      </c>
    </row>
    <row r="264" spans="1:13">
      <c r="A264" s="2" t="s">
        <v>393</v>
      </c>
      <c r="B264" s="1" t="s">
        <v>318</v>
      </c>
      <c r="D264" s="1" t="s">
        <v>499</v>
      </c>
      <c r="E264" s="205"/>
      <c r="F264" s="201">
        <f t="shared" si="60"/>
        <v>0</v>
      </c>
      <c r="G264" s="201">
        <f>Distribution!K134</f>
        <v>4.1367912280701757</v>
      </c>
      <c r="H264" s="201">
        <f t="shared" si="59"/>
        <v>4.1367912280701757</v>
      </c>
    </row>
    <row r="265" spans="1:13">
      <c r="A265" s="2" t="s">
        <v>394</v>
      </c>
      <c r="B265" s="1" t="s">
        <v>319</v>
      </c>
      <c r="D265" s="1" t="s">
        <v>499</v>
      </c>
      <c r="E265" s="205"/>
      <c r="F265" s="201">
        <f t="shared" si="60"/>
        <v>0</v>
      </c>
      <c r="G265" s="201">
        <f>Distribution!K135</f>
        <v>7.6975479532163753</v>
      </c>
      <c r="H265" s="201">
        <f t="shared" si="59"/>
        <v>7.6975479532163753</v>
      </c>
    </row>
    <row r="266" spans="1:13">
      <c r="A266" s="2"/>
      <c r="D266" s="193" t="s">
        <v>500</v>
      </c>
      <c r="E266" s="203">
        <f>SUM(E257:E265)</f>
        <v>277460.74</v>
      </c>
      <c r="F266" s="203">
        <f>SUM(F257:F265)</f>
        <v>0</v>
      </c>
      <c r="G266" s="203">
        <f>SUM(G257:G265)</f>
        <v>965.3574203011118</v>
      </c>
      <c r="H266" s="443">
        <v>154232</v>
      </c>
      <c r="I266" s="444" t="s">
        <v>1176</v>
      </c>
      <c r="J266" s="444"/>
      <c r="K266" s="444"/>
      <c r="L266" s="444"/>
      <c r="M266" s="444"/>
    </row>
    <row r="267" spans="1:13">
      <c r="A267" s="2" t="str">
        <f t="shared" ref="A267:A277" si="63">LEFT(C267,5)</f>
        <v>37600</v>
      </c>
      <c r="B267" s="1" t="str">
        <f t="shared" ref="B267:B277" si="64">MID(C267,10,50)</f>
        <v>Mains - Steel</v>
      </c>
      <c r="C267" s="1" t="s">
        <v>439</v>
      </c>
      <c r="D267" s="1" t="s">
        <v>501</v>
      </c>
      <c r="E267" s="201">
        <f>PlantByAcctByCounty!C554</f>
        <v>28739927.809999999</v>
      </c>
      <c r="F267" s="201"/>
      <c r="G267" s="133"/>
      <c r="H267" s="201">
        <f t="shared" ref="H267:H277" si="65">E267+F267+G267</f>
        <v>28739927.809999999</v>
      </c>
    </row>
    <row r="268" spans="1:13">
      <c r="A268" s="2" t="str">
        <f t="shared" si="63"/>
        <v>37800</v>
      </c>
      <c r="B268" s="1" t="str">
        <f t="shared" si="64"/>
        <v>Regulator Stations - Measu</v>
      </c>
      <c r="C268" s="1" t="s">
        <v>502</v>
      </c>
      <c r="D268" s="1" t="s">
        <v>501</v>
      </c>
      <c r="E268" s="201">
        <f>PlantByAcctByCounty!C555</f>
        <v>385287.08</v>
      </c>
      <c r="F268" s="201"/>
      <c r="G268" s="133"/>
      <c r="H268" s="201">
        <f t="shared" si="65"/>
        <v>385287.08</v>
      </c>
    </row>
    <row r="269" spans="1:13">
      <c r="A269" s="2" t="str">
        <f t="shared" si="63"/>
        <v>37900</v>
      </c>
      <c r="B269" s="1" t="str">
        <f t="shared" si="64"/>
        <v>City Gate Stations - Measu</v>
      </c>
      <c r="C269" s="1" t="s">
        <v>503</v>
      </c>
      <c r="D269" s="1" t="s">
        <v>501</v>
      </c>
      <c r="E269" s="201">
        <f>PlantByAcctByCounty!C556</f>
        <v>2274534.81</v>
      </c>
      <c r="F269" s="201"/>
      <c r="G269" s="133"/>
      <c r="H269" s="201">
        <f t="shared" si="65"/>
        <v>2274534.81</v>
      </c>
    </row>
    <row r="270" spans="1:13">
      <c r="A270" s="2" t="str">
        <f t="shared" si="63"/>
        <v>38000</v>
      </c>
      <c r="B270" s="1" t="str">
        <f t="shared" si="64"/>
        <v>Services Lines - Steel</v>
      </c>
      <c r="C270" s="1" t="s">
        <v>504</v>
      </c>
      <c r="D270" s="1" t="s">
        <v>501</v>
      </c>
      <c r="E270" s="201">
        <f>PlantByAcctByCounty!C557</f>
        <v>624770.04</v>
      </c>
      <c r="F270" s="201">
        <f t="shared" ref="F270:F276" si="66">E270*-1</f>
        <v>-624770.04</v>
      </c>
      <c r="G270" s="201">
        <f>Distribution!L90</f>
        <v>15480983.259602575</v>
      </c>
      <c r="H270" s="201">
        <f t="shared" si="65"/>
        <v>15480983.259602575</v>
      </c>
    </row>
    <row r="271" spans="1:13">
      <c r="A271" s="2">
        <v>38100</v>
      </c>
      <c r="B271" s="1" t="s">
        <v>216</v>
      </c>
      <c r="D271" s="1" t="s">
        <v>501</v>
      </c>
      <c r="E271" s="201">
        <v>0</v>
      </c>
      <c r="F271" s="201">
        <f t="shared" si="66"/>
        <v>0</v>
      </c>
      <c r="G271" s="133">
        <f>Meters!E38</f>
        <v>3254162.4577497183</v>
      </c>
      <c r="H271" s="201">
        <f t="shared" si="65"/>
        <v>3254162.4577497183</v>
      </c>
    </row>
    <row r="272" spans="1:13">
      <c r="A272" s="2" t="str">
        <f t="shared" si="63"/>
        <v>38200</v>
      </c>
      <c r="B272" s="1" t="str">
        <f t="shared" si="64"/>
        <v>Meter Installations</v>
      </c>
      <c r="C272" s="1" t="s">
        <v>505</v>
      </c>
      <c r="D272" s="1" t="s">
        <v>501</v>
      </c>
      <c r="E272" s="201">
        <f>PlantByAcctByCounty!C558</f>
        <v>7033.79</v>
      </c>
      <c r="F272" s="201">
        <f t="shared" si="66"/>
        <v>-7033.79</v>
      </c>
      <c r="G272" s="201">
        <f>Distribution!L91</f>
        <v>2574548.2194802631</v>
      </c>
      <c r="H272" s="201">
        <f t="shared" si="65"/>
        <v>2574548.2194802631</v>
      </c>
    </row>
    <row r="273" spans="1:8">
      <c r="A273" s="2">
        <v>38300</v>
      </c>
      <c r="B273" s="1" t="s">
        <v>218</v>
      </c>
      <c r="D273" s="1" t="s">
        <v>501</v>
      </c>
      <c r="E273" s="201">
        <v>0</v>
      </c>
      <c r="F273" s="201">
        <f t="shared" si="66"/>
        <v>0</v>
      </c>
      <c r="G273" s="201">
        <f>Distribution!L92</f>
        <v>413875.79491823609</v>
      </c>
      <c r="H273" s="201">
        <f t="shared" si="65"/>
        <v>413875.79491823609</v>
      </c>
    </row>
    <row r="274" spans="1:8">
      <c r="A274" s="2" t="str">
        <f t="shared" si="63"/>
        <v>38400</v>
      </c>
      <c r="B274" s="1" t="str">
        <f t="shared" si="64"/>
        <v>House Regulator Installati</v>
      </c>
      <c r="C274" s="1" t="s">
        <v>506</v>
      </c>
      <c r="D274" s="1" t="s">
        <v>501</v>
      </c>
      <c r="E274" s="201">
        <f>PlantByAcctByCounty!C559</f>
        <v>16806.03</v>
      </c>
      <c r="F274" s="201">
        <f t="shared" si="66"/>
        <v>-16806.03</v>
      </c>
      <c r="G274" s="201">
        <f>Distribution!L93</f>
        <v>1124243.2448800351</v>
      </c>
      <c r="H274" s="201">
        <f t="shared" si="65"/>
        <v>1124243.2448800351</v>
      </c>
    </row>
    <row r="275" spans="1:8">
      <c r="A275" s="2" t="str">
        <f t="shared" si="63"/>
        <v>38500</v>
      </c>
      <c r="B275" s="1" t="str">
        <f t="shared" si="64"/>
        <v>Industrial Customer Regula</v>
      </c>
      <c r="C275" s="1" t="s">
        <v>507</v>
      </c>
      <c r="D275" s="1" t="s">
        <v>501</v>
      </c>
      <c r="E275" s="201">
        <f>PlantByAcctByCounty!C560</f>
        <v>74398.990000000005</v>
      </c>
      <c r="F275" s="201">
        <f t="shared" si="66"/>
        <v>-74398.990000000005</v>
      </c>
      <c r="G275" s="201">
        <f>Distribution!L94</f>
        <v>234169.43378225321</v>
      </c>
      <c r="H275" s="201">
        <f t="shared" si="65"/>
        <v>234169.43378225321</v>
      </c>
    </row>
    <row r="276" spans="1:8">
      <c r="A276" s="2" t="str">
        <f t="shared" si="63"/>
        <v>38700</v>
      </c>
      <c r="B276" s="1" t="str">
        <f t="shared" si="64"/>
        <v>Other Equipment for Distri</v>
      </c>
      <c r="C276" s="1" t="s">
        <v>508</v>
      </c>
      <c r="D276" s="1" t="s">
        <v>501</v>
      </c>
      <c r="E276" s="201">
        <f>PlantByAcctByCounty!C561</f>
        <v>702.98</v>
      </c>
      <c r="F276" s="201">
        <f t="shared" si="66"/>
        <v>-702.98</v>
      </c>
      <c r="G276" s="201">
        <f>Distribution!L95</f>
        <v>153010.51725487568</v>
      </c>
      <c r="H276" s="201">
        <f t="shared" si="65"/>
        <v>153010.51725487568</v>
      </c>
    </row>
    <row r="277" spans="1:8">
      <c r="A277" s="2" t="str">
        <f t="shared" si="63"/>
        <v>39700</v>
      </c>
      <c r="B277" s="1" t="str">
        <f t="shared" si="64"/>
        <v>Communication Equipment</v>
      </c>
      <c r="C277" s="1" t="s">
        <v>509</v>
      </c>
      <c r="D277" s="1" t="s">
        <v>501</v>
      </c>
      <c r="E277" s="201">
        <f>PlantByAcctByCounty!C562</f>
        <v>4991.29</v>
      </c>
      <c r="F277" s="201"/>
      <c r="G277" s="133"/>
      <c r="H277" s="201">
        <f t="shared" si="65"/>
        <v>4991.29</v>
      </c>
    </row>
    <row r="278" spans="1:8">
      <c r="A278" s="2"/>
      <c r="B278" s="133"/>
      <c r="D278" s="193" t="s">
        <v>510</v>
      </c>
      <c r="E278" s="203">
        <f>SUBTOTAL(9,E267:E277)</f>
        <v>32128452.819999993</v>
      </c>
      <c r="F278" s="203">
        <f>SUBTOTAL(9,F267:F277)</f>
        <v>-723711.83000000007</v>
      </c>
      <c r="G278" s="203">
        <f>SUBTOTAL(9,G267:G277)</f>
        <v>23234992.927667953</v>
      </c>
      <c r="H278" s="443">
        <f>SUBTOTAL(9,H267:H277)-47</f>
        <v>54639686.917667948</v>
      </c>
    </row>
    <row r="279" spans="1:8">
      <c r="A279" s="2" t="str">
        <f t="shared" ref="A279:A293" si="67">LEFT(C279,5)</f>
        <v>37600</v>
      </c>
      <c r="B279" s="1" t="str">
        <f t="shared" ref="B279:B293" si="68">MID(C279,10,50)</f>
        <v>Mains - Steel</v>
      </c>
      <c r="C279" s="1" t="s">
        <v>511</v>
      </c>
      <c r="D279" s="1" t="s">
        <v>512</v>
      </c>
      <c r="E279" s="201">
        <f>PlantByAcctByCounty!C563</f>
        <v>25627997.879999999</v>
      </c>
      <c r="F279" s="201"/>
      <c r="G279" s="133"/>
      <c r="H279" s="201">
        <f t="shared" ref="H279:H293" si="69">E279+F279+G279</f>
        <v>25627997.879999999</v>
      </c>
    </row>
    <row r="280" spans="1:8">
      <c r="A280" s="2" t="str">
        <f t="shared" si="67"/>
        <v>37800</v>
      </c>
      <c r="B280" s="1" t="str">
        <f t="shared" si="68"/>
        <v>Regulator Stations - Measu</v>
      </c>
      <c r="C280" s="1" t="s">
        <v>513</v>
      </c>
      <c r="D280" s="1" t="s">
        <v>512</v>
      </c>
      <c r="E280" s="201">
        <f>PlantByAcctByCounty!C564</f>
        <v>294524.58</v>
      </c>
      <c r="F280" s="201"/>
      <c r="G280" s="133"/>
      <c r="H280" s="201">
        <f t="shared" si="69"/>
        <v>294524.58</v>
      </c>
    </row>
    <row r="281" spans="1:8">
      <c r="A281" s="2" t="str">
        <f t="shared" si="67"/>
        <v>37900</v>
      </c>
      <c r="B281" s="1" t="str">
        <f t="shared" si="68"/>
        <v>City Gate Stations - Measu</v>
      </c>
      <c r="C281" s="1" t="s">
        <v>461</v>
      </c>
      <c r="D281" s="1" t="s">
        <v>512</v>
      </c>
      <c r="E281" s="201">
        <f>PlantByAcctByCounty!C565</f>
        <v>508677.37</v>
      </c>
      <c r="F281" s="201"/>
      <c r="G281" s="133"/>
      <c r="H281" s="201">
        <f t="shared" si="69"/>
        <v>508677.37</v>
      </c>
    </row>
    <row r="282" spans="1:8">
      <c r="A282" s="2" t="str">
        <f t="shared" si="67"/>
        <v>38000</v>
      </c>
      <c r="B282" s="1" t="str">
        <f t="shared" si="68"/>
        <v>Services Lines - Steel</v>
      </c>
      <c r="C282" s="1" t="s">
        <v>514</v>
      </c>
      <c r="D282" s="1" t="s">
        <v>512</v>
      </c>
      <c r="E282" s="201">
        <f>PlantByAcctByCounty!C566</f>
        <v>18597476.280000001</v>
      </c>
      <c r="F282" s="201">
        <f t="shared" ref="F282:F288" si="70">E282*-1</f>
        <v>-18597476.280000001</v>
      </c>
      <c r="G282" s="201">
        <f>Distribution!K107</f>
        <v>9794052.0929683764</v>
      </c>
      <c r="H282" s="201">
        <f t="shared" si="69"/>
        <v>9794052.0929683764</v>
      </c>
    </row>
    <row r="283" spans="1:8">
      <c r="A283" s="2" t="str">
        <f t="shared" si="67"/>
        <v>38100</v>
      </c>
      <c r="B283" s="1" t="str">
        <f t="shared" si="68"/>
        <v>Meters</v>
      </c>
      <c r="C283" s="1" t="s">
        <v>515</v>
      </c>
      <c r="D283" s="1" t="s">
        <v>512</v>
      </c>
      <c r="E283" s="201">
        <f>PlantByAcctByCounty!C567</f>
        <v>307882.8</v>
      </c>
      <c r="F283" s="201">
        <f t="shared" si="70"/>
        <v>-307882.8</v>
      </c>
      <c r="G283" s="133">
        <f>Meters!E39</f>
        <v>3532558.7631153851</v>
      </c>
      <c r="H283" s="201">
        <f t="shared" si="69"/>
        <v>3532558.7631153851</v>
      </c>
    </row>
    <row r="284" spans="1:8">
      <c r="A284" s="2" t="str">
        <f t="shared" si="67"/>
        <v>38200</v>
      </c>
      <c r="B284" s="1" t="str">
        <f t="shared" si="68"/>
        <v>Meter Installations</v>
      </c>
      <c r="C284" s="1" t="s">
        <v>516</v>
      </c>
      <c r="D284" s="1" t="s">
        <v>512</v>
      </c>
      <c r="E284" s="201">
        <f>PlantByAcctByCounty!C568</f>
        <v>5521585.04</v>
      </c>
      <c r="F284" s="201">
        <f t="shared" si="70"/>
        <v>-5521585.04</v>
      </c>
      <c r="G284" s="201">
        <f>Distribution!K108</f>
        <v>2907851.0816906858</v>
      </c>
      <c r="H284" s="201">
        <f t="shared" si="69"/>
        <v>2907851.0816906858</v>
      </c>
    </row>
    <row r="285" spans="1:8">
      <c r="A285" s="2" t="str">
        <f t="shared" si="67"/>
        <v>38300</v>
      </c>
      <c r="B285" s="1" t="str">
        <f t="shared" si="68"/>
        <v>House Regulators</v>
      </c>
      <c r="C285" s="1" t="s">
        <v>517</v>
      </c>
      <c r="D285" s="1" t="s">
        <v>512</v>
      </c>
      <c r="E285" s="201">
        <f>PlantByAcctByCounty!C569</f>
        <v>766338.11</v>
      </c>
      <c r="F285" s="201">
        <f t="shared" si="70"/>
        <v>-766338.11</v>
      </c>
      <c r="G285" s="201">
        <f>Distribution!K109</f>
        <v>403579.2414607628</v>
      </c>
      <c r="H285" s="201">
        <f t="shared" si="69"/>
        <v>403579.2414607628</v>
      </c>
    </row>
    <row r="286" spans="1:8">
      <c r="A286" s="2" t="str">
        <f t="shared" si="67"/>
        <v>38400</v>
      </c>
      <c r="B286" s="1" t="str">
        <f t="shared" si="68"/>
        <v>House Regulator Installati</v>
      </c>
      <c r="C286" s="1" t="s">
        <v>518</v>
      </c>
      <c r="D286" s="1" t="s">
        <v>512</v>
      </c>
      <c r="E286" s="201">
        <f>PlantByAcctByCounty!C570</f>
        <v>2384201.14</v>
      </c>
      <c r="F286" s="201">
        <f t="shared" si="70"/>
        <v>-2384201.14</v>
      </c>
      <c r="G286" s="201">
        <f>Distribution!K110</f>
        <v>1255599.9434389162</v>
      </c>
      <c r="H286" s="201">
        <f t="shared" si="69"/>
        <v>1255599.9434389162</v>
      </c>
    </row>
    <row r="287" spans="1:8">
      <c r="A287" s="2" t="str">
        <f t="shared" si="67"/>
        <v>38500</v>
      </c>
      <c r="B287" s="1" t="str">
        <f t="shared" si="68"/>
        <v>Industrial Customer Regula</v>
      </c>
      <c r="C287" s="1" t="s">
        <v>519</v>
      </c>
      <c r="D287" s="1" t="s">
        <v>512</v>
      </c>
      <c r="E287" s="201">
        <f>PlantByAcctByCounty!C571</f>
        <v>151946.73000000001</v>
      </c>
      <c r="F287" s="201">
        <f t="shared" si="70"/>
        <v>-151946.73000000001</v>
      </c>
      <c r="G287" s="201">
        <f>Distribution!K111</f>
        <v>80020.222452258487</v>
      </c>
      <c r="H287" s="201">
        <f t="shared" si="69"/>
        <v>80020.222452258487</v>
      </c>
    </row>
    <row r="288" spans="1:8">
      <c r="A288" s="2" t="str">
        <f t="shared" si="67"/>
        <v>38700</v>
      </c>
      <c r="B288" s="1" t="str">
        <f t="shared" si="68"/>
        <v>Other Equipment for Distri</v>
      </c>
      <c r="C288" s="1" t="s">
        <v>520</v>
      </c>
      <c r="D288" s="1" t="s">
        <v>512</v>
      </c>
      <c r="E288" s="201">
        <f>PlantByAcctByCounty!C572</f>
        <v>202466.3</v>
      </c>
      <c r="F288" s="201">
        <f t="shared" si="70"/>
        <v>-202466.3</v>
      </c>
      <c r="G288" s="201">
        <f>Distribution!K112</f>
        <v>106625.5151728879</v>
      </c>
      <c r="H288" s="201">
        <f t="shared" si="69"/>
        <v>106625.5151728879</v>
      </c>
    </row>
    <row r="289" spans="1:8">
      <c r="A289" s="2" t="str">
        <f t="shared" si="67"/>
        <v>39100</v>
      </c>
      <c r="B289" s="1" t="str">
        <f t="shared" si="68"/>
        <v>Office Furniture</v>
      </c>
      <c r="C289" s="1" t="s">
        <v>521</v>
      </c>
      <c r="D289" s="1" t="s">
        <v>512</v>
      </c>
      <c r="E289" s="201">
        <f>PlantByAcctByCounty!C573</f>
        <v>216524.55</v>
      </c>
      <c r="F289" s="201"/>
      <c r="G289" s="133"/>
      <c r="H289" s="201">
        <f t="shared" si="69"/>
        <v>216524.55</v>
      </c>
    </row>
    <row r="290" spans="1:8">
      <c r="A290" s="2" t="str">
        <f t="shared" si="67"/>
        <v>39400</v>
      </c>
      <c r="B290" s="1" t="str">
        <f t="shared" si="68"/>
        <v>Tools, Shop, &amp; Garage Equi</v>
      </c>
      <c r="C290" s="1" t="s">
        <v>522</v>
      </c>
      <c r="D290" s="1" t="s">
        <v>512</v>
      </c>
      <c r="E290" s="201">
        <f>PlantByAcctByCounty!C574</f>
        <v>189434.1</v>
      </c>
      <c r="F290" s="201"/>
      <c r="G290" s="133"/>
      <c r="H290" s="201">
        <f t="shared" si="69"/>
        <v>189434.1</v>
      </c>
    </row>
    <row r="291" spans="1:8">
      <c r="A291" s="2" t="str">
        <f t="shared" si="67"/>
        <v>39600</v>
      </c>
      <c r="B291" s="1" t="str">
        <f t="shared" si="68"/>
        <v>Power Operated Equipment-H</v>
      </c>
      <c r="C291" s="1" t="s">
        <v>523</v>
      </c>
      <c r="D291" s="1" t="s">
        <v>512</v>
      </c>
      <c r="E291" s="201">
        <f>PlantByAcctByCounty!C575</f>
        <v>52942.62</v>
      </c>
      <c r="F291" s="201"/>
      <c r="G291" s="133"/>
      <c r="H291" s="201">
        <f t="shared" si="69"/>
        <v>52942.62</v>
      </c>
    </row>
    <row r="292" spans="1:8">
      <c r="A292" s="2" t="str">
        <f t="shared" si="67"/>
        <v>39700</v>
      </c>
      <c r="B292" s="1" t="str">
        <f t="shared" si="68"/>
        <v>Communication Equipment</v>
      </c>
      <c r="C292" s="1" t="s">
        <v>524</v>
      </c>
      <c r="D292" s="1" t="s">
        <v>512</v>
      </c>
      <c r="E292" s="201">
        <f>PlantByAcctByCounty!C576</f>
        <v>181880.77</v>
      </c>
      <c r="F292" s="201"/>
      <c r="G292" s="133"/>
      <c r="H292" s="201">
        <f t="shared" si="69"/>
        <v>181880.77</v>
      </c>
    </row>
    <row r="293" spans="1:8">
      <c r="A293" s="2" t="str">
        <f t="shared" si="67"/>
        <v>39800</v>
      </c>
      <c r="B293" s="1" t="str">
        <f t="shared" si="68"/>
        <v>Misc Equipment-used for ga</v>
      </c>
      <c r="C293" s="1" t="s">
        <v>525</v>
      </c>
      <c r="D293" s="1" t="s">
        <v>512</v>
      </c>
      <c r="E293" s="201">
        <f>PlantByAcctByCounty!C577</f>
        <v>135333.75</v>
      </c>
      <c r="F293" s="201"/>
      <c r="G293" s="133"/>
      <c r="H293" s="201">
        <f t="shared" si="69"/>
        <v>135333.75</v>
      </c>
    </row>
    <row r="294" spans="1:8">
      <c r="A294" s="2"/>
      <c r="B294" s="133"/>
      <c r="D294" s="193" t="s">
        <v>526</v>
      </c>
      <c r="E294" s="203">
        <f>SUBTOTAL(9,E279:E293)</f>
        <v>55139212.019999988</v>
      </c>
      <c r="F294" s="203">
        <f>SUBTOTAL(9,F279:F293)</f>
        <v>-27931896.400000002</v>
      </c>
      <c r="G294" s="203">
        <f>SUBTOTAL(9,G279:G293)</f>
        <v>18080286.860299271</v>
      </c>
      <c r="H294" s="443">
        <f>SUBTOTAL(9,H279:H293)-36</f>
        <v>45287566.480299272</v>
      </c>
    </row>
    <row r="295" spans="1:8">
      <c r="A295" s="2" t="str">
        <f>LEFT(C295,5)</f>
        <v>37600</v>
      </c>
      <c r="B295" s="1" t="str">
        <f>MID(C295,10,50)</f>
        <v>Mains - Steel</v>
      </c>
      <c r="C295" s="1" t="s">
        <v>527</v>
      </c>
      <c r="D295" s="1" t="s">
        <v>528</v>
      </c>
      <c r="E295" s="201">
        <f>PlantByAcctByCounty!C578</f>
        <v>5127158.29</v>
      </c>
      <c r="F295" s="201"/>
      <c r="G295" s="133"/>
      <c r="H295" s="201">
        <f t="shared" ref="H295:H303" si="71">E295+F295+G295</f>
        <v>5127158.29</v>
      </c>
    </row>
    <row r="296" spans="1:8">
      <c r="A296" s="2" t="str">
        <f>LEFT(C296,5)</f>
        <v>37900</v>
      </c>
      <c r="B296" s="1" t="str">
        <f>MID(C296,10,50)</f>
        <v>City Gate Stations - Measu</v>
      </c>
      <c r="C296" s="1" t="s">
        <v>529</v>
      </c>
      <c r="D296" s="1" t="s">
        <v>528</v>
      </c>
      <c r="E296" s="201">
        <f>PlantByAcctByCounty!C579</f>
        <v>1701473.83</v>
      </c>
      <c r="F296" s="201"/>
      <c r="G296" s="133"/>
      <c r="H296" s="201">
        <f t="shared" si="71"/>
        <v>1701473.83</v>
      </c>
    </row>
    <row r="297" spans="1:8">
      <c r="A297" s="2">
        <v>38000</v>
      </c>
      <c r="B297" s="1" t="s">
        <v>370</v>
      </c>
      <c r="C297" s="1" t="s">
        <v>370</v>
      </c>
      <c r="D297" s="1" t="s">
        <v>528</v>
      </c>
      <c r="E297" s="201"/>
      <c r="F297" s="201"/>
      <c r="G297" s="133">
        <f>Distribution!E25</f>
        <v>276994.09704657819</v>
      </c>
      <c r="H297" s="201">
        <f t="shared" si="71"/>
        <v>276994.09704657819</v>
      </c>
    </row>
    <row r="298" spans="1:8">
      <c r="A298" s="2">
        <v>38100</v>
      </c>
      <c r="B298" s="1" t="s">
        <v>216</v>
      </c>
      <c r="C298" s="1" t="s">
        <v>529</v>
      </c>
      <c r="D298" s="1" t="s">
        <v>528</v>
      </c>
      <c r="E298" s="201"/>
      <c r="F298" s="201">
        <f t="shared" ref="F298" si="72">E298*-1</f>
        <v>0</v>
      </c>
      <c r="G298" s="133">
        <f>Meters!E40</f>
        <v>80444.57658112199</v>
      </c>
      <c r="H298" s="201">
        <f t="shared" si="71"/>
        <v>80444.57658112199</v>
      </c>
    </row>
    <row r="299" spans="1:8">
      <c r="A299" s="2" t="str">
        <f t="shared" ref="A299:A303" si="73">LEFT(C299,5)</f>
        <v>38200</v>
      </c>
      <c r="B299" s="1" t="str">
        <f t="shared" ref="B299:B303" si="74">MID(C299,10,50)</f>
        <v>Meter Installations</v>
      </c>
      <c r="C299" s="1" t="s">
        <v>536</v>
      </c>
      <c r="D299" s="1" t="s">
        <v>528</v>
      </c>
      <c r="E299" s="201"/>
      <c r="F299" s="201"/>
      <c r="G299" s="133">
        <f>Distribution!E26</f>
        <v>54698.553244860785</v>
      </c>
      <c r="H299" s="201">
        <f t="shared" si="71"/>
        <v>54698.553244860785</v>
      </c>
    </row>
    <row r="300" spans="1:8">
      <c r="A300" s="2" t="str">
        <f t="shared" si="73"/>
        <v>38300</v>
      </c>
      <c r="B300" s="1" t="str">
        <f t="shared" si="74"/>
        <v>House Regulators</v>
      </c>
      <c r="C300" s="1" t="s">
        <v>537</v>
      </c>
      <c r="D300" s="1" t="s">
        <v>528</v>
      </c>
      <c r="E300" s="201"/>
      <c r="F300" s="201"/>
      <c r="G300" s="133">
        <f>Distribution!E27</f>
        <v>9905.3277309393688</v>
      </c>
      <c r="H300" s="201">
        <f t="shared" si="71"/>
        <v>9905.3277309393688</v>
      </c>
    </row>
    <row r="301" spans="1:8">
      <c r="A301" s="2" t="str">
        <f t="shared" si="73"/>
        <v>38400</v>
      </c>
      <c r="B301" s="1" t="str">
        <f t="shared" si="74"/>
        <v>House Regulator Installati</v>
      </c>
      <c r="C301" s="1" t="s">
        <v>472</v>
      </c>
      <c r="D301" s="1" t="s">
        <v>528</v>
      </c>
      <c r="E301" s="201"/>
      <c r="F301" s="201"/>
      <c r="G301" s="133">
        <f>Distribution!E28</f>
        <v>20774.311493624773</v>
      </c>
      <c r="H301" s="201">
        <f t="shared" si="71"/>
        <v>20774.311493624773</v>
      </c>
    </row>
    <row r="302" spans="1:8">
      <c r="A302" s="2" t="str">
        <f t="shared" si="73"/>
        <v>38500</v>
      </c>
      <c r="B302" s="1" t="str">
        <f t="shared" si="74"/>
        <v>Industrial Customer Regula</v>
      </c>
      <c r="C302" s="1" t="s">
        <v>538</v>
      </c>
      <c r="D302" s="1" t="s">
        <v>528</v>
      </c>
      <c r="E302" s="201"/>
      <c r="F302" s="201"/>
      <c r="G302" s="133">
        <f>Distribution!E29</f>
        <v>1757.8799349466562</v>
      </c>
      <c r="H302" s="201">
        <f t="shared" si="71"/>
        <v>1757.8799349466562</v>
      </c>
    </row>
    <row r="303" spans="1:8">
      <c r="A303" s="2" t="str">
        <f t="shared" si="73"/>
        <v>38700</v>
      </c>
      <c r="B303" s="1" t="str">
        <f t="shared" si="74"/>
        <v>Other Equipment for Distri</v>
      </c>
      <c r="C303" s="1" t="s">
        <v>539</v>
      </c>
      <c r="D303" s="1" t="s">
        <v>528</v>
      </c>
      <c r="E303" s="201"/>
      <c r="F303" s="201"/>
      <c r="G303" s="133">
        <f>Distribution!E30</f>
        <v>3234.4643221441584</v>
      </c>
      <c r="H303" s="201">
        <f t="shared" si="71"/>
        <v>3234.4643221441584</v>
      </c>
    </row>
    <row r="304" spans="1:8">
      <c r="A304" s="2"/>
      <c r="D304" s="193" t="s">
        <v>530</v>
      </c>
      <c r="E304" s="203">
        <f>SUBTOTAL(9,E295:E303)</f>
        <v>6828632.1200000001</v>
      </c>
      <c r="F304" s="203">
        <f t="shared" ref="F304:G304" si="75">SUBTOTAL(9,F295:F303)</f>
        <v>0</v>
      </c>
      <c r="G304" s="203">
        <f t="shared" si="75"/>
        <v>447809.21035421593</v>
      </c>
      <c r="H304" s="443">
        <f>SUBTOTAL(9,H295:H303)-1</f>
        <v>7276440.3303542174</v>
      </c>
    </row>
    <row r="305" spans="1:8">
      <c r="A305" s="2" t="str">
        <f>LEFT(C305,5)</f>
        <v>37600</v>
      </c>
      <c r="B305" s="1" t="str">
        <f>MID(C305,10,50)</f>
        <v>Mains - Steel</v>
      </c>
      <c r="C305" s="1" t="s">
        <v>312</v>
      </c>
      <c r="D305" s="1" t="s">
        <v>531</v>
      </c>
      <c r="E305" s="201">
        <f>PlantByAcctByCounty!C580</f>
        <v>10142142.449999999</v>
      </c>
      <c r="F305" s="201"/>
      <c r="G305" s="133"/>
      <c r="H305" s="201">
        <f t="shared" ref="H305:H314" si="76">E305+F305+G305</f>
        <v>10142142.449999999</v>
      </c>
    </row>
    <row r="306" spans="1:8">
      <c r="A306" s="2" t="str">
        <f>LEFT(C306,5)</f>
        <v>37800</v>
      </c>
      <c r="B306" s="1" t="str">
        <f>MID(C306,10,50)</f>
        <v>Regulator Stations - Measu</v>
      </c>
      <c r="C306" s="1" t="s">
        <v>513</v>
      </c>
      <c r="D306" s="1" t="s">
        <v>531</v>
      </c>
      <c r="E306" s="201">
        <f>PlantByAcctByCounty!C581</f>
        <v>427812.7</v>
      </c>
      <c r="F306" s="201"/>
      <c r="G306" s="133"/>
      <c r="H306" s="201">
        <f t="shared" si="76"/>
        <v>427812.7</v>
      </c>
    </row>
    <row r="307" spans="1:8">
      <c r="A307" s="2" t="str">
        <f>LEFT(C307,5)</f>
        <v>37900</v>
      </c>
      <c r="B307" s="1" t="str">
        <f>MID(C307,10,50)</f>
        <v>City Gate Stations - Measu</v>
      </c>
      <c r="C307" s="1" t="s">
        <v>315</v>
      </c>
      <c r="D307" s="1" t="s">
        <v>531</v>
      </c>
      <c r="E307" s="201">
        <f>PlantByAcctByCounty!C582</f>
        <v>58346.080000000002</v>
      </c>
      <c r="F307" s="201"/>
      <c r="G307" s="133"/>
      <c r="H307" s="201">
        <f t="shared" si="76"/>
        <v>58346.080000000002</v>
      </c>
    </row>
    <row r="308" spans="1:8">
      <c r="A308" s="2">
        <v>38000</v>
      </c>
      <c r="B308" s="1" t="s">
        <v>370</v>
      </c>
      <c r="D308" s="1" t="s">
        <v>531</v>
      </c>
      <c r="E308" s="201"/>
      <c r="F308" s="201">
        <f t="shared" ref="F308:F314" si="77">E308*-1</f>
        <v>0</v>
      </c>
      <c r="G308" s="201">
        <f>Distribution!M76</f>
        <v>5334.7102365443952</v>
      </c>
      <c r="H308" s="201">
        <f t="shared" si="76"/>
        <v>5334.7102365443952</v>
      </c>
    </row>
    <row r="309" spans="1:8">
      <c r="A309" s="2">
        <v>38100</v>
      </c>
      <c r="B309" s="1" t="s">
        <v>216</v>
      </c>
      <c r="C309" s="1" t="s">
        <v>315</v>
      </c>
      <c r="D309" s="1" t="s">
        <v>531</v>
      </c>
      <c r="E309" s="201"/>
      <c r="F309" s="201">
        <f t="shared" si="77"/>
        <v>0</v>
      </c>
      <c r="G309" s="133">
        <f>Meters!E41</f>
        <v>683.18111746175794</v>
      </c>
      <c r="H309" s="201">
        <f t="shared" si="76"/>
        <v>683.18111746175794</v>
      </c>
    </row>
    <row r="310" spans="1:8">
      <c r="A310" s="2">
        <v>38200</v>
      </c>
      <c r="B310" s="1" t="s">
        <v>217</v>
      </c>
      <c r="D310" s="1" t="s">
        <v>531</v>
      </c>
      <c r="E310" s="201"/>
      <c r="F310" s="201">
        <f t="shared" si="77"/>
        <v>0</v>
      </c>
      <c r="G310" s="201">
        <f>Distribution!M77</f>
        <v>686.62380723835645</v>
      </c>
      <c r="H310" s="201">
        <f t="shared" si="76"/>
        <v>686.62380723835645</v>
      </c>
    </row>
    <row r="311" spans="1:8">
      <c r="A311" s="2">
        <v>38300</v>
      </c>
      <c r="B311" s="1" t="s">
        <v>218</v>
      </c>
      <c r="D311" s="1" t="s">
        <v>531</v>
      </c>
      <c r="E311" s="201"/>
      <c r="F311" s="201">
        <f t="shared" si="77"/>
        <v>0</v>
      </c>
      <c r="G311" s="201">
        <f>Distribution!M78</f>
        <v>369.71258925510557</v>
      </c>
      <c r="H311" s="201">
        <f t="shared" si="76"/>
        <v>369.71258925510557</v>
      </c>
    </row>
    <row r="312" spans="1:8">
      <c r="A312" s="2">
        <v>38400</v>
      </c>
      <c r="B312" s="1" t="s">
        <v>317</v>
      </c>
      <c r="D312" s="1" t="s">
        <v>531</v>
      </c>
      <c r="E312" s="201"/>
      <c r="F312" s="201">
        <f t="shared" si="77"/>
        <v>0</v>
      </c>
      <c r="G312" s="201">
        <f>Distribution!M79</f>
        <v>294.68711298300605</v>
      </c>
      <c r="H312" s="201">
        <f t="shared" si="76"/>
        <v>294.68711298300605</v>
      </c>
    </row>
    <row r="313" spans="1:8">
      <c r="A313" s="2">
        <v>38500</v>
      </c>
      <c r="B313" s="1" t="s">
        <v>318</v>
      </c>
      <c r="D313" s="1" t="s">
        <v>531</v>
      </c>
      <c r="E313" s="201"/>
      <c r="F313" s="201">
        <f t="shared" si="77"/>
        <v>0</v>
      </c>
      <c r="G313" s="201">
        <f>Distribution!M80</f>
        <v>545.74016749106238</v>
      </c>
      <c r="H313" s="201">
        <f t="shared" si="76"/>
        <v>545.74016749106238</v>
      </c>
    </row>
    <row r="314" spans="1:8">
      <c r="A314" s="2">
        <v>38700</v>
      </c>
      <c r="B314" s="1" t="s">
        <v>319</v>
      </c>
      <c r="D314" s="1" t="s">
        <v>531</v>
      </c>
      <c r="E314" s="201"/>
      <c r="F314" s="201">
        <f t="shared" si="77"/>
        <v>0</v>
      </c>
      <c r="G314" s="201">
        <f>Distribution!M81</f>
        <v>69.151408002350763</v>
      </c>
      <c r="H314" s="201">
        <f t="shared" si="76"/>
        <v>69.151408002350763</v>
      </c>
    </row>
    <row r="315" spans="1:8">
      <c r="A315" s="2"/>
      <c r="D315" s="193" t="s">
        <v>532</v>
      </c>
      <c r="E315" s="203">
        <f>SUBTOTAL(9,E305:E314)</f>
        <v>10628301.229999999</v>
      </c>
      <c r="F315" s="203">
        <f>SUBTOTAL(9,F305:F314)</f>
        <v>0</v>
      </c>
      <c r="G315" s="203">
        <f>SUBTOTAL(9,G305:G314)</f>
        <v>7983.8064389760348</v>
      </c>
      <c r="H315" s="443">
        <f>SUBTOTAL(9,H305:H314)</f>
        <v>10636285.036438974</v>
      </c>
    </row>
    <row r="316" spans="1:8" ht="18.75">
      <c r="A316" s="2" t="str">
        <f t="shared" ref="A316:A331" si="78">LEFT(C316,5)</f>
        <v>37600</v>
      </c>
      <c r="B316" s="1" t="str">
        <f t="shared" ref="B316:B331" si="79">MID(C316,10,50)</f>
        <v>Mains - Steel</v>
      </c>
      <c r="C316" s="1" t="s">
        <v>465</v>
      </c>
      <c r="D316" s="1" t="s">
        <v>533</v>
      </c>
      <c r="E316" s="201">
        <f>PlantByAcctByCounty!C583</f>
        <v>56642150.68</v>
      </c>
      <c r="F316" s="388">
        <f>F34*-1</f>
        <v>0</v>
      </c>
      <c r="G316" s="133"/>
      <c r="H316" s="201">
        <f t="shared" ref="H316:H331" si="80">E316+F316+G316</f>
        <v>56642150.68</v>
      </c>
    </row>
    <row r="317" spans="1:8">
      <c r="A317" s="2" t="str">
        <f t="shared" si="78"/>
        <v>37800</v>
      </c>
      <c r="B317" s="1" t="str">
        <f t="shared" si="79"/>
        <v>Regulator Stations - Measu</v>
      </c>
      <c r="C317" s="1" t="s">
        <v>467</v>
      </c>
      <c r="D317" s="1" t="s">
        <v>533</v>
      </c>
      <c r="E317" s="201">
        <f>PlantByAcctByCounty!C584</f>
        <v>761421.39</v>
      </c>
      <c r="F317" s="201"/>
      <c r="G317" s="133"/>
      <c r="H317" s="201">
        <f t="shared" si="80"/>
        <v>761421.39</v>
      </c>
    </row>
    <row r="318" spans="1:8">
      <c r="A318" s="2" t="str">
        <f t="shared" si="78"/>
        <v>37900</v>
      </c>
      <c r="B318" s="1" t="str">
        <f t="shared" si="79"/>
        <v>City Gate Stations - Measu</v>
      </c>
      <c r="C318" s="1" t="s">
        <v>534</v>
      </c>
      <c r="D318" s="1" t="s">
        <v>533</v>
      </c>
      <c r="E318" s="201">
        <f>PlantByAcctByCounty!C585</f>
        <v>1393613.85</v>
      </c>
      <c r="F318" s="201"/>
      <c r="G318" s="133"/>
      <c r="H318" s="201">
        <f t="shared" si="80"/>
        <v>1393613.85</v>
      </c>
    </row>
    <row r="319" spans="1:8">
      <c r="A319" s="2" t="str">
        <f t="shared" si="78"/>
        <v>38000</v>
      </c>
      <c r="B319" s="1" t="str">
        <f t="shared" si="79"/>
        <v>Services Lines - Steel</v>
      </c>
      <c r="C319" s="1" t="s">
        <v>535</v>
      </c>
      <c r="D319" s="1" t="s">
        <v>533</v>
      </c>
      <c r="E319" s="201">
        <f>PlantByAcctByCounty!C586</f>
        <v>33960486.109999999</v>
      </c>
      <c r="F319" s="201">
        <f t="shared" ref="F319:F325" si="81">E319*-1</f>
        <v>-33960486.109999999</v>
      </c>
      <c r="G319" s="201">
        <f>Distribution!K59</f>
        <v>23440643.522040907</v>
      </c>
      <c r="H319" s="201">
        <f t="shared" si="80"/>
        <v>23440643.522040907</v>
      </c>
    </row>
    <row r="320" spans="1:8">
      <c r="A320" s="2">
        <v>38100</v>
      </c>
      <c r="B320" s="1" t="s">
        <v>216</v>
      </c>
      <c r="D320" s="1" t="s">
        <v>533</v>
      </c>
      <c r="E320" s="201">
        <v>0</v>
      </c>
      <c r="F320" s="201">
        <f t="shared" si="81"/>
        <v>0</v>
      </c>
      <c r="G320" s="133">
        <f>Meters!E42</f>
        <v>5527960.0119418139</v>
      </c>
      <c r="H320" s="201">
        <f t="shared" si="80"/>
        <v>5527960.0119418139</v>
      </c>
    </row>
    <row r="321" spans="1:8">
      <c r="A321" s="2" t="str">
        <f t="shared" si="78"/>
        <v>38200</v>
      </c>
      <c r="B321" s="1" t="str">
        <f t="shared" si="79"/>
        <v>Meter Installations</v>
      </c>
      <c r="C321" s="1" t="s">
        <v>536</v>
      </c>
      <c r="D321" s="1" t="s">
        <v>533</v>
      </c>
      <c r="E321" s="201">
        <f>PlantByAcctByCounty!C587</f>
        <v>6530752.0800000001</v>
      </c>
      <c r="F321" s="201">
        <f t="shared" si="81"/>
        <v>-6530752.0800000001</v>
      </c>
      <c r="G321" s="201">
        <f>Distribution!K60</f>
        <v>4718726.7763520461</v>
      </c>
      <c r="H321" s="201">
        <f t="shared" si="80"/>
        <v>4718726.7763520461</v>
      </c>
    </row>
    <row r="322" spans="1:8">
      <c r="A322" s="2" t="str">
        <f t="shared" si="78"/>
        <v>38300</v>
      </c>
      <c r="B322" s="1" t="str">
        <f t="shared" si="79"/>
        <v>House Regulators</v>
      </c>
      <c r="C322" s="1" t="s">
        <v>537</v>
      </c>
      <c r="D322" s="1" t="s">
        <v>533</v>
      </c>
      <c r="E322" s="201">
        <f>PlantByAcctByCounty!C588</f>
        <v>2081566.59</v>
      </c>
      <c r="F322" s="201">
        <f t="shared" si="81"/>
        <v>-2081566.59</v>
      </c>
      <c r="G322" s="201">
        <f>Distribution!K61</f>
        <v>1417521.9712998655</v>
      </c>
      <c r="H322" s="201">
        <f t="shared" si="80"/>
        <v>1417521.9712998655</v>
      </c>
    </row>
    <row r="323" spans="1:8">
      <c r="A323" s="2" t="str">
        <f t="shared" si="78"/>
        <v>38400</v>
      </c>
      <c r="B323" s="1" t="str">
        <f t="shared" si="79"/>
        <v>House Regulator Installati</v>
      </c>
      <c r="C323" s="1" t="s">
        <v>472</v>
      </c>
      <c r="D323" s="1" t="s">
        <v>533</v>
      </c>
      <c r="E323" s="201">
        <f>PlantByAcctByCounty!C589</f>
        <v>2513815.39</v>
      </c>
      <c r="F323" s="201">
        <f t="shared" si="81"/>
        <v>-2513815.39</v>
      </c>
      <c r="G323" s="201">
        <f>Distribution!K62</f>
        <v>1757802.3018250298</v>
      </c>
      <c r="H323" s="201">
        <f t="shared" si="80"/>
        <v>1757802.3018250298</v>
      </c>
    </row>
    <row r="324" spans="1:8">
      <c r="A324" s="2" t="str">
        <f t="shared" si="78"/>
        <v>38500</v>
      </c>
      <c r="B324" s="1" t="str">
        <f t="shared" si="79"/>
        <v>Industrial Customer Regula</v>
      </c>
      <c r="C324" s="1" t="s">
        <v>538</v>
      </c>
      <c r="D324" s="1" t="s">
        <v>533</v>
      </c>
      <c r="E324" s="201">
        <f>PlantByAcctByCounty!C590</f>
        <v>2172637.37</v>
      </c>
      <c r="F324" s="201">
        <f t="shared" si="81"/>
        <v>-2172637.37</v>
      </c>
      <c r="G324" s="201">
        <f>Distribution!K63</f>
        <v>1479540.084106632</v>
      </c>
      <c r="H324" s="201">
        <f t="shared" si="80"/>
        <v>1479540.084106632</v>
      </c>
    </row>
    <row r="325" spans="1:8">
      <c r="A325" s="2" t="str">
        <f t="shared" si="78"/>
        <v>38700</v>
      </c>
      <c r="B325" s="1" t="str">
        <f t="shared" si="79"/>
        <v>Other Equipment for Distri</v>
      </c>
      <c r="C325" s="1" t="s">
        <v>539</v>
      </c>
      <c r="D325" s="1" t="s">
        <v>533</v>
      </c>
      <c r="E325" s="201">
        <f>PlantByAcctByCounty!C591</f>
        <v>512314.63</v>
      </c>
      <c r="F325" s="201">
        <f t="shared" si="81"/>
        <v>-512314.63</v>
      </c>
      <c r="G325" s="201">
        <f>Distribution!K64</f>
        <v>348880.14043469116</v>
      </c>
      <c r="H325" s="201">
        <f t="shared" si="80"/>
        <v>348880.14043469116</v>
      </c>
    </row>
    <row r="326" spans="1:8">
      <c r="A326" s="2" t="str">
        <f t="shared" si="78"/>
        <v>39100</v>
      </c>
      <c r="B326" s="1" t="str">
        <f t="shared" si="79"/>
        <v>Office Furniture</v>
      </c>
      <c r="C326" s="1" t="s">
        <v>540</v>
      </c>
      <c r="D326" s="1" t="s">
        <v>533</v>
      </c>
      <c r="E326" s="201">
        <f>PlantByAcctByCounty!C592</f>
        <v>518540.82</v>
      </c>
      <c r="F326" s="201"/>
      <c r="G326" s="133"/>
      <c r="H326" s="201">
        <f t="shared" si="80"/>
        <v>518540.82</v>
      </c>
    </row>
    <row r="327" spans="1:8">
      <c r="A327" s="2" t="str">
        <f t="shared" si="78"/>
        <v>39300</v>
      </c>
      <c r="B327" s="1" t="str">
        <f t="shared" si="79"/>
        <v>Stores Equipment</v>
      </c>
      <c r="C327" s="1" t="s">
        <v>541</v>
      </c>
      <c r="D327" s="1" t="s">
        <v>533</v>
      </c>
      <c r="E327" s="201">
        <v>0</v>
      </c>
      <c r="F327" s="201"/>
      <c r="G327" s="133"/>
      <c r="H327" s="201">
        <f t="shared" si="80"/>
        <v>0</v>
      </c>
    </row>
    <row r="328" spans="1:8">
      <c r="A328" s="2" t="str">
        <f t="shared" si="78"/>
        <v>39400</v>
      </c>
      <c r="B328" s="1" t="str">
        <f t="shared" si="79"/>
        <v>Tools, Shop, &amp; Garage Equi</v>
      </c>
      <c r="C328" s="1" t="s">
        <v>542</v>
      </c>
      <c r="D328" s="1" t="s">
        <v>533</v>
      </c>
      <c r="E328" s="201">
        <f>PlantByAcctByCounty!C593</f>
        <v>461423.89</v>
      </c>
      <c r="F328" s="201"/>
      <c r="G328" s="133"/>
      <c r="H328" s="201">
        <f t="shared" si="80"/>
        <v>461423.89</v>
      </c>
    </row>
    <row r="329" spans="1:8">
      <c r="A329" s="2" t="str">
        <f t="shared" si="78"/>
        <v>39600</v>
      </c>
      <c r="B329" s="1" t="str">
        <f t="shared" si="79"/>
        <v>Power Operated Equipment-H</v>
      </c>
      <c r="C329" s="1" t="s">
        <v>543</v>
      </c>
      <c r="D329" s="1" t="s">
        <v>533</v>
      </c>
      <c r="E329" s="201">
        <f>PlantByAcctByCounty!C594</f>
        <v>121542.51</v>
      </c>
      <c r="F329" s="201"/>
      <c r="G329" s="133"/>
      <c r="H329" s="201">
        <f t="shared" si="80"/>
        <v>121542.51</v>
      </c>
    </row>
    <row r="330" spans="1:8">
      <c r="A330" s="2" t="str">
        <f t="shared" si="78"/>
        <v>39700</v>
      </c>
      <c r="B330" s="1" t="str">
        <f t="shared" si="79"/>
        <v>Communication Equipment</v>
      </c>
      <c r="C330" s="1" t="s">
        <v>544</v>
      </c>
      <c r="D330" s="1" t="s">
        <v>533</v>
      </c>
      <c r="E330" s="201">
        <f>PlantByAcctByCounty!C595</f>
        <v>426462.39</v>
      </c>
      <c r="F330" s="201"/>
      <c r="G330" s="133"/>
      <c r="H330" s="201">
        <f t="shared" si="80"/>
        <v>426462.39</v>
      </c>
    </row>
    <row r="331" spans="1:8">
      <c r="A331" s="2" t="str">
        <f t="shared" si="78"/>
        <v>39800</v>
      </c>
      <c r="B331" s="1" t="str">
        <f t="shared" si="79"/>
        <v>Misc Equipment-used for ga</v>
      </c>
      <c r="C331" s="1" t="s">
        <v>545</v>
      </c>
      <c r="D331" s="1" t="s">
        <v>533</v>
      </c>
      <c r="E331" s="201">
        <f>PlantByAcctByCounty!C596</f>
        <v>13001.55</v>
      </c>
      <c r="F331" s="201"/>
      <c r="G331" s="133"/>
      <c r="H331" s="201">
        <f t="shared" si="80"/>
        <v>13001.55</v>
      </c>
    </row>
    <row r="332" spans="1:8">
      <c r="A332" s="2"/>
      <c r="D332" s="193" t="s">
        <v>546</v>
      </c>
      <c r="E332" s="203">
        <f>SUBTOTAL(9,E316:E331)</f>
        <v>108109729.25</v>
      </c>
      <c r="F332" s="203">
        <f>SUBTOTAL(9,F316:F331)</f>
        <v>-47771572.170000002</v>
      </c>
      <c r="G332" s="203">
        <f>SUBTOTAL(9,G316:G331)</f>
        <v>38691074.808000982</v>
      </c>
      <c r="H332" s="443">
        <f>SUBTOTAL(9,H316:H331)-78</f>
        <v>99029153.88800101</v>
      </c>
    </row>
    <row r="333" spans="1:8">
      <c r="A333" s="2" t="str">
        <f t="shared" ref="A333:A335" si="82">LEFT(C333,5)</f>
        <v>37600</v>
      </c>
      <c r="B333" s="1" t="str">
        <f>MID(C333,10,50)</f>
        <v>Mains - Steel</v>
      </c>
      <c r="C333" s="1" t="s">
        <v>465</v>
      </c>
      <c r="D333" s="1" t="s">
        <v>547</v>
      </c>
      <c r="E333" s="201">
        <f>PlantByAcctByCounty!C597</f>
        <v>13026290.949999999</v>
      </c>
      <c r="F333" s="201"/>
      <c r="G333" s="133"/>
      <c r="H333" s="201">
        <f t="shared" ref="H333:H342" si="83">E333+F333+G333</f>
        <v>13026290.949999999</v>
      </c>
    </row>
    <row r="334" spans="1:8">
      <c r="A334" s="2" t="str">
        <f t="shared" si="82"/>
        <v>37800</v>
      </c>
      <c r="B334" s="1" t="str">
        <f>MID(C334,10,50)</f>
        <v>Regulator Stations - Measu</v>
      </c>
      <c r="C334" s="1" t="s">
        <v>467</v>
      </c>
      <c r="D334" s="1" t="s">
        <v>547</v>
      </c>
      <c r="E334" s="201">
        <f>PlantByAcctByCounty!C598</f>
        <v>137748.35</v>
      </c>
      <c r="F334" s="201"/>
      <c r="G334" s="133"/>
      <c r="H334" s="201">
        <f t="shared" si="83"/>
        <v>137748.35</v>
      </c>
    </row>
    <row r="335" spans="1:8">
      <c r="A335" s="2" t="str">
        <f t="shared" si="82"/>
        <v>37900</v>
      </c>
      <c r="B335" s="1" t="str">
        <f>MID(C335,10,50)</f>
        <v>City Gate Stations - Measu</v>
      </c>
      <c r="C335" s="1" t="s">
        <v>534</v>
      </c>
      <c r="D335" s="1" t="s">
        <v>547</v>
      </c>
      <c r="E335" s="201">
        <f>PlantByAcctByCounty!C599</f>
        <v>548205.35</v>
      </c>
      <c r="F335" s="201"/>
      <c r="G335" s="133"/>
      <c r="H335" s="201">
        <f t="shared" si="83"/>
        <v>548205.35</v>
      </c>
    </row>
    <row r="336" spans="1:8">
      <c r="A336" s="2">
        <v>38000</v>
      </c>
      <c r="B336" s="1" t="s">
        <v>370</v>
      </c>
      <c r="D336" s="1" t="s">
        <v>547</v>
      </c>
      <c r="E336" s="201">
        <f>PlantByAcctByCounty!C600</f>
        <v>300937.24</v>
      </c>
      <c r="F336" s="201">
        <f t="shared" ref="F336:F342" si="84">E336*-1</f>
        <v>-300937.24</v>
      </c>
      <c r="G336" s="201">
        <f>Distribution!L59</f>
        <v>5394838.8307385128</v>
      </c>
      <c r="H336" s="201">
        <f t="shared" si="83"/>
        <v>5394838.8307385128</v>
      </c>
    </row>
    <row r="337" spans="1:8">
      <c r="A337" s="2">
        <v>38100</v>
      </c>
      <c r="B337" s="1" t="s">
        <v>216</v>
      </c>
      <c r="D337" s="1" t="s">
        <v>547</v>
      </c>
      <c r="E337" s="201"/>
      <c r="F337" s="201">
        <f t="shared" si="84"/>
        <v>0</v>
      </c>
      <c r="G337" s="133">
        <f>Meters!E43</f>
        <v>1272254.0359931588</v>
      </c>
      <c r="H337" s="201">
        <f t="shared" si="83"/>
        <v>1272254.0359931588</v>
      </c>
    </row>
    <row r="338" spans="1:8">
      <c r="A338" s="2">
        <v>38200</v>
      </c>
      <c r="B338" s="1" t="s">
        <v>217</v>
      </c>
      <c r="D338" s="1" t="s">
        <v>547</v>
      </c>
      <c r="E338" s="201"/>
      <c r="F338" s="201">
        <f t="shared" si="84"/>
        <v>0</v>
      </c>
      <c r="G338" s="201">
        <f>Distribution!L60</f>
        <v>1086009.8794119256</v>
      </c>
      <c r="H338" s="201">
        <f t="shared" si="83"/>
        <v>1086009.8794119256</v>
      </c>
    </row>
    <row r="339" spans="1:8">
      <c r="A339" s="2">
        <v>38300</v>
      </c>
      <c r="B339" s="1" t="s">
        <v>218</v>
      </c>
      <c r="D339" s="1" t="s">
        <v>547</v>
      </c>
      <c r="E339" s="201"/>
      <c r="F339" s="201">
        <f t="shared" si="84"/>
        <v>0</v>
      </c>
      <c r="G339" s="201">
        <f>Distribution!L61</f>
        <v>326241.15319201315</v>
      </c>
      <c r="H339" s="201">
        <f t="shared" si="83"/>
        <v>326241.15319201315</v>
      </c>
    </row>
    <row r="340" spans="1:8">
      <c r="A340" s="2" t="str">
        <f>LEFT(C340,5)</f>
        <v>38400</v>
      </c>
      <c r="B340" s="1" t="s">
        <v>317</v>
      </c>
      <c r="C340" s="1" t="s">
        <v>472</v>
      </c>
      <c r="D340" s="1" t="s">
        <v>547</v>
      </c>
      <c r="E340" s="201">
        <f>PlantByAcctByCounty!C601</f>
        <v>53188.84</v>
      </c>
      <c r="F340" s="201">
        <f t="shared" si="84"/>
        <v>-53188.84</v>
      </c>
      <c r="G340" s="201">
        <f>Distribution!L62</f>
        <v>404556.30434080964</v>
      </c>
      <c r="H340" s="201">
        <f t="shared" si="83"/>
        <v>404556.30434080964</v>
      </c>
    </row>
    <row r="341" spans="1:8">
      <c r="A341" s="2">
        <v>38500</v>
      </c>
      <c r="B341" s="1" t="s">
        <v>318</v>
      </c>
      <c r="D341" s="1" t="s">
        <v>547</v>
      </c>
      <c r="E341" s="201"/>
      <c r="F341" s="201">
        <f t="shared" si="84"/>
        <v>0</v>
      </c>
      <c r="G341" s="201">
        <f>Distribution!L63</f>
        <v>340514.5549808534</v>
      </c>
      <c r="H341" s="201">
        <f t="shared" si="83"/>
        <v>340514.5549808534</v>
      </c>
    </row>
    <row r="342" spans="1:8">
      <c r="A342" s="2">
        <v>38700</v>
      </c>
      <c r="B342" s="1" t="s">
        <v>319</v>
      </c>
      <c r="D342" s="1" t="s">
        <v>547</v>
      </c>
      <c r="E342" s="201"/>
      <c r="F342" s="201">
        <f t="shared" si="84"/>
        <v>0</v>
      </c>
      <c r="G342" s="201">
        <f>Distribution!L64</f>
        <v>80294.388126367616</v>
      </c>
      <c r="H342" s="201">
        <f t="shared" si="83"/>
        <v>80294.388126367616</v>
      </c>
    </row>
    <row r="343" spans="1:8">
      <c r="A343" s="2"/>
      <c r="D343" s="193" t="s">
        <v>548</v>
      </c>
      <c r="E343" s="203">
        <f>SUBTOTAL(9,E333:E342)</f>
        <v>14066370.729999999</v>
      </c>
      <c r="F343" s="203">
        <f>SUBTOTAL(9,F333:F342)</f>
        <v>-354126.07999999996</v>
      </c>
      <c r="G343" s="203">
        <f>SUBTOTAL(9,G333:G342)</f>
        <v>8904709.1467836425</v>
      </c>
      <c r="H343" s="443">
        <f>SUBTOTAL(9,H333:H342)-18</f>
        <v>22616935.796783637</v>
      </c>
    </row>
    <row r="344" spans="1:8">
      <c r="A344" s="2" t="str">
        <f t="shared" ref="A344:A359" si="85">LEFT(C344,5)</f>
        <v>37600</v>
      </c>
      <c r="B344" s="1" t="str">
        <f t="shared" ref="B344:B359" si="86">MID(C344,10,50)</f>
        <v>Mains - Steel</v>
      </c>
      <c r="C344" s="1" t="s">
        <v>527</v>
      </c>
      <c r="D344" s="1" t="s">
        <v>549</v>
      </c>
      <c r="E344" s="201">
        <f>PlantByAcctByCounty!C602</f>
        <v>11068251.93</v>
      </c>
      <c r="F344" s="201"/>
      <c r="G344" s="133"/>
      <c r="H344" s="201">
        <f t="shared" ref="H344:H359" si="87">E344+F344+G344</f>
        <v>11068251.93</v>
      </c>
    </row>
    <row r="345" spans="1:8">
      <c r="A345" s="2" t="str">
        <f t="shared" si="85"/>
        <v>37800</v>
      </c>
      <c r="B345" s="1" t="str">
        <f t="shared" si="86"/>
        <v>Regulator Stations - Measu</v>
      </c>
      <c r="C345" s="1" t="s">
        <v>550</v>
      </c>
      <c r="D345" s="1" t="s">
        <v>549</v>
      </c>
      <c r="E345" s="201">
        <f>PlantByAcctByCounty!C603</f>
        <v>4034.82</v>
      </c>
      <c r="F345" s="201"/>
      <c r="G345" s="133"/>
      <c r="H345" s="201">
        <f t="shared" si="87"/>
        <v>4034.82</v>
      </c>
    </row>
    <row r="346" spans="1:8">
      <c r="A346" s="2" t="str">
        <f t="shared" si="85"/>
        <v>37900</v>
      </c>
      <c r="B346" s="1" t="str">
        <f t="shared" si="86"/>
        <v>City Gate Stations - Measu</v>
      </c>
      <c r="C346" s="1" t="s">
        <v>529</v>
      </c>
      <c r="D346" s="1" t="s">
        <v>549</v>
      </c>
      <c r="E346" s="201">
        <f>PlantByAcctByCounty!C604</f>
        <v>230240.46</v>
      </c>
      <c r="F346" s="201"/>
      <c r="G346" s="133"/>
      <c r="H346" s="201">
        <f t="shared" si="87"/>
        <v>230240.46</v>
      </c>
    </row>
    <row r="347" spans="1:8">
      <c r="A347" s="2" t="str">
        <f t="shared" si="85"/>
        <v>38000</v>
      </c>
      <c r="B347" s="1" t="str">
        <f t="shared" si="86"/>
        <v>Services Lines - Steel</v>
      </c>
      <c r="C347" s="1" t="s">
        <v>551</v>
      </c>
      <c r="D347" s="1" t="s">
        <v>549</v>
      </c>
      <c r="E347" s="201">
        <f>PlantByAcctByCounty!C605</f>
        <v>6780180.3499999996</v>
      </c>
      <c r="F347" s="201">
        <f t="shared" ref="F347:F353" si="88">E347*-1</f>
        <v>-6780180.3499999996</v>
      </c>
      <c r="G347" s="133">
        <f>Distribution!D25</f>
        <v>6503186.2529534213</v>
      </c>
      <c r="H347" s="201">
        <f t="shared" si="87"/>
        <v>6503186.2529534213</v>
      </c>
    </row>
    <row r="348" spans="1:8">
      <c r="A348" s="2">
        <v>38100</v>
      </c>
      <c r="B348" s="1" t="s">
        <v>216</v>
      </c>
      <c r="D348" s="1" t="s">
        <v>549</v>
      </c>
      <c r="E348" s="201">
        <v>0</v>
      </c>
      <c r="F348" s="201">
        <f t="shared" si="88"/>
        <v>0</v>
      </c>
      <c r="G348" s="133">
        <f>Meters!E44</f>
        <v>1888654.1992230297</v>
      </c>
      <c r="H348" s="201">
        <f t="shared" si="87"/>
        <v>1888654.1992230297</v>
      </c>
    </row>
    <row r="349" spans="1:8">
      <c r="A349" s="2" t="str">
        <f t="shared" si="85"/>
        <v>38200</v>
      </c>
      <c r="B349" s="1" t="str">
        <f t="shared" si="86"/>
        <v>Meter Installations</v>
      </c>
      <c r="C349" s="1" t="s">
        <v>552</v>
      </c>
      <c r="D349" s="1" t="s">
        <v>549</v>
      </c>
      <c r="E349" s="201">
        <f>PlantByAcctByCounty!C606</f>
        <v>1338895.1599999999</v>
      </c>
      <c r="F349" s="201">
        <f t="shared" si="88"/>
        <v>-1338895.1599999999</v>
      </c>
      <c r="G349" s="133">
        <f>Distribution!D26</f>
        <v>1284196.6067551391</v>
      </c>
      <c r="H349" s="201">
        <f t="shared" si="87"/>
        <v>1284196.6067551391</v>
      </c>
    </row>
    <row r="350" spans="1:8">
      <c r="A350" s="2" t="str">
        <f t="shared" si="85"/>
        <v>38300</v>
      </c>
      <c r="B350" s="1" t="str">
        <f t="shared" si="86"/>
        <v>House Regulators</v>
      </c>
      <c r="C350" s="1" t="s">
        <v>553</v>
      </c>
      <c r="D350" s="1" t="s">
        <v>549</v>
      </c>
      <c r="E350" s="201">
        <f>PlantByAcctByCounty!C607</f>
        <v>242459.71</v>
      </c>
      <c r="F350" s="201">
        <f t="shared" si="88"/>
        <v>-242459.71</v>
      </c>
      <c r="G350" s="133">
        <f>Distribution!D27</f>
        <v>232554.38226906062</v>
      </c>
      <c r="H350" s="201">
        <f t="shared" si="87"/>
        <v>232554.38226906062</v>
      </c>
    </row>
    <row r="351" spans="1:8">
      <c r="A351" s="2" t="str">
        <f t="shared" si="85"/>
        <v>38400</v>
      </c>
      <c r="B351" s="1" t="str">
        <f t="shared" si="86"/>
        <v>House Regulator Installati</v>
      </c>
      <c r="C351" s="1" t="s">
        <v>554</v>
      </c>
      <c r="D351" s="1" t="s">
        <v>549</v>
      </c>
      <c r="E351" s="201">
        <f>PlantByAcctByCounty!C608</f>
        <v>508507.51</v>
      </c>
      <c r="F351" s="201">
        <f t="shared" si="88"/>
        <v>-508507.51</v>
      </c>
      <c r="G351" s="133">
        <f>Distribution!D28</f>
        <v>487733.19850637525</v>
      </c>
      <c r="H351" s="201">
        <f t="shared" si="87"/>
        <v>487733.19850637525</v>
      </c>
    </row>
    <row r="352" spans="1:8">
      <c r="A352" s="2" t="str">
        <f t="shared" si="85"/>
        <v>38500</v>
      </c>
      <c r="B352" s="1" t="str">
        <f t="shared" si="86"/>
        <v>Industrial Customer Regula</v>
      </c>
      <c r="C352" s="1" t="s">
        <v>555</v>
      </c>
      <c r="D352" s="1" t="s">
        <v>549</v>
      </c>
      <c r="E352" s="201">
        <f>PlantByAcctByCounty!C609</f>
        <v>43028.87</v>
      </c>
      <c r="F352" s="201">
        <f t="shared" si="88"/>
        <v>-43028.87</v>
      </c>
      <c r="G352" s="133">
        <f>Distribution!D29</f>
        <v>41270.990065053345</v>
      </c>
      <c r="H352" s="201">
        <f t="shared" si="87"/>
        <v>41270.990065053345</v>
      </c>
    </row>
    <row r="353" spans="1:8">
      <c r="A353" s="2" t="str">
        <f t="shared" si="85"/>
        <v>38700</v>
      </c>
      <c r="B353" s="1" t="str">
        <f t="shared" si="86"/>
        <v>Other Equipment for Distri</v>
      </c>
      <c r="C353" s="1" t="s">
        <v>556</v>
      </c>
      <c r="D353" s="1" t="s">
        <v>549</v>
      </c>
      <c r="E353" s="201">
        <f>PlantByAcctByCounty!C610</f>
        <v>79172.27</v>
      </c>
      <c r="F353" s="201">
        <f t="shared" si="88"/>
        <v>-79172.27</v>
      </c>
      <c r="G353" s="133">
        <f>Distribution!D30</f>
        <v>75937.805677855853</v>
      </c>
      <c r="H353" s="201">
        <f t="shared" si="87"/>
        <v>75937.805677855853</v>
      </c>
    </row>
    <row r="354" spans="1:8">
      <c r="A354" s="2" t="str">
        <f t="shared" si="85"/>
        <v>39100</v>
      </c>
      <c r="B354" s="1" t="str">
        <f t="shared" si="86"/>
        <v>Office Furniture</v>
      </c>
      <c r="C354" s="1" t="s">
        <v>557</v>
      </c>
      <c r="D354" s="1" t="s">
        <v>549</v>
      </c>
      <c r="E354" s="201">
        <f>PlantByAcctByCounty!C611</f>
        <v>121500.07</v>
      </c>
      <c r="F354" s="201"/>
      <c r="G354" s="133"/>
      <c r="H354" s="201">
        <f t="shared" si="87"/>
        <v>121500.07</v>
      </c>
    </row>
    <row r="355" spans="1:8">
      <c r="A355" s="2" t="str">
        <f t="shared" si="85"/>
        <v>39300</v>
      </c>
      <c r="B355" s="1" t="str">
        <f t="shared" si="86"/>
        <v>Stores Equipment</v>
      </c>
      <c r="C355" s="1" t="s">
        <v>558</v>
      </c>
      <c r="D355" s="1" t="s">
        <v>549</v>
      </c>
      <c r="E355" s="201">
        <f>PlantByAcctByCounty!C612</f>
        <v>490</v>
      </c>
      <c r="F355" s="201"/>
      <c r="G355" s="133"/>
      <c r="H355" s="201">
        <f t="shared" si="87"/>
        <v>490</v>
      </c>
    </row>
    <row r="356" spans="1:8">
      <c r="A356" s="2" t="str">
        <f t="shared" si="85"/>
        <v>39400</v>
      </c>
      <c r="B356" s="1" t="str">
        <f t="shared" si="86"/>
        <v>Tools, Shop, &amp; Garage Equi</v>
      </c>
      <c r="C356" s="1" t="s">
        <v>559</v>
      </c>
      <c r="D356" s="1" t="s">
        <v>549</v>
      </c>
      <c r="E356" s="201">
        <f>PlantByAcctByCounty!C613</f>
        <v>79301.47</v>
      </c>
      <c r="F356" s="201"/>
      <c r="G356" s="133"/>
      <c r="H356" s="201">
        <f t="shared" si="87"/>
        <v>79301.47</v>
      </c>
    </row>
    <row r="357" spans="1:8">
      <c r="A357" s="2" t="str">
        <f t="shared" si="85"/>
        <v>39600</v>
      </c>
      <c r="B357" s="1" t="str">
        <f t="shared" si="86"/>
        <v>Power Operated Equipment-H</v>
      </c>
      <c r="C357" s="1" t="s">
        <v>560</v>
      </c>
      <c r="D357" s="1" t="s">
        <v>549</v>
      </c>
      <c r="E357" s="201">
        <v>0</v>
      </c>
      <c r="F357" s="201"/>
      <c r="G357" s="133"/>
      <c r="H357" s="201">
        <f t="shared" si="87"/>
        <v>0</v>
      </c>
    </row>
    <row r="358" spans="1:8">
      <c r="A358" s="2" t="str">
        <f t="shared" si="85"/>
        <v>39700</v>
      </c>
      <c r="B358" s="1" t="str">
        <f t="shared" si="86"/>
        <v>Communication Equipment</v>
      </c>
      <c r="C358" s="1" t="s">
        <v>561</v>
      </c>
      <c r="D358" s="1" t="s">
        <v>549</v>
      </c>
      <c r="E358" s="201">
        <f>PlantByAcctByCounty!C614</f>
        <v>154195.57</v>
      </c>
      <c r="F358" s="201"/>
      <c r="G358" s="133"/>
      <c r="H358" s="201">
        <f t="shared" si="87"/>
        <v>154195.57</v>
      </c>
    </row>
    <row r="359" spans="1:8">
      <c r="A359" s="2" t="str">
        <f t="shared" si="85"/>
        <v>39800</v>
      </c>
      <c r="B359" s="1" t="str">
        <f t="shared" si="86"/>
        <v>Misc Equipment-used for ga</v>
      </c>
      <c r="C359" s="1" t="s">
        <v>562</v>
      </c>
      <c r="D359" s="1" t="s">
        <v>549</v>
      </c>
      <c r="E359" s="201">
        <f>PlantByAcctByCounty!C615</f>
        <v>8777.06</v>
      </c>
      <c r="F359" s="201"/>
      <c r="G359" s="133"/>
      <c r="H359" s="201">
        <f t="shared" si="87"/>
        <v>8777.06</v>
      </c>
    </row>
    <row r="360" spans="1:8">
      <c r="A360" s="2"/>
      <c r="D360" s="193" t="s">
        <v>563</v>
      </c>
      <c r="E360" s="203">
        <f>SUM(E344:E359)</f>
        <v>20659035.250000004</v>
      </c>
      <c r="F360" s="203">
        <f>SUBTOTAL(9,F344:F359)</f>
        <v>-8992243.8699999992</v>
      </c>
      <c r="G360" s="203">
        <f>SUBTOTAL(9,G344:G359)</f>
        <v>10513533.435449935</v>
      </c>
      <c r="H360" s="443">
        <f>SUBTOTAL(9,H344:H359)-22</f>
        <v>22180302.815449934</v>
      </c>
    </row>
    <row r="361" spans="1:8">
      <c r="A361" s="2" t="str">
        <f t="shared" ref="A361:A372" si="89">LEFT(C361,5)</f>
        <v>37600</v>
      </c>
      <c r="B361" s="1" t="str">
        <f t="shared" ref="B361:B372" si="90">MID(C361,10,50)</f>
        <v>Mains - Steel</v>
      </c>
      <c r="C361" s="1" t="s">
        <v>439</v>
      </c>
      <c r="D361" s="1" t="s">
        <v>564</v>
      </c>
      <c r="E361" s="201">
        <f>PlantByAcctByCounty!C616</f>
        <v>11444071.359999999</v>
      </c>
      <c r="F361" s="201"/>
      <c r="G361" s="133"/>
      <c r="H361" s="201">
        <f t="shared" ref="H361:H372" si="91">E361+F361+G361</f>
        <v>11444071.359999999</v>
      </c>
    </row>
    <row r="362" spans="1:8">
      <c r="A362" s="2" t="str">
        <f t="shared" si="89"/>
        <v>37800</v>
      </c>
      <c r="B362" s="1" t="str">
        <f t="shared" si="90"/>
        <v>Regulator Stations - Measu</v>
      </c>
      <c r="C362" s="1" t="s">
        <v>440</v>
      </c>
      <c r="D362" s="1" t="s">
        <v>564</v>
      </c>
      <c r="E362" s="201">
        <f>PlantByAcctByCounty!C617</f>
        <v>86646.01</v>
      </c>
      <c r="F362" s="201"/>
      <c r="G362" s="133"/>
      <c r="H362" s="201">
        <f t="shared" si="91"/>
        <v>86646.01</v>
      </c>
    </row>
    <row r="363" spans="1:8">
      <c r="A363" s="2" t="str">
        <f t="shared" si="89"/>
        <v>37900</v>
      </c>
      <c r="B363" s="1" t="str">
        <f t="shared" si="90"/>
        <v>City Gate Stations - Measu</v>
      </c>
      <c r="C363" s="1" t="s">
        <v>441</v>
      </c>
      <c r="D363" s="1" t="s">
        <v>564</v>
      </c>
      <c r="E363" s="201">
        <f>PlantByAcctByCounty!C618</f>
        <v>863752.51</v>
      </c>
      <c r="F363" s="201"/>
      <c r="G363" s="133"/>
      <c r="H363" s="201">
        <f t="shared" si="91"/>
        <v>863752.51</v>
      </c>
    </row>
    <row r="364" spans="1:8">
      <c r="A364" s="2" t="str">
        <f t="shared" si="89"/>
        <v>38000</v>
      </c>
      <c r="B364" s="1" t="str">
        <f t="shared" si="90"/>
        <v>Services Lines - Steel</v>
      </c>
      <c r="C364" s="1" t="s">
        <v>442</v>
      </c>
      <c r="D364" s="1" t="s">
        <v>564</v>
      </c>
      <c r="E364" s="201">
        <f>PlantByAcctByCounty!C619</f>
        <v>783872.69</v>
      </c>
      <c r="F364" s="201">
        <f t="shared" ref="F364:F370" si="92">E364*-1</f>
        <v>-783872.69</v>
      </c>
      <c r="G364" s="201">
        <f>Distribution!L40</f>
        <v>5510826.3349983441</v>
      </c>
      <c r="H364" s="201">
        <f t="shared" si="91"/>
        <v>5510826.3349983441</v>
      </c>
    </row>
    <row r="365" spans="1:8">
      <c r="A365" s="2">
        <v>38100</v>
      </c>
      <c r="B365" s="1" t="s">
        <v>216</v>
      </c>
      <c r="D365" s="1" t="s">
        <v>564</v>
      </c>
      <c r="E365" s="201"/>
      <c r="F365" s="201">
        <f t="shared" si="92"/>
        <v>0</v>
      </c>
      <c r="G365" s="133">
        <f>Meters!E45</f>
        <v>1640659.4535844116</v>
      </c>
      <c r="H365" s="201">
        <f t="shared" si="91"/>
        <v>1640659.4535844116</v>
      </c>
    </row>
    <row r="366" spans="1:8">
      <c r="A366" s="2">
        <v>38200</v>
      </c>
      <c r="B366" s="1" t="s">
        <v>217</v>
      </c>
      <c r="D366" s="1" t="s">
        <v>564</v>
      </c>
      <c r="E366" s="201"/>
      <c r="F366" s="201">
        <f t="shared" si="92"/>
        <v>0</v>
      </c>
      <c r="G366" s="201">
        <f>Distribution!L41</f>
        <v>776505.42105114227</v>
      </c>
      <c r="H366" s="201">
        <f t="shared" si="91"/>
        <v>776505.42105114227</v>
      </c>
    </row>
    <row r="367" spans="1:8">
      <c r="A367" s="2" t="str">
        <f t="shared" si="89"/>
        <v>38300</v>
      </c>
      <c r="B367" s="1" t="str">
        <f t="shared" si="90"/>
        <v>House Regulators</v>
      </c>
      <c r="C367" s="1" t="s">
        <v>565</v>
      </c>
      <c r="D367" s="1" t="s">
        <v>564</v>
      </c>
      <c r="E367" s="201">
        <f>PlantByAcctByCounty!C620</f>
        <v>8071.4</v>
      </c>
      <c r="F367" s="201">
        <f t="shared" si="92"/>
        <v>-8071.4</v>
      </c>
      <c r="G367" s="201">
        <f>Distribution!L42</f>
        <v>304637.610125523</v>
      </c>
      <c r="H367" s="201">
        <f t="shared" si="91"/>
        <v>304637.610125523</v>
      </c>
    </row>
    <row r="368" spans="1:8">
      <c r="A368" s="2" t="str">
        <f t="shared" si="89"/>
        <v>38400</v>
      </c>
      <c r="B368" s="1" t="str">
        <f t="shared" si="90"/>
        <v>House Regulator Installati</v>
      </c>
      <c r="C368" s="1" t="s">
        <v>566</v>
      </c>
      <c r="D368" s="1" t="s">
        <v>564</v>
      </c>
      <c r="E368" s="201">
        <f>PlantByAcctByCounty!C621</f>
        <v>89528.960000000006</v>
      </c>
      <c r="F368" s="201">
        <f t="shared" si="92"/>
        <v>-89528.960000000006</v>
      </c>
      <c r="G368" s="201">
        <f>Distribution!L43</f>
        <v>259716.34432136297</v>
      </c>
      <c r="H368" s="201">
        <f t="shared" si="91"/>
        <v>259716.34432136297</v>
      </c>
    </row>
    <row r="369" spans="1:8">
      <c r="A369" s="2" t="str">
        <f t="shared" si="89"/>
        <v>38500</v>
      </c>
      <c r="B369" s="1" t="str">
        <f t="shared" si="90"/>
        <v>Industrial Customer Regula</v>
      </c>
      <c r="C369" s="1" t="s">
        <v>448</v>
      </c>
      <c r="D369" s="1" t="s">
        <v>564</v>
      </c>
      <c r="E369" s="201">
        <f>PlantByAcctByCounty!C622</f>
        <v>103194.87</v>
      </c>
      <c r="F369" s="201">
        <f t="shared" si="92"/>
        <v>-103194.87</v>
      </c>
      <c r="G369" s="201">
        <f>Distribution!L44</f>
        <v>206460.94750007524</v>
      </c>
      <c r="H369" s="201">
        <f t="shared" si="91"/>
        <v>206460.94750007524</v>
      </c>
    </row>
    <row r="370" spans="1:8">
      <c r="A370" s="2" t="str">
        <f t="shared" si="89"/>
        <v>38700</v>
      </c>
      <c r="B370" s="1" t="str">
        <f t="shared" si="90"/>
        <v>Other Equipment for Distri</v>
      </c>
      <c r="C370" s="1" t="s">
        <v>567</v>
      </c>
      <c r="D370" s="1" t="s">
        <v>564</v>
      </c>
      <c r="E370" s="201">
        <f>PlantByAcctByCounty!C623</f>
        <v>6908.25</v>
      </c>
      <c r="F370" s="201">
        <f t="shared" si="92"/>
        <v>-6908.25</v>
      </c>
      <c r="G370" s="201">
        <f>Distribution!L45</f>
        <v>62008.885646428454</v>
      </c>
      <c r="H370" s="201">
        <f t="shared" si="91"/>
        <v>62008.885646428454</v>
      </c>
    </row>
    <row r="371" spans="1:8">
      <c r="A371" s="2" t="str">
        <f t="shared" si="89"/>
        <v>39101</v>
      </c>
      <c r="B371" s="1" t="str">
        <f t="shared" si="90"/>
        <v>Computer Equipment</v>
      </c>
      <c r="C371" s="1" t="s">
        <v>421</v>
      </c>
      <c r="D371" s="1" t="s">
        <v>564</v>
      </c>
      <c r="E371" s="201">
        <f>PlantByAcctByCounty!C624</f>
        <v>13105.51</v>
      </c>
      <c r="F371" s="201"/>
      <c r="G371" s="133"/>
      <c r="H371" s="201">
        <f t="shared" si="91"/>
        <v>13105.51</v>
      </c>
    </row>
    <row r="372" spans="1:8">
      <c r="A372" s="2" t="str">
        <f t="shared" si="89"/>
        <v>39700</v>
      </c>
      <c r="B372" s="1" t="str">
        <f t="shared" si="90"/>
        <v>Communication Equipment</v>
      </c>
      <c r="C372" s="1" t="s">
        <v>568</v>
      </c>
      <c r="D372" s="1" t="s">
        <v>564</v>
      </c>
      <c r="E372" s="201">
        <v>0</v>
      </c>
      <c r="F372" s="201"/>
      <c r="G372" s="133"/>
      <c r="H372" s="201">
        <f t="shared" si="91"/>
        <v>0</v>
      </c>
    </row>
    <row r="373" spans="1:8">
      <c r="A373" s="2"/>
      <c r="D373" s="193" t="s">
        <v>569</v>
      </c>
      <c r="E373" s="203">
        <f>SUBTOTAL(9,E361:E372)</f>
        <v>13399151.559999999</v>
      </c>
      <c r="F373" s="203">
        <f>SUBTOTAL(9,F361:F372)</f>
        <v>-991576.16999999993</v>
      </c>
      <c r="G373" s="203">
        <f>SUBTOTAL(9,G361:G372)</f>
        <v>8760814.9972272888</v>
      </c>
      <c r="H373" s="443">
        <f>SUBTOTAL(9,H361:H372)-17</f>
        <v>21168373.387227286</v>
      </c>
    </row>
    <row r="374" spans="1:8">
      <c r="A374" s="2" t="str">
        <f t="shared" ref="A374:A388" si="93">LEFT(C374,5)</f>
        <v>37600</v>
      </c>
      <c r="B374" s="1" t="str">
        <f t="shared" ref="B374:B388" si="94">MID(C374,10,50)</f>
        <v>Mains - Steel</v>
      </c>
      <c r="C374" s="1" t="s">
        <v>418</v>
      </c>
      <c r="D374" s="1" t="s">
        <v>570</v>
      </c>
      <c r="E374" s="201">
        <f>PlantByAcctByCounty!C625</f>
        <v>28754431.57</v>
      </c>
      <c r="F374" s="201"/>
      <c r="G374" s="133"/>
      <c r="H374" s="201">
        <f t="shared" ref="H374:H388" si="95">E374+F374+G374</f>
        <v>28754431.57</v>
      </c>
    </row>
    <row r="375" spans="1:8">
      <c r="A375" s="2" t="str">
        <f t="shared" si="93"/>
        <v>37800</v>
      </c>
      <c r="B375" s="1" t="str">
        <f t="shared" si="94"/>
        <v>Regulator Stations - Measu</v>
      </c>
      <c r="C375" s="1" t="s">
        <v>420</v>
      </c>
      <c r="D375" s="1" t="s">
        <v>570</v>
      </c>
      <c r="E375" s="201">
        <f>PlantByAcctByCounty!C626</f>
        <v>197070.14</v>
      </c>
      <c r="F375" s="201"/>
      <c r="G375" s="133"/>
      <c r="H375" s="201">
        <f t="shared" si="95"/>
        <v>197070.14</v>
      </c>
    </row>
    <row r="376" spans="1:8">
      <c r="A376" s="2" t="str">
        <f t="shared" si="93"/>
        <v>37900</v>
      </c>
      <c r="B376" s="1" t="str">
        <f t="shared" si="94"/>
        <v>City Gate Stations - Measu</v>
      </c>
      <c r="C376" s="1" t="s">
        <v>571</v>
      </c>
      <c r="D376" s="1" t="s">
        <v>570</v>
      </c>
      <c r="E376" s="201">
        <f>PlantByAcctByCounty!C627</f>
        <v>2232231.96</v>
      </c>
      <c r="F376" s="201"/>
      <c r="G376" s="133"/>
      <c r="H376" s="201">
        <f t="shared" si="95"/>
        <v>2232231.96</v>
      </c>
    </row>
    <row r="377" spans="1:8">
      <c r="A377" s="2" t="str">
        <f t="shared" si="93"/>
        <v>38000</v>
      </c>
      <c r="B377" s="1" t="str">
        <f t="shared" si="94"/>
        <v>Services Lines - Steel</v>
      </c>
      <c r="C377" s="1" t="s">
        <v>572</v>
      </c>
      <c r="D377" s="1" t="s">
        <v>570</v>
      </c>
      <c r="E377" s="201">
        <f>PlantByAcctByCounty!C628</f>
        <v>18274545.140000001</v>
      </c>
      <c r="F377" s="201">
        <f t="shared" ref="F377:F383" si="96">E377*-1</f>
        <v>-18274545.140000001</v>
      </c>
      <c r="G377" s="201">
        <f>Distribution!M40</f>
        <v>12950958.20451672</v>
      </c>
      <c r="H377" s="201">
        <f t="shared" si="95"/>
        <v>12950958.20451672</v>
      </c>
    </row>
    <row r="378" spans="1:8">
      <c r="A378" s="2">
        <v>38100</v>
      </c>
      <c r="B378" s="1" t="s">
        <v>216</v>
      </c>
      <c r="D378" s="1" t="s">
        <v>570</v>
      </c>
      <c r="E378" s="201"/>
      <c r="F378" s="201">
        <f t="shared" si="96"/>
        <v>0</v>
      </c>
      <c r="G378" s="133">
        <f>Meters!E46</f>
        <v>3855703.4316747962</v>
      </c>
      <c r="H378" s="201">
        <f t="shared" si="95"/>
        <v>3855703.4316747962</v>
      </c>
    </row>
    <row r="379" spans="1:8">
      <c r="A379" s="2" t="str">
        <f t="shared" si="93"/>
        <v>38200</v>
      </c>
      <c r="B379" s="1" t="str">
        <f t="shared" si="94"/>
        <v>Meter Installations</v>
      </c>
      <c r="C379" s="1" t="s">
        <v>573</v>
      </c>
      <c r="D379" s="1" t="s">
        <v>570</v>
      </c>
      <c r="E379" s="201">
        <f>PlantByAcctByCounty!C629</f>
        <v>2685434.79</v>
      </c>
      <c r="F379" s="201">
        <f t="shared" si="96"/>
        <v>-2685434.79</v>
      </c>
      <c r="G379" s="201">
        <f>Distribution!M41</f>
        <v>1824860.4913834622</v>
      </c>
      <c r="H379" s="201">
        <f t="shared" si="95"/>
        <v>1824860.4913834622</v>
      </c>
    </row>
    <row r="380" spans="1:8">
      <c r="A380" s="2" t="str">
        <f t="shared" si="93"/>
        <v>38300</v>
      </c>
      <c r="B380" s="1" t="str">
        <f t="shared" si="94"/>
        <v>House Regulators</v>
      </c>
      <c r="C380" s="1" t="s">
        <v>565</v>
      </c>
      <c r="D380" s="1" t="s">
        <v>570</v>
      </c>
      <c r="E380" s="201">
        <f>PlantByAcctByCounty!C630</f>
        <v>1045474.93</v>
      </c>
      <c r="F380" s="201">
        <f t="shared" si="96"/>
        <v>-1045474.93</v>
      </c>
      <c r="G380" s="201">
        <f>Distribution!M42</f>
        <v>715926.92573221761</v>
      </c>
      <c r="H380" s="201">
        <f t="shared" si="95"/>
        <v>715926.92573221761</v>
      </c>
    </row>
    <row r="381" spans="1:8">
      <c r="A381" s="2" t="str">
        <f t="shared" si="93"/>
        <v>38400</v>
      </c>
      <c r="B381" s="1" t="str">
        <f t="shared" si="94"/>
        <v>House Regulator Installati</v>
      </c>
      <c r="C381" s="1" t="s">
        <v>566</v>
      </c>
      <c r="D381" s="1" t="s">
        <v>570</v>
      </c>
      <c r="E381" s="201">
        <f>PlantByAcctByCounty!C631</f>
        <v>808663.49</v>
      </c>
      <c r="F381" s="201">
        <f t="shared" si="96"/>
        <v>-808663.49</v>
      </c>
      <c r="G381" s="201">
        <f>Distribution!M43</f>
        <v>610357.74235423375</v>
      </c>
      <c r="H381" s="201">
        <f t="shared" si="95"/>
        <v>610357.74235423375</v>
      </c>
    </row>
    <row r="382" spans="1:8">
      <c r="A382" s="2" t="str">
        <f t="shared" si="93"/>
        <v>38500</v>
      </c>
      <c r="B382" s="1" t="str">
        <f t="shared" si="94"/>
        <v>Industrial Customer Regula</v>
      </c>
      <c r="C382" s="1" t="s">
        <v>574</v>
      </c>
      <c r="D382" s="1" t="s">
        <v>570</v>
      </c>
      <c r="E382" s="201">
        <f>PlantByAcctByCounty!C632</f>
        <v>610821.28</v>
      </c>
      <c r="F382" s="201">
        <f t="shared" si="96"/>
        <v>-610821.28</v>
      </c>
      <c r="G382" s="201">
        <f>Distribution!M44</f>
        <v>485202.57024923991</v>
      </c>
      <c r="H382" s="201">
        <f t="shared" si="95"/>
        <v>485202.57024923991</v>
      </c>
    </row>
    <row r="383" spans="1:8">
      <c r="A383" s="2" t="str">
        <f t="shared" si="93"/>
        <v>38700</v>
      </c>
      <c r="B383" s="1" t="str">
        <f t="shared" si="94"/>
        <v>Other Equipment for Distri</v>
      </c>
      <c r="C383" s="1" t="s">
        <v>567</v>
      </c>
      <c r="D383" s="1" t="s">
        <v>570</v>
      </c>
      <c r="E383" s="201">
        <f>PlantByAcctByCounty!C633</f>
        <v>185622.18</v>
      </c>
      <c r="F383" s="201">
        <f t="shared" si="96"/>
        <v>-185622.18</v>
      </c>
      <c r="G383" s="201">
        <f>Distribution!M45</f>
        <v>145726.6909710725</v>
      </c>
      <c r="H383" s="201">
        <f t="shared" si="95"/>
        <v>145726.6909710725</v>
      </c>
    </row>
    <row r="384" spans="1:8">
      <c r="A384" s="2" t="str">
        <f t="shared" si="93"/>
        <v>39100</v>
      </c>
      <c r="B384" s="1" t="str">
        <f t="shared" si="94"/>
        <v>Office Furniture</v>
      </c>
      <c r="C384" s="1" t="s">
        <v>575</v>
      </c>
      <c r="D384" s="1" t="s">
        <v>570</v>
      </c>
      <c r="E384" s="201">
        <f>PlantByAcctByCounty!C634</f>
        <v>207302.92</v>
      </c>
      <c r="F384" s="201"/>
      <c r="G384" s="133"/>
      <c r="H384" s="201">
        <f t="shared" si="95"/>
        <v>207302.92</v>
      </c>
    </row>
    <row r="385" spans="1:8">
      <c r="A385" s="2" t="str">
        <f t="shared" si="93"/>
        <v>39400</v>
      </c>
      <c r="B385" s="1" t="str">
        <f t="shared" si="94"/>
        <v>Tools, Shop, &amp; Garage Equi</v>
      </c>
      <c r="C385" s="1" t="s">
        <v>422</v>
      </c>
      <c r="D385" s="1" t="s">
        <v>570</v>
      </c>
      <c r="E385" s="201">
        <f>PlantByAcctByCounty!C635</f>
        <v>318139.67</v>
      </c>
      <c r="F385" s="201"/>
      <c r="G385" s="133"/>
      <c r="H385" s="201">
        <f t="shared" si="95"/>
        <v>318139.67</v>
      </c>
    </row>
    <row r="386" spans="1:8">
      <c r="A386" s="2" t="str">
        <f t="shared" si="93"/>
        <v>39600</v>
      </c>
      <c r="B386" s="1" t="str">
        <f t="shared" si="94"/>
        <v>Power Operated Equipment-H</v>
      </c>
      <c r="C386" s="1" t="s">
        <v>576</v>
      </c>
      <c r="D386" s="1" t="s">
        <v>570</v>
      </c>
      <c r="E386" s="201">
        <f>PlantByAcctByCounty!C636</f>
        <v>170034.37</v>
      </c>
      <c r="F386" s="201"/>
      <c r="G386" s="133"/>
      <c r="H386" s="201">
        <f t="shared" si="95"/>
        <v>170034.37</v>
      </c>
    </row>
    <row r="387" spans="1:8">
      <c r="A387" s="2" t="str">
        <f t="shared" si="93"/>
        <v>39700</v>
      </c>
      <c r="B387" s="1" t="str">
        <f t="shared" si="94"/>
        <v>Communication Equipment</v>
      </c>
      <c r="C387" s="1" t="s">
        <v>568</v>
      </c>
      <c r="D387" s="1" t="s">
        <v>570</v>
      </c>
      <c r="E387" s="201">
        <f>PlantByAcctByCounty!C637</f>
        <v>80565.39</v>
      </c>
      <c r="F387" s="201"/>
      <c r="G387" s="133"/>
      <c r="H387" s="201">
        <f t="shared" si="95"/>
        <v>80565.39</v>
      </c>
    </row>
    <row r="388" spans="1:8">
      <c r="A388" s="2" t="str">
        <f t="shared" si="93"/>
        <v>39800</v>
      </c>
      <c r="B388" s="1" t="str">
        <f t="shared" si="94"/>
        <v>Misc Equipment-used for ga</v>
      </c>
      <c r="C388" s="1" t="s">
        <v>577</v>
      </c>
      <c r="D388" s="1" t="s">
        <v>570</v>
      </c>
      <c r="E388" s="201">
        <f>PlantByAcctByCounty!C638</f>
        <v>9385.8700000000008</v>
      </c>
      <c r="F388" s="201"/>
      <c r="G388" s="133"/>
      <c r="H388" s="201">
        <f t="shared" si="95"/>
        <v>9385.8700000000008</v>
      </c>
    </row>
    <row r="389" spans="1:8">
      <c r="A389" s="2"/>
      <c r="D389" s="193" t="s">
        <v>578</v>
      </c>
      <c r="E389" s="203">
        <f>SUBTOTAL(9,E374:E388)</f>
        <v>55579723.700000003</v>
      </c>
      <c r="F389" s="203">
        <f>SUBTOTAL(9,F374:F388)</f>
        <v>-23610561.809999999</v>
      </c>
      <c r="G389" s="203">
        <f>SUBTOTAL(9,G374:G388)</f>
        <v>20588736.056881744</v>
      </c>
      <c r="H389" s="443">
        <f>SUBTOTAL(9,H374:H388)+771</f>
        <v>52558668.946881741</v>
      </c>
    </row>
    <row r="390" spans="1:8">
      <c r="A390" s="2" t="str">
        <f t="shared" ref="A390:A405" si="97">LEFT(C390,5)</f>
        <v>37600</v>
      </c>
      <c r="B390" s="1" t="str">
        <f t="shared" ref="B390:B405" si="98">MID(C390,10,50)</f>
        <v>Mains - Steel</v>
      </c>
      <c r="C390" s="1" t="s">
        <v>465</v>
      </c>
      <c r="D390" s="1" t="s">
        <v>579</v>
      </c>
      <c r="E390" s="201">
        <f>PlantByAcctByCounty!C639</f>
        <v>20855507.050000001</v>
      </c>
      <c r="F390" s="201"/>
      <c r="G390" s="133"/>
      <c r="H390" s="201">
        <f t="shared" ref="H390:H405" si="99">E390+F390+G390</f>
        <v>20855507.050000001</v>
      </c>
    </row>
    <row r="391" spans="1:8">
      <c r="A391" s="2" t="str">
        <f t="shared" si="97"/>
        <v>37800</v>
      </c>
      <c r="B391" s="1" t="str">
        <f t="shared" si="98"/>
        <v>Regulator Stations - Measu</v>
      </c>
      <c r="C391" s="1" t="s">
        <v>467</v>
      </c>
      <c r="D391" s="1" t="s">
        <v>579</v>
      </c>
      <c r="E391" s="201">
        <f>PlantByAcctByCounty!C640</f>
        <v>278425.65999999997</v>
      </c>
      <c r="F391" s="201"/>
      <c r="G391" s="133"/>
      <c r="H391" s="201">
        <f t="shared" si="99"/>
        <v>278425.65999999997</v>
      </c>
    </row>
    <row r="392" spans="1:8">
      <c r="A392" s="2" t="str">
        <f t="shared" si="97"/>
        <v>37900</v>
      </c>
      <c r="B392" s="1" t="str">
        <f t="shared" si="98"/>
        <v>City Gate Stations - Measu</v>
      </c>
      <c r="C392" s="1" t="s">
        <v>441</v>
      </c>
      <c r="D392" s="1" t="s">
        <v>579</v>
      </c>
      <c r="E392" s="201">
        <f>PlantByAcctByCounty!C641</f>
        <v>1034597.38</v>
      </c>
      <c r="F392" s="201"/>
      <c r="G392" s="133"/>
      <c r="H392" s="201">
        <f t="shared" si="99"/>
        <v>1034597.38</v>
      </c>
    </row>
    <row r="393" spans="1:8">
      <c r="A393" s="2" t="str">
        <f t="shared" si="97"/>
        <v>38000</v>
      </c>
      <c r="B393" s="1" t="str">
        <f t="shared" si="98"/>
        <v>Services Lines - Steel</v>
      </c>
      <c r="C393" s="1" t="s">
        <v>580</v>
      </c>
      <c r="D393" s="1" t="s">
        <v>579</v>
      </c>
      <c r="E393" s="201">
        <f>PlantByAcctByCounty!C642</f>
        <v>5780345.0300000003</v>
      </c>
      <c r="F393" s="201">
        <f t="shared" ref="F393:F399" si="100">E393*-1</f>
        <v>-5780345.0300000003</v>
      </c>
      <c r="G393" s="133">
        <f>E393</f>
        <v>5780345.0300000003</v>
      </c>
      <c r="H393" s="201">
        <f t="shared" si="99"/>
        <v>5780345.0300000003</v>
      </c>
    </row>
    <row r="394" spans="1:8">
      <c r="A394" s="2">
        <v>38100</v>
      </c>
      <c r="B394" s="1" t="s">
        <v>216</v>
      </c>
      <c r="D394" s="1" t="s">
        <v>579</v>
      </c>
      <c r="E394" s="201"/>
      <c r="F394" s="201">
        <f t="shared" si="100"/>
        <v>0</v>
      </c>
      <c r="G394" s="133">
        <f>Meters!E47</f>
        <v>996932.04565607011</v>
      </c>
      <c r="H394" s="201">
        <f t="shared" si="99"/>
        <v>996932.04565607011</v>
      </c>
    </row>
    <row r="395" spans="1:8">
      <c r="A395" s="2" t="str">
        <f t="shared" si="97"/>
        <v>38200</v>
      </c>
      <c r="B395" s="1" t="str">
        <f t="shared" si="98"/>
        <v>Meter Installations</v>
      </c>
      <c r="C395" s="1" t="s">
        <v>581</v>
      </c>
      <c r="D395" s="1" t="s">
        <v>579</v>
      </c>
      <c r="E395" s="201">
        <f>PlantByAcctByCounty!C643</f>
        <v>555135.03</v>
      </c>
      <c r="F395" s="201">
        <f t="shared" si="100"/>
        <v>-555135.03</v>
      </c>
      <c r="G395" s="133">
        <f t="shared" ref="G395:G399" si="101">E395</f>
        <v>555135.03</v>
      </c>
      <c r="H395" s="201">
        <f t="shared" si="99"/>
        <v>555135.03</v>
      </c>
    </row>
    <row r="396" spans="1:8">
      <c r="A396" s="2" t="str">
        <f t="shared" si="97"/>
        <v>38300</v>
      </c>
      <c r="B396" s="1" t="str">
        <f t="shared" si="98"/>
        <v>House Regulators</v>
      </c>
      <c r="C396" s="1" t="s">
        <v>582</v>
      </c>
      <c r="D396" s="1" t="s">
        <v>579</v>
      </c>
      <c r="E396" s="201">
        <f>PlantByAcctByCounty!C644</f>
        <v>351884.63</v>
      </c>
      <c r="F396" s="201">
        <f t="shared" si="100"/>
        <v>-351884.63</v>
      </c>
      <c r="G396" s="133">
        <f t="shared" si="101"/>
        <v>351884.63</v>
      </c>
      <c r="H396" s="201">
        <f t="shared" si="99"/>
        <v>351884.63</v>
      </c>
    </row>
    <row r="397" spans="1:8">
      <c r="A397" s="2" t="str">
        <f t="shared" si="97"/>
        <v>38400</v>
      </c>
      <c r="B397" s="1" t="str">
        <f t="shared" si="98"/>
        <v>House Regulator Installati</v>
      </c>
      <c r="C397" s="1" t="s">
        <v>472</v>
      </c>
      <c r="D397" s="1" t="s">
        <v>579</v>
      </c>
      <c r="E397" s="201">
        <f>PlantByAcctByCounty!C645</f>
        <v>227869.08</v>
      </c>
      <c r="F397" s="201">
        <f t="shared" si="100"/>
        <v>-227869.08</v>
      </c>
      <c r="G397" s="133">
        <f t="shared" si="101"/>
        <v>227869.08</v>
      </c>
      <c r="H397" s="201">
        <f t="shared" si="99"/>
        <v>227869.08</v>
      </c>
    </row>
    <row r="398" spans="1:8">
      <c r="A398" s="2" t="str">
        <f t="shared" si="97"/>
        <v>38500</v>
      </c>
      <c r="B398" s="1" t="str">
        <f t="shared" si="98"/>
        <v>Industrial Customer Regula</v>
      </c>
      <c r="C398" s="1" t="s">
        <v>583</v>
      </c>
      <c r="D398" s="1" t="s">
        <v>579</v>
      </c>
      <c r="E398" s="201">
        <f>PlantByAcctByCounty!C646</f>
        <v>765485.8</v>
      </c>
      <c r="F398" s="201">
        <f t="shared" si="100"/>
        <v>-765485.8</v>
      </c>
      <c r="G398" s="133">
        <f t="shared" si="101"/>
        <v>765485.8</v>
      </c>
      <c r="H398" s="201">
        <f t="shared" si="99"/>
        <v>765485.8</v>
      </c>
    </row>
    <row r="399" spans="1:8">
      <c r="A399" s="2" t="str">
        <f t="shared" si="97"/>
        <v>38700</v>
      </c>
      <c r="B399" s="1" t="str">
        <f t="shared" si="98"/>
        <v>Other Equipment for Distri</v>
      </c>
      <c r="C399" s="1" t="s">
        <v>584</v>
      </c>
      <c r="D399" s="1" t="s">
        <v>579</v>
      </c>
      <c r="E399" s="201">
        <f>PlantByAcctByCounty!C647</f>
        <v>172604.51</v>
      </c>
      <c r="F399" s="201">
        <f t="shared" si="100"/>
        <v>-172604.51</v>
      </c>
      <c r="G399" s="133">
        <f t="shared" si="101"/>
        <v>172604.51</v>
      </c>
      <c r="H399" s="201">
        <f t="shared" si="99"/>
        <v>172604.51</v>
      </c>
    </row>
    <row r="400" spans="1:8">
      <c r="A400" s="2" t="str">
        <f t="shared" si="97"/>
        <v>39100</v>
      </c>
      <c r="B400" s="1" t="str">
        <f t="shared" si="98"/>
        <v>Office Furniture</v>
      </c>
      <c r="C400" s="1" t="s">
        <v>585</v>
      </c>
      <c r="D400" s="1" t="s">
        <v>579</v>
      </c>
      <c r="E400" s="201">
        <f>PlantByAcctByCounty!C648</f>
        <v>136123.63</v>
      </c>
      <c r="F400" s="201"/>
      <c r="G400" s="133"/>
      <c r="H400" s="201">
        <f t="shared" si="99"/>
        <v>136123.63</v>
      </c>
    </row>
    <row r="401" spans="1:8">
      <c r="A401" s="2" t="str">
        <f t="shared" si="97"/>
        <v>39300</v>
      </c>
      <c r="B401" s="1" t="str">
        <f t="shared" si="98"/>
        <v>Stores Equipment</v>
      </c>
      <c r="C401" s="1" t="s">
        <v>586</v>
      </c>
      <c r="D401" s="1" t="s">
        <v>579</v>
      </c>
      <c r="E401" s="201">
        <f>PlantByAcctByCounty!C649</f>
        <v>2071.09</v>
      </c>
      <c r="F401" s="201"/>
      <c r="G401" s="133"/>
      <c r="H401" s="201">
        <f t="shared" si="99"/>
        <v>2071.09</v>
      </c>
    </row>
    <row r="402" spans="1:8">
      <c r="A402" s="2" t="str">
        <f t="shared" si="97"/>
        <v>39400</v>
      </c>
      <c r="B402" s="1" t="str">
        <f t="shared" si="98"/>
        <v>Tools, Shop, &amp; Garage Equi</v>
      </c>
      <c r="C402" s="1" t="s">
        <v>587</v>
      </c>
      <c r="D402" s="1" t="s">
        <v>579</v>
      </c>
      <c r="E402" s="201">
        <f>PlantByAcctByCounty!C650</f>
        <v>90754.09</v>
      </c>
      <c r="F402" s="201"/>
      <c r="G402" s="133"/>
      <c r="H402" s="201">
        <f t="shared" si="99"/>
        <v>90754.09</v>
      </c>
    </row>
    <row r="403" spans="1:8">
      <c r="A403" s="2" t="str">
        <f t="shared" si="97"/>
        <v>39600</v>
      </c>
      <c r="B403" s="1" t="str">
        <f t="shared" si="98"/>
        <v>Power Operated Equipment-H</v>
      </c>
      <c r="C403" s="1" t="s">
        <v>588</v>
      </c>
      <c r="D403" s="1" t="s">
        <v>579</v>
      </c>
      <c r="E403" s="201">
        <f>PlantByAcctByCounty!C651</f>
        <v>25918.77</v>
      </c>
      <c r="F403" s="201"/>
      <c r="G403" s="133"/>
      <c r="H403" s="201">
        <f t="shared" si="99"/>
        <v>25918.77</v>
      </c>
    </row>
    <row r="404" spans="1:8">
      <c r="A404" s="2" t="str">
        <f t="shared" si="97"/>
        <v>39700</v>
      </c>
      <c r="B404" s="1" t="str">
        <f t="shared" si="98"/>
        <v>Communication Equipment</v>
      </c>
      <c r="C404" s="1" t="s">
        <v>589</v>
      </c>
      <c r="D404" s="1" t="s">
        <v>579</v>
      </c>
      <c r="E404" s="201">
        <f>PlantByAcctByCounty!C652</f>
        <v>134147.67000000001</v>
      </c>
      <c r="F404" s="201"/>
      <c r="G404" s="133"/>
      <c r="H404" s="201">
        <f t="shared" si="99"/>
        <v>134147.67000000001</v>
      </c>
    </row>
    <row r="405" spans="1:8">
      <c r="A405" s="2" t="str">
        <f t="shared" si="97"/>
        <v>39800</v>
      </c>
      <c r="B405" s="1" t="str">
        <f t="shared" si="98"/>
        <v>Misc Equipment-used for ga</v>
      </c>
      <c r="C405" s="1" t="s">
        <v>590</v>
      </c>
      <c r="D405" s="1" t="s">
        <v>579</v>
      </c>
      <c r="E405" s="201">
        <f>PlantByAcctByCounty!C653</f>
        <v>4221.92</v>
      </c>
      <c r="F405" s="201"/>
      <c r="G405" s="133"/>
      <c r="H405" s="201">
        <f t="shared" si="99"/>
        <v>4221.92</v>
      </c>
    </row>
    <row r="406" spans="1:8">
      <c r="A406" s="2"/>
      <c r="D406" s="193" t="s">
        <v>591</v>
      </c>
      <c r="E406" s="203">
        <f>SUBTOTAL(9,E390:E405)</f>
        <v>30415091.340000004</v>
      </c>
      <c r="F406" s="203">
        <f>SUBTOTAL(9,F390:F405)</f>
        <v>-7853324.0800000001</v>
      </c>
      <c r="G406" s="203">
        <f>SUBTOTAL(9,G390:G405)</f>
        <v>8850256.1256560702</v>
      </c>
      <c r="H406" s="443">
        <f>SUBTOTAL(9,H390:H405)-17</f>
        <v>31412006.385656074</v>
      </c>
    </row>
    <row r="407" spans="1:8">
      <c r="A407" s="2" t="str">
        <f>LEFT(C407,5)</f>
        <v>37600</v>
      </c>
      <c r="B407" s="1" t="str">
        <f>MID(C407,10,50)</f>
        <v>Mains - Steel</v>
      </c>
      <c r="C407" s="1" t="s">
        <v>312</v>
      </c>
      <c r="D407" s="1" t="s">
        <v>149</v>
      </c>
      <c r="E407" s="201">
        <f>PlantByAcctByCounty!C654</f>
        <v>3991796.16</v>
      </c>
      <c r="F407" s="201"/>
      <c r="G407" s="133"/>
      <c r="H407" s="201">
        <f t="shared" ref="H407:H409" si="102">E407+F407+G407</f>
        <v>3991796.16</v>
      </c>
    </row>
    <row r="408" spans="1:8">
      <c r="A408" s="2" t="str">
        <f>LEFT(C408,5)</f>
        <v>37900</v>
      </c>
      <c r="B408" s="1" t="str">
        <f>MID(C408,10,50)</f>
        <v>City Gate Stations - Measu</v>
      </c>
      <c r="C408" s="1" t="s">
        <v>315</v>
      </c>
      <c r="D408" s="1" t="s">
        <v>149</v>
      </c>
      <c r="E408" s="201">
        <f>PlantByAcctByCounty!C655</f>
        <v>571856.06999999995</v>
      </c>
      <c r="F408" s="201"/>
      <c r="G408" s="133"/>
      <c r="H408" s="201">
        <f t="shared" si="102"/>
        <v>571856.06999999995</v>
      </c>
    </row>
    <row r="409" spans="1:8">
      <c r="A409" s="2">
        <v>38100</v>
      </c>
      <c r="B409" s="1" t="s">
        <v>216</v>
      </c>
      <c r="C409" s="1" t="s">
        <v>315</v>
      </c>
      <c r="D409" s="1" t="s">
        <v>149</v>
      </c>
      <c r="E409" s="201">
        <v>0</v>
      </c>
      <c r="F409" s="201">
        <f t="shared" ref="F409" si="103">E409*-1</f>
        <v>0</v>
      </c>
      <c r="G409" s="133">
        <f>Meters!E48</f>
        <v>512.38583809631837</v>
      </c>
      <c r="H409" s="201">
        <f t="shared" si="102"/>
        <v>512.38583809631837</v>
      </c>
    </row>
    <row r="410" spans="1:8">
      <c r="A410" s="2"/>
      <c r="D410" s="193" t="s">
        <v>592</v>
      </c>
      <c r="E410" s="203">
        <f>SUBTOTAL(9,E407:E409)</f>
        <v>4563652.2300000004</v>
      </c>
      <c r="F410" s="203">
        <f>SUBTOTAL(9,F407:F409)</f>
        <v>0</v>
      </c>
      <c r="G410" s="203">
        <f>SUBTOTAL(9,G407:G409)</f>
        <v>512.38583809631837</v>
      </c>
      <c r="H410" s="443">
        <f>SUBTOTAL(9,H407:H409)-1</f>
        <v>4564163.6158380965</v>
      </c>
    </row>
    <row r="411" spans="1:8">
      <c r="A411" s="2" t="str">
        <f t="shared" ref="A411:A425" si="104">LEFT(C411,5)</f>
        <v>37600</v>
      </c>
      <c r="B411" s="1" t="str">
        <f t="shared" ref="B411:B425" si="105">MID(C411,10,50)</f>
        <v>Mains - Steel</v>
      </c>
      <c r="C411" s="1" t="s">
        <v>593</v>
      </c>
      <c r="D411" s="1" t="s">
        <v>594</v>
      </c>
      <c r="E411" s="201">
        <f>PlantByAcctByCounty!C656</f>
        <v>31885022.190000001</v>
      </c>
      <c r="F411" s="201"/>
      <c r="G411" s="133"/>
      <c r="H411" s="201">
        <f t="shared" ref="H411:H425" si="106">E411+F411+G411</f>
        <v>31885022.190000001</v>
      </c>
    </row>
    <row r="412" spans="1:8">
      <c r="A412" s="2" t="str">
        <f t="shared" si="104"/>
        <v>37800</v>
      </c>
      <c r="B412" s="1" t="str">
        <f t="shared" si="105"/>
        <v>Regulator Stations - Measu</v>
      </c>
      <c r="C412" s="1" t="s">
        <v>502</v>
      </c>
      <c r="D412" s="1" t="s">
        <v>594</v>
      </c>
      <c r="E412" s="201">
        <f>PlantByAcctByCounty!C657</f>
        <v>521258.38</v>
      </c>
      <c r="F412" s="201"/>
      <c r="G412" s="133"/>
      <c r="H412" s="201">
        <f t="shared" si="106"/>
        <v>521258.38</v>
      </c>
    </row>
    <row r="413" spans="1:8">
      <c r="A413" s="2" t="str">
        <f t="shared" si="104"/>
        <v>37900</v>
      </c>
      <c r="B413" s="1" t="str">
        <f t="shared" si="105"/>
        <v>City Gate Stations - Measu</v>
      </c>
      <c r="C413" s="1" t="s">
        <v>503</v>
      </c>
      <c r="D413" s="1" t="s">
        <v>594</v>
      </c>
      <c r="E413" s="201">
        <f>PlantByAcctByCounty!C658</f>
        <v>245478.98</v>
      </c>
      <c r="F413" s="201"/>
      <c r="G413" s="133"/>
      <c r="H413" s="201">
        <f t="shared" si="106"/>
        <v>245478.98</v>
      </c>
    </row>
    <row r="414" spans="1:8">
      <c r="A414" s="2" t="str">
        <f t="shared" si="104"/>
        <v>38000</v>
      </c>
      <c r="B414" s="1" t="str">
        <f t="shared" si="105"/>
        <v>Services Lines - Steel</v>
      </c>
      <c r="C414" s="1" t="s">
        <v>504</v>
      </c>
      <c r="D414" s="1" t="s">
        <v>594</v>
      </c>
      <c r="E414" s="201">
        <f>PlantByAcctByCounty!C659</f>
        <v>23622513.98</v>
      </c>
      <c r="F414" s="201">
        <f t="shared" ref="F414:F420" si="107">E414*-1</f>
        <v>-23622513.98</v>
      </c>
      <c r="G414" s="201">
        <f>Distribution!K90</f>
        <v>8766300.7603974268</v>
      </c>
      <c r="H414" s="201">
        <f t="shared" si="106"/>
        <v>8766300.7603974268</v>
      </c>
    </row>
    <row r="415" spans="1:8">
      <c r="A415" s="2" t="str">
        <f t="shared" si="104"/>
        <v>38100</v>
      </c>
      <c r="B415" s="1" t="str">
        <f t="shared" si="105"/>
        <v>Meters</v>
      </c>
      <c r="C415" s="1" t="s">
        <v>444</v>
      </c>
      <c r="D415" s="1" t="s">
        <v>594</v>
      </c>
      <c r="E415" s="201">
        <f>PlantByAcctByCounty!C660</f>
        <v>22700.59</v>
      </c>
      <c r="F415" s="201">
        <f t="shared" si="107"/>
        <v>-22700.59</v>
      </c>
      <c r="G415" s="133">
        <f>Meters!E49</f>
        <v>1842710.2690737264</v>
      </c>
      <c r="H415" s="201">
        <f t="shared" si="106"/>
        <v>1842710.2690737264</v>
      </c>
    </row>
    <row r="416" spans="1:8">
      <c r="A416" s="2" t="str">
        <f t="shared" si="104"/>
        <v>38200</v>
      </c>
      <c r="B416" s="1" t="str">
        <f t="shared" si="105"/>
        <v>Meter Installations</v>
      </c>
      <c r="C416" s="1" t="s">
        <v>505</v>
      </c>
      <c r="D416" s="1" t="s">
        <v>594</v>
      </c>
      <c r="E416" s="201">
        <f>PlantByAcctByCounty!C661</f>
        <v>4025384.62</v>
      </c>
      <c r="F416" s="201">
        <f t="shared" si="107"/>
        <v>-4025384.62</v>
      </c>
      <c r="G416" s="201">
        <f>Distribution!K91</f>
        <v>1457870.1905197373</v>
      </c>
      <c r="H416" s="201">
        <f t="shared" si="106"/>
        <v>1457870.1905197373</v>
      </c>
    </row>
    <row r="417" spans="1:8">
      <c r="A417" s="2" t="str">
        <f t="shared" si="104"/>
        <v>38300</v>
      </c>
      <c r="B417" s="1" t="str">
        <f t="shared" si="105"/>
        <v>House Regulators</v>
      </c>
      <c r="C417" s="1" t="s">
        <v>595</v>
      </c>
      <c r="D417" s="1" t="s">
        <v>594</v>
      </c>
      <c r="E417" s="201">
        <f>PlantByAcctByCounty!C662</f>
        <v>648238.15</v>
      </c>
      <c r="F417" s="201">
        <f t="shared" si="107"/>
        <v>-648238.15</v>
      </c>
      <c r="G417" s="201">
        <f>Distribution!K92</f>
        <v>234362.35508176396</v>
      </c>
      <c r="H417" s="201">
        <f t="shared" si="106"/>
        <v>234362.35508176396</v>
      </c>
    </row>
    <row r="418" spans="1:8">
      <c r="A418" s="2" t="str">
        <f t="shared" si="104"/>
        <v>38400</v>
      </c>
      <c r="B418" s="1" t="str">
        <f t="shared" si="105"/>
        <v>House Regulator Installati</v>
      </c>
      <c r="C418" s="1" t="s">
        <v>506</v>
      </c>
      <c r="D418" s="1" t="s">
        <v>594</v>
      </c>
      <c r="E418" s="201">
        <f>PlantByAcctByCounty!C663</f>
        <v>1744054.04</v>
      </c>
      <c r="F418" s="201">
        <f t="shared" si="107"/>
        <v>-1744054.04</v>
      </c>
      <c r="G418" s="201">
        <f>Distribution!K93</f>
        <v>636616.82511996524</v>
      </c>
      <c r="H418" s="201">
        <f t="shared" si="106"/>
        <v>636616.82511996524</v>
      </c>
    </row>
    <row r="419" spans="1:8">
      <c r="A419" s="2" t="str">
        <f t="shared" si="104"/>
        <v>38500</v>
      </c>
      <c r="B419" s="1" t="str">
        <f t="shared" si="105"/>
        <v>Industrial Customer Regula</v>
      </c>
      <c r="C419" s="1" t="s">
        <v>507</v>
      </c>
      <c r="D419" s="1" t="s">
        <v>594</v>
      </c>
      <c r="E419" s="201">
        <f>PlantByAcctByCounty!C664</f>
        <v>292371.82</v>
      </c>
      <c r="F419" s="201">
        <f t="shared" si="107"/>
        <v>-292371.82</v>
      </c>
      <c r="G419" s="201">
        <f>Distribution!K94</f>
        <v>132601.37621774682</v>
      </c>
      <c r="H419" s="201">
        <f t="shared" si="106"/>
        <v>132601.37621774682</v>
      </c>
    </row>
    <row r="420" spans="1:8">
      <c r="A420" s="2" t="str">
        <f t="shared" si="104"/>
        <v>38700</v>
      </c>
      <c r="B420" s="1" t="str">
        <f t="shared" si="105"/>
        <v>Other Equipment for Distri</v>
      </c>
      <c r="C420" s="1" t="s">
        <v>508</v>
      </c>
      <c r="D420" s="1" t="s">
        <v>594</v>
      </c>
      <c r="E420" s="201">
        <f>PlantByAcctByCounty!C665</f>
        <v>238951.66</v>
      </c>
      <c r="F420" s="201">
        <f t="shared" si="107"/>
        <v>-238951.66</v>
      </c>
      <c r="G420" s="201">
        <f>Distribution!K95</f>
        <v>86644.122745124332</v>
      </c>
      <c r="H420" s="201">
        <f t="shared" si="106"/>
        <v>86644.122745124332</v>
      </c>
    </row>
    <row r="421" spans="1:8">
      <c r="A421" s="2" t="str">
        <f t="shared" si="104"/>
        <v>39100</v>
      </c>
      <c r="B421" s="1" t="str">
        <f t="shared" si="105"/>
        <v>Office Furniture</v>
      </c>
      <c r="C421" s="1" t="s">
        <v>596</v>
      </c>
      <c r="D421" s="1" t="s">
        <v>594</v>
      </c>
      <c r="E421" s="201">
        <f>PlantByAcctByCounty!C666</f>
        <v>364587.54</v>
      </c>
      <c r="F421" s="201"/>
      <c r="G421" s="133"/>
      <c r="H421" s="201">
        <f t="shared" si="106"/>
        <v>364587.54</v>
      </c>
    </row>
    <row r="422" spans="1:8">
      <c r="A422" s="2" t="str">
        <f t="shared" si="104"/>
        <v>39400</v>
      </c>
      <c r="B422" s="1" t="str">
        <f t="shared" si="105"/>
        <v>Tools, Shop, &amp; Garage Equi</v>
      </c>
      <c r="C422" s="1" t="s">
        <v>597</v>
      </c>
      <c r="D422" s="1" t="s">
        <v>594</v>
      </c>
      <c r="E422" s="201">
        <f>PlantByAcctByCounty!C667</f>
        <v>156932.85</v>
      </c>
      <c r="F422" s="201"/>
      <c r="G422" s="133"/>
      <c r="H422" s="201">
        <f t="shared" si="106"/>
        <v>156932.85</v>
      </c>
    </row>
    <row r="423" spans="1:8">
      <c r="A423" s="2" t="str">
        <f t="shared" si="104"/>
        <v>39600</v>
      </c>
      <c r="B423" s="1" t="str">
        <f t="shared" si="105"/>
        <v>Power Operated Equipment-H</v>
      </c>
      <c r="C423" s="1" t="s">
        <v>598</v>
      </c>
      <c r="D423" s="1" t="s">
        <v>594</v>
      </c>
      <c r="E423" s="201">
        <f>PlantByAcctByCounty!C668</f>
        <v>9538.34</v>
      </c>
      <c r="F423" s="201"/>
      <c r="G423" s="133"/>
      <c r="H423" s="201">
        <f t="shared" si="106"/>
        <v>9538.34</v>
      </c>
    </row>
    <row r="424" spans="1:8">
      <c r="A424" s="2" t="str">
        <f t="shared" si="104"/>
        <v>39700</v>
      </c>
      <c r="B424" s="1" t="str">
        <f t="shared" si="105"/>
        <v>Communication Equipment</v>
      </c>
      <c r="C424" s="1" t="s">
        <v>509</v>
      </c>
      <c r="D424" s="1" t="s">
        <v>594</v>
      </c>
      <c r="E424" s="201">
        <f>PlantByAcctByCounty!C669</f>
        <v>158101.32999999999</v>
      </c>
      <c r="F424" s="201"/>
      <c r="G424" s="133"/>
      <c r="H424" s="201">
        <f t="shared" si="106"/>
        <v>158101.32999999999</v>
      </c>
    </row>
    <row r="425" spans="1:8">
      <c r="A425" s="2" t="str">
        <f t="shared" si="104"/>
        <v>39800</v>
      </c>
      <c r="B425" s="1" t="str">
        <f t="shared" si="105"/>
        <v>Misc Equipment-used for ga</v>
      </c>
      <c r="C425" s="1" t="s">
        <v>599</v>
      </c>
      <c r="D425" s="1" t="s">
        <v>594</v>
      </c>
      <c r="E425" s="201">
        <f>PlantByAcctByCounty!C670</f>
        <v>141867.37</v>
      </c>
      <c r="F425" s="201"/>
      <c r="G425" s="133"/>
      <c r="H425" s="201">
        <f t="shared" si="106"/>
        <v>141867.37</v>
      </c>
    </row>
    <row r="426" spans="1:8">
      <c r="A426" s="2"/>
      <c r="B426" s="133">
        <f>SUM(E414:E420)-E415</f>
        <v>30571514.27</v>
      </c>
      <c r="D426" s="193" t="s">
        <v>600</v>
      </c>
      <c r="E426" s="203">
        <f>SUBTOTAL(9,E411:E425)</f>
        <v>64077001.839999996</v>
      </c>
      <c r="F426" s="203">
        <f>SUBTOTAL(9,F411:F425)</f>
        <v>-30594214.859999999</v>
      </c>
      <c r="G426" s="203">
        <f>SUBTOTAL(9,G411:G425)</f>
        <v>13157105.89915549</v>
      </c>
      <c r="H426" s="443">
        <f>SUBTOTAL(9,H411:H425)-26</f>
        <v>46639866.879155494</v>
      </c>
    </row>
    <row r="427" spans="1:8">
      <c r="A427" s="2" t="str">
        <f t="shared" ref="A427:A432" si="108">LEFT(C427,5)</f>
        <v>37600</v>
      </c>
      <c r="B427" s="1" t="str">
        <f t="shared" ref="B427:B429" si="109">MID(C427,10,50)</f>
        <v>Mains - Steel</v>
      </c>
      <c r="C427" s="1" t="s">
        <v>465</v>
      </c>
      <c r="D427" s="1" t="s">
        <v>601</v>
      </c>
      <c r="E427" s="201">
        <f>PlantByAcctByCounty!C671</f>
        <v>6555546.2599999998</v>
      </c>
      <c r="F427" s="201"/>
      <c r="G427" s="133"/>
      <c r="H427" s="201">
        <f t="shared" ref="H427:H436" si="110">E427+F427+G427</f>
        <v>6555546.2599999998</v>
      </c>
    </row>
    <row r="428" spans="1:8">
      <c r="A428" s="2" t="str">
        <f t="shared" si="108"/>
        <v>37800</v>
      </c>
      <c r="B428" s="1" t="str">
        <f t="shared" si="109"/>
        <v>Regulator Stations - Measu</v>
      </c>
      <c r="C428" s="1" t="s">
        <v>467</v>
      </c>
      <c r="D428" s="1" t="s">
        <v>601</v>
      </c>
      <c r="E428" s="201">
        <f>PlantByAcctByCounty!C672</f>
        <v>49506.23</v>
      </c>
      <c r="F428" s="201"/>
      <c r="G428" s="133"/>
      <c r="H428" s="201">
        <f t="shared" si="110"/>
        <v>49506.23</v>
      </c>
    </row>
    <row r="429" spans="1:8">
      <c r="A429" s="2" t="str">
        <f t="shared" si="108"/>
        <v>37900</v>
      </c>
      <c r="B429" s="1" t="str">
        <f t="shared" si="109"/>
        <v>City Gate Stations - Measu</v>
      </c>
      <c r="C429" s="1" t="s">
        <v>534</v>
      </c>
      <c r="D429" s="1" t="s">
        <v>601</v>
      </c>
      <c r="E429" s="201">
        <f>PlantByAcctByCounty!C673</f>
        <v>79312.25</v>
      </c>
      <c r="F429" s="201"/>
      <c r="G429" s="133"/>
      <c r="H429" s="201">
        <f t="shared" si="110"/>
        <v>79312.25</v>
      </c>
    </row>
    <row r="430" spans="1:8">
      <c r="A430" s="2">
        <v>38000</v>
      </c>
      <c r="B430" s="1" t="s">
        <v>370</v>
      </c>
      <c r="D430" s="1" t="s">
        <v>601</v>
      </c>
      <c r="E430" s="201">
        <f>PlantByAcctByCounty!C674</f>
        <v>160096.31</v>
      </c>
      <c r="F430" s="201">
        <f t="shared" ref="F430:F436" si="111">E430*-1</f>
        <v>-160096.31</v>
      </c>
      <c r="G430" s="201">
        <f>Distribution!M59</f>
        <v>5586037.3072205847</v>
      </c>
      <c r="H430" s="201">
        <f t="shared" si="110"/>
        <v>5586037.3072205847</v>
      </c>
    </row>
    <row r="431" spans="1:8">
      <c r="A431" s="2">
        <v>38100</v>
      </c>
      <c r="B431" s="1" t="s">
        <v>216</v>
      </c>
      <c r="D431" s="1" t="s">
        <v>601</v>
      </c>
      <c r="E431" s="201"/>
      <c r="F431" s="201">
        <f t="shared" si="111"/>
        <v>0</v>
      </c>
      <c r="G431" s="133">
        <f>Meters!E50</f>
        <v>1317343.9897456346</v>
      </c>
      <c r="H431" s="201">
        <f t="shared" si="110"/>
        <v>1317343.9897456346</v>
      </c>
    </row>
    <row r="432" spans="1:8">
      <c r="A432" s="2" t="str">
        <f t="shared" si="108"/>
        <v>38200</v>
      </c>
      <c r="B432" s="1" t="s">
        <v>217</v>
      </c>
      <c r="C432" s="1" t="s">
        <v>536</v>
      </c>
      <c r="D432" s="1" t="s">
        <v>601</v>
      </c>
      <c r="E432" s="201">
        <f>PlantByAcctByCounty!C675</f>
        <v>398483.73</v>
      </c>
      <c r="F432" s="201">
        <f t="shared" si="111"/>
        <v>-398483.73</v>
      </c>
      <c r="G432" s="201">
        <f>Distribution!M60</f>
        <v>1124499.1542360291</v>
      </c>
      <c r="H432" s="201">
        <f t="shared" si="110"/>
        <v>1124499.1542360291</v>
      </c>
    </row>
    <row r="433" spans="1:8">
      <c r="A433" s="2">
        <v>38300</v>
      </c>
      <c r="B433" s="1" t="s">
        <v>218</v>
      </c>
      <c r="D433" s="1" t="s">
        <v>601</v>
      </c>
      <c r="E433" s="201">
        <v>0</v>
      </c>
      <c r="F433" s="201">
        <f t="shared" si="111"/>
        <v>0</v>
      </c>
      <c r="G433" s="201">
        <f>Distribution!M61</f>
        <v>337803.46550812153</v>
      </c>
      <c r="H433" s="201">
        <f t="shared" si="110"/>
        <v>337803.46550812153</v>
      </c>
    </row>
    <row r="434" spans="1:8">
      <c r="A434" s="2" t="str">
        <f>LEFT(C434,5)</f>
        <v>38400</v>
      </c>
      <c r="B434" s="1" t="s">
        <v>317</v>
      </c>
      <c r="C434" s="1" t="s">
        <v>472</v>
      </c>
      <c r="D434" s="1" t="s">
        <v>601</v>
      </c>
      <c r="E434" s="201">
        <f>PlantByAcctByCounty!C676</f>
        <v>14248.56</v>
      </c>
      <c r="F434" s="201">
        <f t="shared" si="111"/>
        <v>-14248.56</v>
      </c>
      <c r="G434" s="201">
        <f>Distribution!M62</f>
        <v>418894.18383416091</v>
      </c>
      <c r="H434" s="201">
        <f t="shared" si="110"/>
        <v>418894.18383416091</v>
      </c>
    </row>
    <row r="435" spans="1:8">
      <c r="A435" s="2">
        <v>38500</v>
      </c>
      <c r="B435" s="1" t="s">
        <v>318</v>
      </c>
      <c r="D435" s="1" t="s">
        <v>601</v>
      </c>
      <c r="E435" s="201"/>
      <c r="F435" s="201">
        <f t="shared" si="111"/>
        <v>0</v>
      </c>
      <c r="G435" s="201">
        <f>Distribution!M63</f>
        <v>352582.73091251473</v>
      </c>
      <c r="H435" s="201">
        <f t="shared" si="110"/>
        <v>352582.73091251473</v>
      </c>
    </row>
    <row r="436" spans="1:8">
      <c r="A436" s="2">
        <v>38700</v>
      </c>
      <c r="B436" s="1" t="s">
        <v>319</v>
      </c>
      <c r="D436" s="1" t="s">
        <v>601</v>
      </c>
      <c r="E436" s="201"/>
      <c r="F436" s="201">
        <f t="shared" si="111"/>
        <v>0</v>
      </c>
      <c r="G436" s="201">
        <f>Distribution!M64</f>
        <v>83140.101438941259</v>
      </c>
      <c r="H436" s="201">
        <f t="shared" si="110"/>
        <v>83140.101438941259</v>
      </c>
    </row>
    <row r="437" spans="1:8">
      <c r="A437" s="2"/>
      <c r="D437" s="193" t="s">
        <v>602</v>
      </c>
      <c r="E437" s="203">
        <f>SUBTOTAL(9,E427:E436)</f>
        <v>7257193.3399999989</v>
      </c>
      <c r="F437" s="203">
        <f>SUBTOTAL(9,F427:F436)</f>
        <v>-572828.60000000009</v>
      </c>
      <c r="G437" s="203">
        <f>SUBTOTAL(9,G427:G436)</f>
        <v>9220300.9328959864</v>
      </c>
      <c r="H437" s="443">
        <f>SUBTOTAL(9,H427:H436)-18</f>
        <v>15904647.672895988</v>
      </c>
    </row>
    <row r="438" spans="1:8">
      <c r="A438" s="2" t="str">
        <f t="shared" ref="A438:A443" si="112">LEFT(C438,5)</f>
        <v>37600</v>
      </c>
      <c r="B438" s="1" t="str">
        <f>MID(C438,10,50)</f>
        <v>Mains - Steel</v>
      </c>
      <c r="C438" s="1" t="s">
        <v>312</v>
      </c>
      <c r="D438" s="1" t="s">
        <v>1</v>
      </c>
      <c r="E438" s="201">
        <f>PlantByAcctByCounty!C677</f>
        <v>23854447.550000001</v>
      </c>
      <c r="F438" s="201"/>
      <c r="G438" s="133"/>
      <c r="H438" s="201">
        <f t="shared" ref="H438:H446" si="113">E438+F438+G438</f>
        <v>23854447.550000001</v>
      </c>
    </row>
    <row r="439" spans="1:8">
      <c r="A439" s="2" t="str">
        <f t="shared" si="112"/>
        <v>37800</v>
      </c>
      <c r="B439" s="1" t="str">
        <f>MID(C439,10,50)</f>
        <v>Regulator Stations - Measu</v>
      </c>
      <c r="C439" s="1" t="s">
        <v>364</v>
      </c>
      <c r="D439" s="1" t="s">
        <v>1</v>
      </c>
      <c r="E439" s="201">
        <f>PlantByAcctByCounty!C678</f>
        <v>308356.36</v>
      </c>
      <c r="F439" s="201"/>
      <c r="G439" s="133"/>
      <c r="H439" s="201">
        <f t="shared" si="113"/>
        <v>308356.36</v>
      </c>
    </row>
    <row r="440" spans="1:8">
      <c r="A440" s="2">
        <v>38000</v>
      </c>
      <c r="B440" s="1" t="s">
        <v>370</v>
      </c>
      <c r="D440" s="1" t="s">
        <v>1</v>
      </c>
      <c r="E440" s="201">
        <v>0</v>
      </c>
      <c r="F440" s="201">
        <f t="shared" ref="F440:F446" si="114">E440*-1</f>
        <v>0</v>
      </c>
      <c r="G440" s="201">
        <f>Distribution!N76</f>
        <v>5240019.1298457319</v>
      </c>
      <c r="H440" s="201">
        <f t="shared" si="113"/>
        <v>5240019.1298457319</v>
      </c>
    </row>
    <row r="441" spans="1:8">
      <c r="A441" s="2">
        <v>38100</v>
      </c>
      <c r="B441" s="1" t="s">
        <v>216</v>
      </c>
      <c r="D441" s="1" t="s">
        <v>1</v>
      </c>
      <c r="E441" s="201"/>
      <c r="F441" s="201">
        <f t="shared" si="114"/>
        <v>0</v>
      </c>
      <c r="G441" s="133">
        <f>Meters!E51</f>
        <v>671054.65262681164</v>
      </c>
      <c r="H441" s="201">
        <f t="shared" si="113"/>
        <v>671054.65262681164</v>
      </c>
    </row>
    <row r="442" spans="1:8">
      <c r="A442" s="2" t="str">
        <f t="shared" si="112"/>
        <v>38200</v>
      </c>
      <c r="B442" s="1" t="s">
        <v>217</v>
      </c>
      <c r="C442" s="1" t="s">
        <v>388</v>
      </c>
      <c r="D442" s="1" t="s">
        <v>1</v>
      </c>
      <c r="E442" s="201">
        <f>PlantByAcctByCounty!C679</f>
        <v>37397.57</v>
      </c>
      <c r="F442" s="201">
        <f t="shared" si="114"/>
        <v>-37397.57</v>
      </c>
      <c r="G442" s="201">
        <f>Distribution!N77</f>
        <v>674436.23465987563</v>
      </c>
      <c r="H442" s="201">
        <f t="shared" si="113"/>
        <v>674436.23465987563</v>
      </c>
    </row>
    <row r="443" spans="1:8">
      <c r="A443" s="2" t="str">
        <f t="shared" si="112"/>
        <v>38300</v>
      </c>
      <c r="B443" s="1" t="s">
        <v>218</v>
      </c>
      <c r="C443" s="1" t="s">
        <v>390</v>
      </c>
      <c r="D443" s="1" t="s">
        <v>1</v>
      </c>
      <c r="E443" s="201">
        <f>PlantByAcctByCounty!C680</f>
        <v>436403.55</v>
      </c>
      <c r="F443" s="201">
        <f t="shared" si="114"/>
        <v>-436403.55</v>
      </c>
      <c r="G443" s="201">
        <f>Distribution!N78</f>
        <v>363150.19079582742</v>
      </c>
      <c r="H443" s="201">
        <f t="shared" si="113"/>
        <v>363150.19079582742</v>
      </c>
    </row>
    <row r="444" spans="1:8">
      <c r="A444" s="2" t="str">
        <f>LEFT(C444,5)</f>
        <v>38400</v>
      </c>
      <c r="B444" s="1" t="s">
        <v>317</v>
      </c>
      <c r="C444" s="1" t="s">
        <v>392</v>
      </c>
      <c r="D444" s="1" t="s">
        <v>1</v>
      </c>
      <c r="E444" s="201">
        <f>PlantByAcctByCounty!C681</f>
        <v>12465.85</v>
      </c>
      <c r="F444" s="201">
        <f t="shared" si="114"/>
        <v>-12465.85</v>
      </c>
      <c r="G444" s="201">
        <f>Distribution!N79</f>
        <v>289456.41672755766</v>
      </c>
      <c r="H444" s="201">
        <f t="shared" si="113"/>
        <v>289456.41672755766</v>
      </c>
    </row>
    <row r="445" spans="1:8">
      <c r="A445" s="2">
        <v>38500</v>
      </c>
      <c r="B445" s="1" t="s">
        <v>318</v>
      </c>
      <c r="D445" s="1" t="s">
        <v>1</v>
      </c>
      <c r="E445" s="201"/>
      <c r="F445" s="201">
        <f t="shared" si="114"/>
        <v>0</v>
      </c>
      <c r="G445" s="201">
        <f>Distribution!N80</f>
        <v>536053.27951809589</v>
      </c>
      <c r="H445" s="201">
        <f t="shared" si="113"/>
        <v>536053.27951809589</v>
      </c>
    </row>
    <row r="446" spans="1:8">
      <c r="A446" s="2">
        <v>38700</v>
      </c>
      <c r="B446" s="1" t="s">
        <v>319</v>
      </c>
      <c r="D446" s="1" t="s">
        <v>1</v>
      </c>
      <c r="E446" s="201"/>
      <c r="F446" s="201">
        <f t="shared" si="114"/>
        <v>0</v>
      </c>
      <c r="G446" s="201">
        <f>Distribution!N81</f>
        <v>67923.970510309024</v>
      </c>
      <c r="H446" s="201">
        <f t="shared" si="113"/>
        <v>67923.970510309024</v>
      </c>
    </row>
    <row r="447" spans="1:8">
      <c r="A447" s="2"/>
      <c r="D447" s="193" t="s">
        <v>603</v>
      </c>
      <c r="E447" s="203">
        <f>SUBTOTAL(9,E438:E446)</f>
        <v>24649070.880000003</v>
      </c>
      <c r="F447" s="203">
        <f>SUBTOTAL(9,F438:F446)</f>
        <v>-486266.97</v>
      </c>
      <c r="G447" s="203">
        <f>SUBTOTAL(9,G438:G446)</f>
        <v>7842093.874684209</v>
      </c>
      <c r="H447" s="443">
        <f>SUBTOTAL(9,H438:H446)-16</f>
        <v>32004881.784684211</v>
      </c>
    </row>
    <row r="448" spans="1:8">
      <c r="A448" s="2" t="str">
        <f>LEFT(C448,5)</f>
        <v>37600</v>
      </c>
      <c r="B448" s="1" t="str">
        <f>MID(C448,10,50)</f>
        <v>Mains - Steel</v>
      </c>
      <c r="C448" s="1" t="s">
        <v>604</v>
      </c>
      <c r="D448" s="1" t="s">
        <v>605</v>
      </c>
      <c r="E448" s="201">
        <f>PlantByAcctByCounty!C682</f>
        <v>1275308.3899999999</v>
      </c>
      <c r="F448" s="201"/>
      <c r="G448" s="133"/>
      <c r="H448" s="201">
        <f t="shared" ref="H448:H450" si="115">E448+F448+G448</f>
        <v>1275308.3899999999</v>
      </c>
    </row>
    <row r="449" spans="1:8">
      <c r="A449" s="2" t="str">
        <f>LEFT(C449,5)</f>
        <v>37900</v>
      </c>
      <c r="B449" s="1" t="str">
        <f>MID(C449,10,50)</f>
        <v>City Gate Stations - Measu</v>
      </c>
      <c r="C449" s="1" t="s">
        <v>529</v>
      </c>
      <c r="D449" s="1" t="s">
        <v>605</v>
      </c>
      <c r="E449" s="201">
        <f>PlantByAcctByCounty!C683</f>
        <v>1716171.17</v>
      </c>
      <c r="F449" s="201"/>
      <c r="G449" s="133"/>
      <c r="H449" s="201">
        <f t="shared" si="115"/>
        <v>1716171.17</v>
      </c>
    </row>
    <row r="450" spans="1:8">
      <c r="A450" s="2">
        <v>38100</v>
      </c>
      <c r="B450" s="1" t="s">
        <v>216</v>
      </c>
      <c r="C450" s="1" t="s">
        <v>529</v>
      </c>
      <c r="D450" s="1" t="s">
        <v>605</v>
      </c>
      <c r="E450" s="201"/>
      <c r="F450" s="201">
        <f t="shared" ref="F450" si="116">E450*-1</f>
        <v>0</v>
      </c>
      <c r="G450" s="133">
        <f>Meters!E52</f>
        <v>341.59055873087897</v>
      </c>
      <c r="H450" s="201">
        <f t="shared" si="115"/>
        <v>341.59055873087897</v>
      </c>
    </row>
    <row r="451" spans="1:8">
      <c r="A451" s="2"/>
      <c r="D451" s="193" t="s">
        <v>606</v>
      </c>
      <c r="E451" s="203">
        <f>SUBTOTAL(9,E448:E450)</f>
        <v>2991479.5599999996</v>
      </c>
      <c r="F451" s="203">
        <f>SUBTOTAL(9,F448:F450)</f>
        <v>0</v>
      </c>
      <c r="G451" s="203">
        <f>SUBTOTAL(9,G448:G450)</f>
        <v>341.59055873087897</v>
      </c>
      <c r="H451" s="203">
        <f>SUBTOTAL(9,H448:H450)</f>
        <v>2991821.1505587306</v>
      </c>
    </row>
    <row r="452" spans="1:8">
      <c r="A452" s="2" t="str">
        <f>LEFT(C452,5)</f>
        <v>37600</v>
      </c>
      <c r="B452" s="1" t="str">
        <f>MID(C452,10,50)</f>
        <v>Mains - Steel</v>
      </c>
      <c r="C452" s="1" t="s">
        <v>511</v>
      </c>
      <c r="D452" s="1" t="s">
        <v>607</v>
      </c>
      <c r="E452" s="201">
        <f>PlantByAcctByCounty!C684</f>
        <v>9418138.7200000007</v>
      </c>
      <c r="F452" s="201"/>
      <c r="G452" s="133"/>
      <c r="H452" s="201">
        <f t="shared" ref="H452:H460" si="117">E452+F452+G452</f>
        <v>9418138.7200000007</v>
      </c>
    </row>
    <row r="453" spans="1:8">
      <c r="A453" s="2" t="str">
        <f>LEFT(C453,5)</f>
        <v>37800</v>
      </c>
      <c r="B453" s="1" t="str">
        <f>MID(C453,10,50)</f>
        <v>Regulator Stations - Measu</v>
      </c>
      <c r="C453" s="1" t="s">
        <v>513</v>
      </c>
      <c r="D453" s="1" t="s">
        <v>607</v>
      </c>
      <c r="E453" s="201">
        <f>PlantByAcctByCounty!C685</f>
        <v>56255.62</v>
      </c>
      <c r="F453" s="201"/>
      <c r="G453" s="133"/>
      <c r="H453" s="201">
        <f t="shared" si="117"/>
        <v>56255.62</v>
      </c>
    </row>
    <row r="454" spans="1:8">
      <c r="A454" s="2">
        <v>38000</v>
      </c>
      <c r="B454" s="1" t="s">
        <v>370</v>
      </c>
      <c r="D454" s="1" t="s">
        <v>607</v>
      </c>
      <c r="E454" s="201"/>
      <c r="F454" s="201">
        <f t="shared" ref="F454:F460" si="118">E454*-1</f>
        <v>0</v>
      </c>
      <c r="G454" s="201">
        <f>Distribution!L107</f>
        <v>8801530.0610164497</v>
      </c>
      <c r="H454" s="201">
        <f t="shared" si="117"/>
        <v>8801530.0610164497</v>
      </c>
    </row>
    <row r="455" spans="1:8">
      <c r="A455" s="2">
        <v>38100</v>
      </c>
      <c r="B455" s="1" t="s">
        <v>216</v>
      </c>
      <c r="C455" s="1" t="s">
        <v>513</v>
      </c>
      <c r="D455" s="1" t="s">
        <v>607</v>
      </c>
      <c r="E455" s="201"/>
      <c r="F455" s="201">
        <f t="shared" si="118"/>
        <v>0</v>
      </c>
      <c r="G455" s="133">
        <f>Meters!E53</f>
        <v>3174571.8575654235</v>
      </c>
      <c r="H455" s="201">
        <f t="shared" si="117"/>
        <v>3174571.8575654235</v>
      </c>
    </row>
    <row r="456" spans="1:8">
      <c r="A456" s="2">
        <v>38200</v>
      </c>
      <c r="B456" s="1" t="s">
        <v>217</v>
      </c>
      <c r="D456" s="1" t="s">
        <v>607</v>
      </c>
      <c r="E456" s="201"/>
      <c r="F456" s="201">
        <f t="shared" si="118"/>
        <v>0</v>
      </c>
      <c r="G456" s="201">
        <f>Distribution!L108</f>
        <v>2613171.5928726387</v>
      </c>
      <c r="H456" s="201">
        <f t="shared" si="117"/>
        <v>2613171.5928726387</v>
      </c>
    </row>
    <row r="457" spans="1:8">
      <c r="A457" s="2">
        <v>38300</v>
      </c>
      <c r="B457" s="1" t="s">
        <v>218</v>
      </c>
      <c r="D457" s="1" t="s">
        <v>607</v>
      </c>
      <c r="E457" s="201"/>
      <c r="F457" s="201">
        <f t="shared" si="118"/>
        <v>0</v>
      </c>
      <c r="G457" s="201">
        <f>Distribution!L109</f>
        <v>362680.81811300101</v>
      </c>
      <c r="H457" s="201">
        <f t="shared" si="117"/>
        <v>362680.81811300101</v>
      </c>
    </row>
    <row r="458" spans="1:8">
      <c r="A458" s="2">
        <v>38400</v>
      </c>
      <c r="B458" s="1" t="s">
        <v>317</v>
      </c>
      <c r="D458" s="1" t="s">
        <v>607</v>
      </c>
      <c r="E458" s="201"/>
      <c r="F458" s="201">
        <f t="shared" si="118"/>
        <v>0</v>
      </c>
      <c r="G458" s="201">
        <f>Distribution!L110</f>
        <v>1128358.3691291951</v>
      </c>
      <c r="H458" s="201">
        <f t="shared" si="117"/>
        <v>1128358.3691291951</v>
      </c>
    </row>
    <row r="459" spans="1:8">
      <c r="A459" s="2">
        <v>38500</v>
      </c>
      <c r="B459" s="1" t="s">
        <v>318</v>
      </c>
      <c r="D459" s="1" t="s">
        <v>607</v>
      </c>
      <c r="E459" s="201"/>
      <c r="F459" s="201">
        <f t="shared" si="118"/>
        <v>0</v>
      </c>
      <c r="G459" s="201">
        <f>Distribution!L111</f>
        <v>71911.031993430777</v>
      </c>
      <c r="H459" s="201">
        <f t="shared" si="117"/>
        <v>71911.031993430777</v>
      </c>
    </row>
    <row r="460" spans="1:8">
      <c r="A460" s="2">
        <v>38700</v>
      </c>
      <c r="B460" s="1" t="s">
        <v>319</v>
      </c>
      <c r="D460" s="1" t="s">
        <v>607</v>
      </c>
      <c r="E460" s="201"/>
      <c r="F460" s="201">
        <f t="shared" si="118"/>
        <v>0</v>
      </c>
      <c r="G460" s="201">
        <f>Distribution!L112</f>
        <v>95820.16392778937</v>
      </c>
      <c r="H460" s="201">
        <f t="shared" si="117"/>
        <v>95820.16392778937</v>
      </c>
    </row>
    <row r="461" spans="1:8">
      <c r="A461" s="2"/>
      <c r="D461" s="193" t="s">
        <v>608</v>
      </c>
      <c r="E461" s="203">
        <f>SUBTOTAL(9,E452:E460)</f>
        <v>9474394.3399999999</v>
      </c>
      <c r="F461" s="203">
        <f>SUBTOTAL(9,F452:F460)</f>
        <v>0</v>
      </c>
      <c r="G461" s="203">
        <f>SUBTOTAL(9,G452:G460)</f>
        <v>16248043.894617928</v>
      </c>
      <c r="H461" s="443">
        <f>SUBTOTAL(9,H452:H460)-32</f>
        <v>25722406.23461793</v>
      </c>
    </row>
    <row r="462" spans="1:8">
      <c r="A462" s="2" t="str">
        <f t="shared" ref="A462:A476" si="119">LEFT(C462,5)</f>
        <v>37600</v>
      </c>
      <c r="B462" s="1" t="str">
        <f t="shared" ref="B462:B476" si="120">MID(C462,10,50)</f>
        <v>Mains - Steel</v>
      </c>
      <c r="C462" s="1" t="s">
        <v>411</v>
      </c>
      <c r="D462" s="1" t="s">
        <v>609</v>
      </c>
      <c r="E462" s="201">
        <f>PlantByAcctByCounty!C686</f>
        <v>16043401.369999999</v>
      </c>
      <c r="F462" s="201"/>
      <c r="G462" s="133"/>
      <c r="H462" s="201">
        <f t="shared" ref="H462:H476" si="121">E462+F462+G462</f>
        <v>16043401.369999999</v>
      </c>
    </row>
    <row r="463" spans="1:8">
      <c r="A463" s="2" t="str">
        <f t="shared" si="119"/>
        <v>37800</v>
      </c>
      <c r="B463" s="1" t="str">
        <f t="shared" si="120"/>
        <v>Regulator Stations - Measu</v>
      </c>
      <c r="C463" s="1" t="s">
        <v>364</v>
      </c>
      <c r="D463" s="1" t="s">
        <v>609</v>
      </c>
      <c r="E463" s="201">
        <f>PlantByAcctByCounty!C687</f>
        <v>189006.66</v>
      </c>
      <c r="F463" s="201"/>
      <c r="G463" s="133"/>
      <c r="H463" s="201">
        <f t="shared" si="121"/>
        <v>189006.66</v>
      </c>
    </row>
    <row r="464" spans="1:8">
      <c r="A464" s="2" t="str">
        <f t="shared" si="119"/>
        <v>37900</v>
      </c>
      <c r="B464" s="1" t="str">
        <f t="shared" si="120"/>
        <v>City Gate Stations - Measu</v>
      </c>
      <c r="C464" s="1" t="s">
        <v>610</v>
      </c>
      <c r="D464" s="1" t="s">
        <v>609</v>
      </c>
      <c r="E464" s="201">
        <f>PlantByAcctByCounty!C688</f>
        <v>48394.5</v>
      </c>
      <c r="F464" s="201"/>
      <c r="G464" s="133"/>
      <c r="H464" s="201">
        <f t="shared" si="121"/>
        <v>48394.5</v>
      </c>
    </row>
    <row r="465" spans="1:8">
      <c r="A465" s="2" t="str">
        <f t="shared" si="119"/>
        <v>38000</v>
      </c>
      <c r="B465" s="1" t="str">
        <f t="shared" si="120"/>
        <v>Services Lines - Steel</v>
      </c>
      <c r="C465" s="1" t="s">
        <v>611</v>
      </c>
      <c r="D465" s="1" t="s">
        <v>609</v>
      </c>
      <c r="E465" s="201">
        <f>PlantByAcctByCounty!C689</f>
        <v>7206260.2699999996</v>
      </c>
      <c r="F465" s="201">
        <f t="shared" ref="F465:F471" si="122">E465*-1</f>
        <v>-7206260.2699999996</v>
      </c>
      <c r="G465" s="201">
        <f>Distribution!D142</f>
        <v>7200495.2617839994</v>
      </c>
      <c r="H465" s="201">
        <f t="shared" si="121"/>
        <v>7200495.2617839994</v>
      </c>
    </row>
    <row r="466" spans="1:8">
      <c r="A466" s="2">
        <v>38100</v>
      </c>
      <c r="B466" s="1" t="s">
        <v>216</v>
      </c>
      <c r="D466" s="1" t="s">
        <v>609</v>
      </c>
      <c r="E466" s="201"/>
      <c r="F466" s="201">
        <f t="shared" si="122"/>
        <v>0</v>
      </c>
      <c r="G466" s="133">
        <f>Meters!E55</f>
        <v>1236899.4131645127</v>
      </c>
      <c r="H466" s="201">
        <f t="shared" si="121"/>
        <v>1236899.4131645127</v>
      </c>
    </row>
    <row r="467" spans="1:8">
      <c r="A467" s="2" t="str">
        <f t="shared" si="119"/>
        <v>38200</v>
      </c>
      <c r="B467" s="1" t="str">
        <f t="shared" si="120"/>
        <v>Meter Installations</v>
      </c>
      <c r="C467" s="1" t="s">
        <v>612</v>
      </c>
      <c r="D467" s="1" t="s">
        <v>609</v>
      </c>
      <c r="E467" s="201">
        <f>PlantByAcctByCounty!C690</f>
        <v>847194.26</v>
      </c>
      <c r="F467" s="201">
        <f t="shared" si="122"/>
        <v>-847194.26</v>
      </c>
      <c r="G467" s="201">
        <f>Distribution!D143</f>
        <v>846516.50459200004</v>
      </c>
      <c r="H467" s="201">
        <f t="shared" si="121"/>
        <v>846516.50459200004</v>
      </c>
    </row>
    <row r="468" spans="1:8">
      <c r="A468" s="2" t="str">
        <f t="shared" si="119"/>
        <v>38300</v>
      </c>
      <c r="B468" s="1" t="str">
        <f t="shared" si="120"/>
        <v>House Regulators</v>
      </c>
      <c r="C468" s="1" t="s">
        <v>613</v>
      </c>
      <c r="D468" s="1" t="s">
        <v>609</v>
      </c>
      <c r="E468" s="201">
        <f>PlantByAcctByCounty!C691</f>
        <v>307206.08</v>
      </c>
      <c r="F468" s="201">
        <f t="shared" si="122"/>
        <v>-307206.08</v>
      </c>
      <c r="G468" s="201">
        <f>Distribution!D144</f>
        <v>306960.31513599999</v>
      </c>
      <c r="H468" s="201">
        <f t="shared" si="121"/>
        <v>306960.31513599999</v>
      </c>
    </row>
    <row r="469" spans="1:8">
      <c r="A469" s="2" t="str">
        <f t="shared" si="119"/>
        <v>38400</v>
      </c>
      <c r="B469" s="1" t="str">
        <f t="shared" si="120"/>
        <v>House Regulator Installati</v>
      </c>
      <c r="C469" s="1" t="s">
        <v>392</v>
      </c>
      <c r="D469" s="1" t="s">
        <v>609</v>
      </c>
      <c r="E469" s="201">
        <f>PlantByAcctByCounty!C692</f>
        <v>335358.96999999997</v>
      </c>
      <c r="F469" s="201">
        <f t="shared" si="122"/>
        <v>-335358.96999999997</v>
      </c>
      <c r="G469" s="201">
        <f>Distribution!D145</f>
        <v>335090.68282399996</v>
      </c>
      <c r="H469" s="201">
        <f t="shared" si="121"/>
        <v>335090.68282399996</v>
      </c>
    </row>
    <row r="470" spans="1:8">
      <c r="A470" s="2" t="str">
        <f t="shared" si="119"/>
        <v>38500</v>
      </c>
      <c r="B470" s="1" t="str">
        <f t="shared" si="120"/>
        <v>Industrial Customer Regula</v>
      </c>
      <c r="C470" s="1" t="s">
        <v>614</v>
      </c>
      <c r="D470" s="1" t="s">
        <v>609</v>
      </c>
      <c r="E470" s="201">
        <f>PlantByAcctByCounty!C693</f>
        <v>89112.960000000006</v>
      </c>
      <c r="F470" s="201">
        <f t="shared" si="122"/>
        <v>-89112.960000000006</v>
      </c>
      <c r="G470" s="201">
        <f>Distribution!D146</f>
        <v>89041.669632000005</v>
      </c>
      <c r="H470" s="201">
        <f t="shared" si="121"/>
        <v>89041.669632000005</v>
      </c>
    </row>
    <row r="471" spans="1:8">
      <c r="A471" s="2" t="str">
        <f t="shared" si="119"/>
        <v>38700</v>
      </c>
      <c r="B471" s="1" t="str">
        <f t="shared" si="120"/>
        <v>Other Equipment for Distri</v>
      </c>
      <c r="C471" s="1" t="s">
        <v>615</v>
      </c>
      <c r="D471" s="1" t="s">
        <v>609</v>
      </c>
      <c r="E471" s="201">
        <f>PlantByAcctByCounty!C694</f>
        <v>118930.74</v>
      </c>
      <c r="F471" s="201">
        <f t="shared" si="122"/>
        <v>-118930.74</v>
      </c>
      <c r="G471" s="201">
        <f>Distribution!D147</f>
        <v>118835.59540800001</v>
      </c>
      <c r="H471" s="201">
        <f t="shared" si="121"/>
        <v>118835.59540800001</v>
      </c>
    </row>
    <row r="472" spans="1:8">
      <c r="A472" s="2" t="str">
        <f t="shared" si="119"/>
        <v>39100</v>
      </c>
      <c r="B472" s="1" t="str">
        <f t="shared" si="120"/>
        <v>Office Furniture</v>
      </c>
      <c r="C472" s="1" t="s">
        <v>616</v>
      </c>
      <c r="D472" s="1" t="s">
        <v>609</v>
      </c>
      <c r="E472" s="201">
        <f>PlantByAcctByCounty!C695</f>
        <v>60078.49</v>
      </c>
      <c r="F472" s="201"/>
      <c r="G472" s="133"/>
      <c r="H472" s="201">
        <f t="shared" si="121"/>
        <v>60078.49</v>
      </c>
    </row>
    <row r="473" spans="1:8">
      <c r="A473" s="2" t="str">
        <f t="shared" si="119"/>
        <v>39400</v>
      </c>
      <c r="B473" s="1" t="str">
        <f t="shared" si="120"/>
        <v>Tools, Shop, &amp; Garage Equi</v>
      </c>
      <c r="C473" s="1" t="s">
        <v>617</v>
      </c>
      <c r="D473" s="1" t="s">
        <v>609</v>
      </c>
      <c r="E473" s="201">
        <f>PlantByAcctByCounty!C696</f>
        <v>202125.01</v>
      </c>
      <c r="F473" s="201"/>
      <c r="G473" s="133"/>
      <c r="H473" s="201">
        <f t="shared" si="121"/>
        <v>202125.01</v>
      </c>
    </row>
    <row r="474" spans="1:8">
      <c r="A474" s="2" t="str">
        <f t="shared" si="119"/>
        <v>39600</v>
      </c>
      <c r="B474" s="1" t="str">
        <f t="shared" si="120"/>
        <v>Power Operated Equipment-H</v>
      </c>
      <c r="C474" s="1" t="s">
        <v>618</v>
      </c>
      <c r="D474" s="1" t="s">
        <v>609</v>
      </c>
      <c r="E474" s="201">
        <f>PlantByAcctByCounty!C697</f>
        <v>91324.18</v>
      </c>
      <c r="F474" s="201"/>
      <c r="G474" s="133"/>
      <c r="H474" s="201">
        <f t="shared" si="121"/>
        <v>91324.18</v>
      </c>
    </row>
    <row r="475" spans="1:8">
      <c r="A475" s="2" t="str">
        <f t="shared" si="119"/>
        <v>39700</v>
      </c>
      <c r="B475" s="1" t="str">
        <f t="shared" si="120"/>
        <v>Communication Equipment</v>
      </c>
      <c r="C475" s="1" t="s">
        <v>619</v>
      </c>
      <c r="D475" s="1" t="s">
        <v>609</v>
      </c>
      <c r="E475" s="201">
        <f>PlantByAcctByCounty!C698</f>
        <v>65912.850000000006</v>
      </c>
      <c r="F475" s="201"/>
      <c r="G475" s="133"/>
      <c r="H475" s="201">
        <f t="shared" si="121"/>
        <v>65912.850000000006</v>
      </c>
    </row>
    <row r="476" spans="1:8">
      <c r="A476" s="2" t="str">
        <f t="shared" si="119"/>
        <v>39800</v>
      </c>
      <c r="B476" s="1" t="str">
        <f t="shared" si="120"/>
        <v>Misc Equipment-used for ga</v>
      </c>
      <c r="C476" s="1" t="s">
        <v>620</v>
      </c>
      <c r="D476" s="1" t="s">
        <v>609</v>
      </c>
      <c r="E476" s="201">
        <f>PlantByAcctByCounty!C699</f>
        <v>6908.1</v>
      </c>
      <c r="F476" s="201"/>
      <c r="G476" s="133"/>
      <c r="H476" s="201">
        <f t="shared" si="121"/>
        <v>6908.1</v>
      </c>
    </row>
    <row r="477" spans="1:8">
      <c r="A477" s="2"/>
      <c r="D477" s="193" t="s">
        <v>621</v>
      </c>
      <c r="E477" s="203">
        <f>SUBTOTAL(9,E462:E476)</f>
        <v>25611214.439999998</v>
      </c>
      <c r="F477" s="203">
        <f>SUBTOTAL(9,F462:F476)</f>
        <v>-8904063.2800000012</v>
      </c>
      <c r="G477" s="203">
        <f>SUBTOTAL(9,G462:G476)</f>
        <v>10133839.442540513</v>
      </c>
      <c r="H477" s="443">
        <f>SUBTOTAL(9,H462:H476)-21</f>
        <v>26840969.602540515</v>
      </c>
    </row>
    <row r="478" spans="1:8">
      <c r="A478" s="2" t="str">
        <f>LEFT(C478,5)</f>
        <v>38700</v>
      </c>
      <c r="B478" s="1" t="str">
        <f>MID(C478,10,50)</f>
        <v>Other Equipment for Distri</v>
      </c>
      <c r="C478" s="1" t="s">
        <v>331</v>
      </c>
      <c r="D478" s="1" t="s">
        <v>622</v>
      </c>
      <c r="E478" s="201">
        <f>3324.18-1662.06-1662.12</f>
        <v>0</v>
      </c>
      <c r="F478" s="201"/>
      <c r="G478" s="133"/>
      <c r="H478" s="201">
        <f t="shared" ref="H478" si="123">E478+F478+G478</f>
        <v>0</v>
      </c>
    </row>
    <row r="479" spans="1:8">
      <c r="A479" s="2"/>
      <c r="D479" s="193" t="s">
        <v>623</v>
      </c>
      <c r="E479" s="203">
        <f>SUBTOTAL(9,E478)</f>
        <v>0</v>
      </c>
      <c r="F479" s="203">
        <f>SUBTOTAL(9,F478)</f>
        <v>0</v>
      </c>
      <c r="G479" s="203">
        <f>SUBTOTAL(9,G478)</f>
        <v>0</v>
      </c>
      <c r="H479" s="203">
        <f>SUBTOTAL(9,H478)</f>
        <v>0</v>
      </c>
    </row>
    <row r="480" spans="1:8">
      <c r="A480" s="2">
        <v>37800</v>
      </c>
      <c r="B480" s="1" t="s">
        <v>363</v>
      </c>
      <c r="D480" s="1" t="s">
        <v>624</v>
      </c>
      <c r="E480" s="205">
        <f>PlantByAcctByCounty!C700</f>
        <v>180076.07</v>
      </c>
      <c r="F480" s="205"/>
      <c r="G480" s="205"/>
      <c r="H480" s="201">
        <f t="shared" ref="H480:H489" si="124">E480+F480+G480</f>
        <v>180076.07</v>
      </c>
    </row>
    <row r="481" spans="1:8">
      <c r="A481" s="2">
        <v>37600</v>
      </c>
      <c r="B481" s="1" t="s">
        <v>311</v>
      </c>
      <c r="D481" s="1" t="s">
        <v>624</v>
      </c>
      <c r="E481" s="205">
        <v>0</v>
      </c>
      <c r="F481" s="205"/>
      <c r="G481" s="205"/>
      <c r="H481" s="201">
        <f t="shared" si="124"/>
        <v>0</v>
      </c>
    </row>
    <row r="482" spans="1:8">
      <c r="A482" s="2" t="s">
        <v>385</v>
      </c>
      <c r="B482" s="1" t="s">
        <v>370</v>
      </c>
      <c r="D482" s="1" t="s">
        <v>624</v>
      </c>
      <c r="E482" s="205"/>
      <c r="F482" s="201">
        <f t="shared" ref="F482:F488" si="125">E482*-1</f>
        <v>0</v>
      </c>
      <c r="G482" s="205">
        <f>Distribution!L130</f>
        <v>1640.2263192982455</v>
      </c>
      <c r="H482" s="201">
        <f>E482+F482+G482</f>
        <v>1640.2263192982455</v>
      </c>
    </row>
    <row r="483" spans="1:8">
      <c r="A483" s="2">
        <v>38100</v>
      </c>
      <c r="B483" s="1" t="s">
        <v>216</v>
      </c>
      <c r="C483" s="1" t="s">
        <v>331</v>
      </c>
      <c r="D483" s="1" t="s">
        <v>624</v>
      </c>
      <c r="E483" s="201"/>
      <c r="F483" s="201">
        <f t="shared" si="125"/>
        <v>0</v>
      </c>
      <c r="G483" s="133">
        <f>Meters!E56</f>
        <v>512.38583809631837</v>
      </c>
      <c r="H483" s="201">
        <f t="shared" si="124"/>
        <v>512.38583809631837</v>
      </c>
    </row>
    <row r="484" spans="1:8">
      <c r="A484" s="2" t="s">
        <v>387</v>
      </c>
      <c r="B484" s="1" t="s">
        <v>217</v>
      </c>
      <c r="D484" s="1" t="s">
        <v>624</v>
      </c>
      <c r="E484" s="201"/>
      <c r="F484" s="201">
        <f t="shared" si="125"/>
        <v>0</v>
      </c>
      <c r="G484" s="205">
        <f>Distribution!L131</f>
        <v>350.607098245614</v>
      </c>
      <c r="H484" s="201">
        <f>E484+F484+G484</f>
        <v>350.607098245614</v>
      </c>
    </row>
    <row r="485" spans="1:8">
      <c r="A485" s="2">
        <v>38300</v>
      </c>
      <c r="B485" s="1" t="s">
        <v>218</v>
      </c>
      <c r="D485" s="1" t="s">
        <v>624</v>
      </c>
      <c r="E485" s="201"/>
      <c r="F485" s="201"/>
      <c r="G485" s="205">
        <f>Distribution!L132</f>
        <v>177.06529999999998</v>
      </c>
      <c r="H485" s="201">
        <f t="shared" si="124"/>
        <v>177.06529999999998</v>
      </c>
    </row>
    <row r="486" spans="1:8">
      <c r="A486" s="2">
        <v>38400</v>
      </c>
      <c r="B486" s="1" t="s">
        <v>317</v>
      </c>
      <c r="D486" s="1" t="s">
        <v>624</v>
      </c>
      <c r="E486" s="201"/>
      <c r="F486" s="201">
        <f t="shared" si="125"/>
        <v>0</v>
      </c>
      <c r="G486" s="205">
        <f>Distribution!L133</f>
        <v>180.28468771929823</v>
      </c>
      <c r="H486" s="201">
        <f t="shared" si="124"/>
        <v>180.28468771929823</v>
      </c>
    </row>
    <row r="487" spans="1:8">
      <c r="A487" s="2" t="s">
        <v>393</v>
      </c>
      <c r="B487" s="1" t="s">
        <v>318</v>
      </c>
      <c r="D487" s="1" t="s">
        <v>624</v>
      </c>
      <c r="E487" s="201"/>
      <c r="F487" s="201">
        <f t="shared" si="125"/>
        <v>0</v>
      </c>
      <c r="G487" s="205">
        <f>Distribution!L134</f>
        <v>12.410373684210526</v>
      </c>
      <c r="H487" s="201">
        <f t="shared" si="124"/>
        <v>12.410373684210526</v>
      </c>
    </row>
    <row r="488" spans="1:8">
      <c r="A488" s="2" t="s">
        <v>394</v>
      </c>
      <c r="B488" s="1" t="s">
        <v>319</v>
      </c>
      <c r="D488" s="1" t="s">
        <v>624</v>
      </c>
      <c r="E488" s="201"/>
      <c r="F488" s="201">
        <f t="shared" si="125"/>
        <v>0</v>
      </c>
      <c r="G488" s="205">
        <f>Distribution!L135</f>
        <v>23.092643859649122</v>
      </c>
      <c r="H488" s="201">
        <f t="shared" si="124"/>
        <v>23.092643859649122</v>
      </c>
    </row>
    <row r="489" spans="1:8">
      <c r="A489" s="2">
        <v>39700</v>
      </c>
      <c r="B489" s="1" t="s">
        <v>227</v>
      </c>
      <c r="D489" s="1" t="s">
        <v>624</v>
      </c>
      <c r="E489" s="201">
        <f>PlantByAcctByCounty!C701</f>
        <v>5950</v>
      </c>
      <c r="F489" s="201"/>
      <c r="G489" s="205">
        <f>Distribution!L136</f>
        <v>0</v>
      </c>
      <c r="H489" s="201">
        <f t="shared" si="124"/>
        <v>5950</v>
      </c>
    </row>
    <row r="490" spans="1:8">
      <c r="A490" s="2"/>
      <c r="D490" s="193" t="s">
        <v>625</v>
      </c>
      <c r="E490" s="203">
        <f>SUM(E480:E489)</f>
        <v>186026.07</v>
      </c>
      <c r="F490" s="203">
        <f>SUM(F480:F489)</f>
        <v>0</v>
      </c>
      <c r="G490" s="203">
        <f>SUM(G480:G489)</f>
        <v>2896.072260903336</v>
      </c>
      <c r="H490" s="443">
        <f>SUM(H480:H489)-2</f>
        <v>188920.14226090335</v>
      </c>
    </row>
    <row r="491" spans="1:8">
      <c r="A491" s="2"/>
      <c r="D491" s="193"/>
      <c r="E491" s="205"/>
      <c r="F491" s="205"/>
      <c r="G491" s="205"/>
      <c r="H491" s="205"/>
    </row>
    <row r="492" spans="1:8">
      <c r="A492" s="2"/>
      <c r="E492" s="201"/>
      <c r="F492" s="201"/>
      <c r="G492" s="133"/>
      <c r="H492" s="133"/>
    </row>
    <row r="493" spans="1:8" ht="13.5" thickBot="1">
      <c r="A493" s="2"/>
      <c r="D493" s="193" t="s">
        <v>626</v>
      </c>
      <c r="E493" s="386">
        <f>+E17+E33+E37+E39+E54+E62+E73+E83+E92+E110+E126+E136+E140+E142+E156+E171+E189+E209+E226+E243+E246+E256+E266+E278+E294+E304+E315+E332+E343+E360+E373+E389+E406+E410+E426+E437+E451+E447+E461+E477+E479+E490+E199</f>
        <v>1176998753.5999997</v>
      </c>
      <c r="F493" s="386">
        <f t="shared" ref="F493:H493" si="126">+F17+F33+F37+F39+F54+F62+F73+F83+F92+F110+F126+F136+F140+F142+F156+F171+F189+F209+F226+F243+F246+F256+F266+F278+F294+F304+F315+F332+F343+F360+F373+F389+F406+F410+F426+F437+F451+F447+F461+F477+F479+F490+F199</f>
        <v>-410580844.81000006</v>
      </c>
      <c r="G493" s="386">
        <f t="shared" si="126"/>
        <v>410580844.81</v>
      </c>
      <c r="H493" s="386">
        <f t="shared" si="126"/>
        <v>1176998753.3874187</v>
      </c>
    </row>
    <row r="494" spans="1:8" ht="13.5" thickTop="1">
      <c r="A494" s="2"/>
      <c r="E494" s="201"/>
      <c r="F494" s="201"/>
      <c r="G494" s="133"/>
      <c r="H494" s="133"/>
    </row>
    <row r="495" spans="1:8" ht="15">
      <c r="A495" s="2"/>
      <c r="E495" s="356"/>
      <c r="F495" s="356"/>
      <c r="G495" s="357" t="s">
        <v>627</v>
      </c>
      <c r="H495" s="52">
        <f>'Sum. of Prop.'!B27</f>
        <v>2993540444.6351895</v>
      </c>
    </row>
    <row r="496" spans="1:8">
      <c r="A496" s="2"/>
    </row>
    <row r="497" spans="1:8" ht="16.5" thickBot="1">
      <c r="A497" s="2"/>
      <c r="E497" s="201"/>
      <c r="F497" s="201"/>
      <c r="G497" s="207" t="s">
        <v>628</v>
      </c>
      <c r="H497" s="387">
        <f>SUM(H495:H496)</f>
        <v>2993540444.6351895</v>
      </c>
    </row>
    <row r="498" spans="1:8" ht="13.5" thickTop="1">
      <c r="A498" s="2"/>
      <c r="E498" s="201"/>
      <c r="F498" s="201"/>
      <c r="G498" s="133"/>
      <c r="H498" s="133">
        <f>H497-PlantByAcctByCounty!C702</f>
        <v>1816541691.0351906</v>
      </c>
    </row>
    <row r="499" spans="1:8">
      <c r="A499" s="2"/>
      <c r="E499" s="201"/>
      <c r="F499" s="201"/>
      <c r="G499" s="133"/>
      <c r="H499" s="133">
        <f>PlantByAcctByCounty!I702</f>
        <v>1176998753.599999</v>
      </c>
    </row>
    <row r="500" spans="1:8">
      <c r="A500" s="2"/>
      <c r="E500" s="201"/>
      <c r="F500" s="201"/>
      <c r="G500" s="133"/>
      <c r="H500" s="133">
        <f>H493-H499</f>
        <v>-0.21258020401000977</v>
      </c>
    </row>
    <row r="501" spans="1:8">
      <c r="A501" s="2"/>
      <c r="E501" s="201"/>
      <c r="F501" s="133"/>
      <c r="G501" s="133"/>
      <c r="H501" s="133"/>
    </row>
    <row r="502" spans="1:8">
      <c r="A502" s="2"/>
      <c r="E502" s="201"/>
      <c r="F502" s="201"/>
      <c r="G502" s="133"/>
      <c r="H502" s="133"/>
    </row>
    <row r="503" spans="1:8">
      <c r="A503" s="2"/>
      <c r="E503" s="201"/>
      <c r="F503" s="201"/>
      <c r="G503" s="133"/>
      <c r="H503" s="133"/>
    </row>
    <row r="504" spans="1:8">
      <c r="A504" s="2"/>
      <c r="E504" s="201"/>
      <c r="F504" s="201"/>
      <c r="G504" s="133"/>
      <c r="H504" s="133"/>
    </row>
    <row r="505" spans="1:8">
      <c r="A505" s="2"/>
      <c r="E505" s="201"/>
      <c r="F505" s="201"/>
      <c r="G505" s="133"/>
      <c r="H505" s="133"/>
    </row>
    <row r="506" spans="1:8">
      <c r="A506" s="2"/>
      <c r="E506" s="201"/>
      <c r="F506" s="201"/>
      <c r="G506" s="133"/>
      <c r="H506" s="133"/>
    </row>
    <row r="507" spans="1:8">
      <c r="A507" s="2"/>
      <c r="E507" s="201"/>
      <c r="F507" s="201"/>
      <c r="G507" s="133"/>
      <c r="H507" s="133"/>
    </row>
    <row r="508" spans="1:8">
      <c r="A508" s="2"/>
      <c r="E508" s="201"/>
      <c r="F508" s="201"/>
      <c r="G508" s="133"/>
      <c r="H508" s="133"/>
    </row>
    <row r="509" spans="1:8">
      <c r="A509" s="2"/>
      <c r="E509" s="201"/>
      <c r="F509" s="201"/>
      <c r="G509" s="133"/>
      <c r="H509" s="133"/>
    </row>
    <row r="510" spans="1:8">
      <c r="A510" s="2"/>
      <c r="E510" s="201"/>
      <c r="F510" s="201"/>
      <c r="G510" s="133"/>
      <c r="H510" s="133"/>
    </row>
    <row r="511" spans="1:8">
      <c r="A511" s="2"/>
      <c r="E511" s="201"/>
      <c r="F511" s="201"/>
      <c r="G511" s="133"/>
      <c r="H511" s="133"/>
    </row>
    <row r="512" spans="1:8">
      <c r="A512" s="2"/>
      <c r="E512" s="201"/>
      <c r="F512" s="201"/>
      <c r="G512" s="133"/>
      <c r="H512" s="133"/>
    </row>
    <row r="513" spans="1:8">
      <c r="A513" s="2"/>
      <c r="E513" s="201"/>
      <c r="F513" s="201"/>
      <c r="G513" s="133"/>
      <c r="H513" s="133"/>
    </row>
    <row r="514" spans="1:8">
      <c r="A514" s="2"/>
      <c r="E514" s="201"/>
      <c r="F514" s="201"/>
      <c r="G514" s="133"/>
      <c r="H514" s="133"/>
    </row>
    <row r="515" spans="1:8">
      <c r="A515" s="2"/>
      <c r="E515" s="201"/>
      <c r="F515" s="201"/>
      <c r="G515" s="133"/>
      <c r="H515" s="133"/>
    </row>
    <row r="516" spans="1:8">
      <c r="A516" s="2"/>
      <c r="E516" s="201"/>
      <c r="F516" s="201"/>
      <c r="G516" s="133"/>
      <c r="H516" s="133"/>
    </row>
    <row r="517" spans="1:8">
      <c r="A517" s="2"/>
      <c r="E517" s="201"/>
      <c r="F517" s="201"/>
      <c r="G517" s="133"/>
      <c r="H517" s="133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Y418"/>
  <sheetViews>
    <sheetView showGridLines="0" workbookViewId="0">
      <selection activeCell="F50" sqref="F50"/>
    </sheetView>
  </sheetViews>
  <sheetFormatPr defaultColWidth="9.140625" defaultRowHeight="12.75"/>
  <cols>
    <col min="1" max="1" width="15.28515625" style="1" customWidth="1"/>
    <col min="2" max="2" width="9.140625" style="1"/>
    <col min="3" max="3" width="11.7109375" style="1" customWidth="1"/>
    <col min="4" max="4" width="15.42578125" style="1" customWidth="1"/>
    <col min="5" max="5" width="15" style="1" customWidth="1"/>
    <col min="6" max="6" width="13.140625" style="1" customWidth="1"/>
    <col min="7" max="9" width="9.140625" style="1"/>
    <col min="10" max="12" width="11.140625" style="1" customWidth="1"/>
    <col min="13" max="13" width="11.85546875" style="1" customWidth="1"/>
    <col min="14" max="14" width="10.140625" style="1" customWidth="1"/>
    <col min="15" max="15" width="9.140625" style="1"/>
    <col min="16" max="16" width="12.140625" style="1" customWidth="1"/>
    <col min="17" max="16384" width="9.140625" style="1"/>
  </cols>
  <sheetData>
    <row r="1" spans="1:21" ht="18.75">
      <c r="A1" s="54" t="str">
        <f>PlantByAcctByCounty!A1</f>
        <v>Peoples Gas System 2015 Property Tax Return</v>
      </c>
    </row>
    <row r="2" spans="1:21" ht="18.75">
      <c r="A2" s="87" t="s">
        <v>1144</v>
      </c>
      <c r="B2" s="169"/>
      <c r="C2" s="16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S2" s="28"/>
      <c r="T2" s="133"/>
    </row>
    <row r="3" spans="1:21">
      <c r="A3" s="137"/>
      <c r="B3" s="2"/>
      <c r="C3" s="28"/>
      <c r="G3" s="2"/>
      <c r="H3" s="2"/>
      <c r="I3" s="2"/>
      <c r="J3" s="2"/>
      <c r="K3" s="2"/>
      <c r="L3" s="2"/>
      <c r="M3" s="2"/>
      <c r="N3" s="2"/>
      <c r="T3" s="133"/>
    </row>
    <row r="4" spans="1:21">
      <c r="A4" s="2"/>
      <c r="B4" s="2"/>
      <c r="C4" s="28"/>
      <c r="D4" s="209" t="s">
        <v>630</v>
      </c>
      <c r="G4" s="2"/>
      <c r="H4" s="2"/>
      <c r="I4" s="2"/>
      <c r="J4" s="2"/>
      <c r="K4" s="2"/>
      <c r="L4" s="210"/>
      <c r="M4" s="210"/>
      <c r="N4" s="210"/>
      <c r="S4" s="208" t="s">
        <v>629</v>
      </c>
      <c r="T4" s="133"/>
    </row>
    <row r="5" spans="1:21">
      <c r="A5" s="2"/>
      <c r="B5" s="2"/>
      <c r="C5" s="28"/>
      <c r="D5" s="209" t="s">
        <v>631</v>
      </c>
      <c r="G5" s="2"/>
      <c r="H5" s="2"/>
      <c r="I5" s="2"/>
      <c r="J5" s="211" t="s">
        <v>632</v>
      </c>
      <c r="K5" s="2"/>
      <c r="L5" s="210"/>
      <c r="M5" s="210"/>
      <c r="N5" s="210"/>
      <c r="S5" s="108" t="s">
        <v>633</v>
      </c>
      <c r="T5" s="133"/>
    </row>
    <row r="6" spans="1:21">
      <c r="A6" s="2"/>
      <c r="B6" s="2"/>
      <c r="C6" s="28"/>
      <c r="G6" s="2"/>
      <c r="H6" s="2"/>
      <c r="I6" s="2"/>
      <c r="J6" s="2"/>
      <c r="K6" s="2"/>
      <c r="L6" s="210"/>
      <c r="M6" s="210"/>
      <c r="N6" s="210"/>
      <c r="S6" s="212"/>
      <c r="T6" s="133"/>
    </row>
    <row r="7" spans="1:21">
      <c r="A7" s="2"/>
      <c r="B7" s="180" t="s">
        <v>634</v>
      </c>
      <c r="C7" s="28"/>
      <c r="D7" s="213">
        <f>U10</f>
        <v>0.49517211372726205</v>
      </c>
      <c r="E7" s="213">
        <f>U11</f>
        <v>0.50482788627273789</v>
      </c>
      <c r="G7" s="2"/>
      <c r="H7" s="2"/>
      <c r="I7" s="2"/>
      <c r="J7" s="214" t="s">
        <v>635</v>
      </c>
      <c r="K7" s="2"/>
      <c r="L7" s="2"/>
      <c r="M7" s="2"/>
      <c r="N7" s="2"/>
      <c r="S7" s="215" t="s">
        <v>636</v>
      </c>
      <c r="T7" s="216"/>
      <c r="U7" s="217"/>
    </row>
    <row r="8" spans="1:21">
      <c r="A8" s="218" t="s">
        <v>637</v>
      </c>
      <c r="B8" s="218" t="s">
        <v>303</v>
      </c>
      <c r="C8" s="219" t="s">
        <v>15</v>
      </c>
      <c r="D8" s="220" t="s">
        <v>162</v>
      </c>
      <c r="E8" s="220" t="s">
        <v>163</v>
      </c>
      <c r="G8" s="2"/>
      <c r="H8" s="2"/>
      <c r="I8" s="2"/>
      <c r="J8" s="2"/>
      <c r="K8" s="220" t="s">
        <v>162</v>
      </c>
      <c r="L8" s="220" t="s">
        <v>163</v>
      </c>
      <c r="M8" s="180"/>
      <c r="N8" s="180"/>
      <c r="S8" s="28"/>
      <c r="T8" s="133"/>
    </row>
    <row r="9" spans="1:21">
      <c r="A9" s="2" t="s">
        <v>638</v>
      </c>
      <c r="B9" s="2" t="s">
        <v>385</v>
      </c>
      <c r="C9" s="127">
        <f>'101 &amp; 106 By County'!E44</f>
        <v>358731.55</v>
      </c>
      <c r="D9" s="201">
        <f t="shared" ref="D9:D19" si="0">ROUND($C9*$D$7,2)</f>
        <v>177633.86</v>
      </c>
      <c r="E9" s="201">
        <f t="shared" ref="E9:E19" si="1">ROUND($C9*$E$7,2)</f>
        <v>181097.69</v>
      </c>
      <c r="F9" s="133"/>
      <c r="G9" s="2"/>
      <c r="H9" s="2"/>
      <c r="I9" s="2"/>
      <c r="J9" s="2"/>
      <c r="K9" s="2"/>
      <c r="L9" s="221"/>
      <c r="M9" s="221"/>
      <c r="N9" s="221"/>
      <c r="S9" s="222" t="s">
        <v>639</v>
      </c>
      <c r="T9" s="133"/>
    </row>
    <row r="10" spans="1:21">
      <c r="A10" s="2" t="s">
        <v>640</v>
      </c>
      <c r="B10" s="2" t="s">
        <v>385</v>
      </c>
      <c r="C10" s="127">
        <f>'101 &amp; 106 By County'!E96</f>
        <v>44874722.75</v>
      </c>
      <c r="D10" s="201">
        <f t="shared" si="0"/>
        <v>22220711.32</v>
      </c>
      <c r="E10" s="201">
        <f t="shared" si="1"/>
        <v>22654011.43</v>
      </c>
      <c r="F10" s="133"/>
      <c r="G10" s="2"/>
      <c r="H10" s="2"/>
      <c r="I10" s="2"/>
      <c r="J10" s="2">
        <v>38000</v>
      </c>
      <c r="K10" s="223">
        <f>D9+D10</f>
        <v>22398345.18</v>
      </c>
      <c r="L10" s="223">
        <f>E9+E10</f>
        <v>22835109.120000001</v>
      </c>
      <c r="M10" s="224"/>
      <c r="N10" s="224"/>
      <c r="S10" s="28" t="s">
        <v>641</v>
      </c>
      <c r="T10" s="133">
        <f>Bills!I7</f>
        <v>29590</v>
      </c>
      <c r="U10" s="225">
        <f>T10/T12</f>
        <v>0.49517211372726205</v>
      </c>
    </row>
    <row r="11" spans="1:21">
      <c r="A11" s="2" t="s">
        <v>640</v>
      </c>
      <c r="B11" s="2" t="s">
        <v>387</v>
      </c>
      <c r="C11" s="127">
        <f>'101 &amp; 106 By County'!E98</f>
        <v>5642340.2400000002</v>
      </c>
      <c r="D11" s="201">
        <f t="shared" si="0"/>
        <v>2793929.54</v>
      </c>
      <c r="E11" s="201">
        <f t="shared" si="1"/>
        <v>2848410.7</v>
      </c>
      <c r="F11" s="133"/>
      <c r="G11" s="2"/>
      <c r="H11" s="2"/>
      <c r="I11" s="2"/>
      <c r="J11" s="2">
        <v>38200</v>
      </c>
      <c r="K11" s="223">
        <f>D11</f>
        <v>2793929.54</v>
      </c>
      <c r="L11" s="223">
        <f>E11</f>
        <v>2848410.7</v>
      </c>
      <c r="M11" s="224"/>
      <c r="N11" s="224"/>
      <c r="S11" s="28" t="s">
        <v>163</v>
      </c>
      <c r="T11" s="133">
        <f>Bills!I8</f>
        <v>30167</v>
      </c>
      <c r="U11" s="225">
        <f>T11/T12</f>
        <v>0.50482788627273789</v>
      </c>
    </row>
    <row r="12" spans="1:21" ht="13.5" thickBot="1">
      <c r="A12" s="2" t="s">
        <v>638</v>
      </c>
      <c r="B12" s="2" t="s">
        <v>389</v>
      </c>
      <c r="C12" s="127">
        <f>'101 &amp; 106 By County'!E47</f>
        <v>515207.66</v>
      </c>
      <c r="D12" s="201">
        <f t="shared" si="0"/>
        <v>255116.47</v>
      </c>
      <c r="E12" s="201">
        <f t="shared" si="1"/>
        <v>260091.19</v>
      </c>
      <c r="F12" s="133"/>
      <c r="G12" s="2"/>
      <c r="H12" s="2"/>
      <c r="I12" s="2"/>
      <c r="J12" s="2">
        <v>38300</v>
      </c>
      <c r="K12" s="223">
        <f>D12+D13</f>
        <v>984888.62</v>
      </c>
      <c r="L12" s="223">
        <f>E12+E13</f>
        <v>1004093.78</v>
      </c>
      <c r="M12" s="224"/>
      <c r="N12" s="224"/>
      <c r="S12" s="28"/>
      <c r="T12" s="226">
        <f>SUM(T10:T11)</f>
        <v>59757</v>
      </c>
      <c r="U12" s="227">
        <f>SUM(U10:U11)</f>
        <v>1</v>
      </c>
    </row>
    <row r="13" spans="1:21" ht="13.5" thickTop="1">
      <c r="A13" s="2" t="s">
        <v>640</v>
      </c>
      <c r="B13" s="2" t="s">
        <v>389</v>
      </c>
      <c r="C13" s="127">
        <f>'101 &amp; 106 By County'!E99</f>
        <v>1473774.74</v>
      </c>
      <c r="D13" s="201">
        <f t="shared" si="0"/>
        <v>729772.15</v>
      </c>
      <c r="E13" s="201">
        <f t="shared" si="1"/>
        <v>744002.59</v>
      </c>
      <c r="F13" s="133"/>
      <c r="G13" s="2"/>
      <c r="H13" s="2"/>
      <c r="I13" s="2"/>
      <c r="J13" s="2">
        <v>38400</v>
      </c>
      <c r="K13" s="223">
        <f>D14+D15</f>
        <v>1166177.06</v>
      </c>
      <c r="L13" s="223">
        <f>E14+E15</f>
        <v>1188917.31</v>
      </c>
      <c r="M13" s="223"/>
      <c r="N13" s="223"/>
      <c r="S13" s="28"/>
      <c r="T13" s="133"/>
    </row>
    <row r="14" spans="1:21">
      <c r="A14" s="2" t="s">
        <v>638</v>
      </c>
      <c r="B14" s="2" t="s">
        <v>391</v>
      </c>
      <c r="C14" s="127">
        <f>'101 &amp; 106 By County'!E48</f>
        <v>6744.07</v>
      </c>
      <c r="D14" s="201">
        <f t="shared" si="0"/>
        <v>3339.48</v>
      </c>
      <c r="E14" s="201">
        <f t="shared" si="1"/>
        <v>3404.59</v>
      </c>
      <c r="F14" s="133"/>
      <c r="G14" s="2"/>
      <c r="H14" s="2"/>
      <c r="I14" s="2"/>
      <c r="J14" s="2">
        <v>38500</v>
      </c>
      <c r="K14" s="223">
        <f>D16+D17</f>
        <v>323704.21999999997</v>
      </c>
      <c r="L14" s="223">
        <f>E16+E17</f>
        <v>330016.39</v>
      </c>
      <c r="M14" s="223"/>
      <c r="N14" s="223"/>
      <c r="S14" s="228" t="s">
        <v>642</v>
      </c>
      <c r="T14" s="133"/>
    </row>
    <row r="15" spans="1:21">
      <c r="A15" s="2" t="s">
        <v>640</v>
      </c>
      <c r="B15" s="2" t="s">
        <v>391</v>
      </c>
      <c r="C15" s="127">
        <f>'101 &amp; 106 By County'!E100</f>
        <v>2348350.2999999998</v>
      </c>
      <c r="D15" s="201">
        <f t="shared" si="0"/>
        <v>1162837.58</v>
      </c>
      <c r="E15" s="201">
        <f t="shared" si="1"/>
        <v>1185512.72</v>
      </c>
      <c r="F15" s="133"/>
      <c r="G15" s="2"/>
      <c r="H15" s="2"/>
      <c r="I15" s="2"/>
      <c r="J15" s="2">
        <v>38700</v>
      </c>
      <c r="K15" s="223">
        <f>D18+D19</f>
        <v>279782.90000000002</v>
      </c>
      <c r="L15" s="223">
        <f>E18+E19</f>
        <v>285238.61</v>
      </c>
      <c r="M15" s="224"/>
      <c r="N15" s="224"/>
      <c r="S15" s="28" t="s">
        <v>643</v>
      </c>
      <c r="T15" s="133">
        <f>Bills!I12</f>
        <v>1040</v>
      </c>
      <c r="U15" s="225">
        <f>T15/T18</f>
        <v>3.130549953342765E-2</v>
      </c>
    </row>
    <row r="16" spans="1:21" ht="13.5" thickBot="1">
      <c r="A16" s="2" t="s">
        <v>638</v>
      </c>
      <c r="B16" s="2" t="s">
        <v>393</v>
      </c>
      <c r="C16" s="127">
        <f>'101 &amp; 106 By County'!E49</f>
        <v>50285.87</v>
      </c>
      <c r="D16" s="201">
        <f t="shared" si="0"/>
        <v>24900.16</v>
      </c>
      <c r="E16" s="201">
        <f t="shared" si="1"/>
        <v>25385.71</v>
      </c>
      <c r="F16" s="133"/>
      <c r="G16" s="2"/>
      <c r="H16" s="2"/>
      <c r="I16" s="2"/>
      <c r="J16" s="2"/>
      <c r="K16" s="206">
        <f>SUM(K10:K15)</f>
        <v>27946827.519999996</v>
      </c>
      <c r="L16" s="206">
        <f>SUM(L10:L15)</f>
        <v>28491785.91</v>
      </c>
      <c r="M16" s="224"/>
      <c r="N16" s="224"/>
      <c r="S16" s="28" t="s">
        <v>171</v>
      </c>
      <c r="T16" s="133">
        <f>Bills!I13</f>
        <v>9606</v>
      </c>
      <c r="U16" s="225">
        <f>T16/T18</f>
        <v>0.28915445049817884</v>
      </c>
    </row>
    <row r="17" spans="1:21" ht="13.5" thickTop="1">
      <c r="A17" s="2" t="s">
        <v>640</v>
      </c>
      <c r="B17" s="2" t="s">
        <v>393</v>
      </c>
      <c r="C17" s="127">
        <f>'101 &amp; 106 By County'!E101</f>
        <v>603434.74</v>
      </c>
      <c r="D17" s="201">
        <f t="shared" si="0"/>
        <v>298804.06</v>
      </c>
      <c r="E17" s="201">
        <f t="shared" si="1"/>
        <v>304630.68</v>
      </c>
      <c r="F17" s="133"/>
      <c r="G17" s="2"/>
      <c r="H17" s="2"/>
      <c r="I17" s="2"/>
      <c r="J17" s="2"/>
      <c r="K17" s="223"/>
      <c r="L17" s="223">
        <f>L16+K16</f>
        <v>56438613.429999992</v>
      </c>
      <c r="M17" s="229"/>
      <c r="N17" s="229"/>
      <c r="S17" s="28" t="s">
        <v>172</v>
      </c>
      <c r="T17" s="133">
        <f>Bills!I14</f>
        <v>22575</v>
      </c>
      <c r="U17" s="225">
        <f>T17/T18</f>
        <v>0.67954004996839346</v>
      </c>
    </row>
    <row r="18" spans="1:21" ht="13.5" thickBot="1">
      <c r="A18" s="2" t="s">
        <v>638</v>
      </c>
      <c r="B18" s="2" t="s">
        <v>394</v>
      </c>
      <c r="C18" s="127">
        <f>'101 &amp; 106 By County'!E50</f>
        <v>71766.880000000005</v>
      </c>
      <c r="D18" s="201">
        <f t="shared" si="0"/>
        <v>35536.959999999999</v>
      </c>
      <c r="E18" s="201">
        <f t="shared" si="1"/>
        <v>36229.919999999998</v>
      </c>
      <c r="F18" s="133"/>
      <c r="G18" s="2"/>
      <c r="H18" s="2"/>
      <c r="I18" s="2"/>
      <c r="J18" s="2"/>
      <c r="K18" s="223"/>
      <c r="L18" s="223"/>
      <c r="M18" s="229"/>
      <c r="N18" s="229"/>
      <c r="S18" s="28"/>
      <c r="T18" s="226">
        <f>SUM(T15:T17)</f>
        <v>33221</v>
      </c>
      <c r="U18" s="227">
        <f>SUM(U15:U17)</f>
        <v>1</v>
      </c>
    </row>
    <row r="19" spans="1:21" ht="13.5" thickTop="1">
      <c r="A19" s="2" t="s">
        <v>640</v>
      </c>
      <c r="B19" s="2" t="s">
        <v>394</v>
      </c>
      <c r="C19" s="127">
        <f>'101 &amp; 106 By County'!E102</f>
        <v>493254.63</v>
      </c>
      <c r="D19" s="201">
        <f t="shared" si="0"/>
        <v>244245.94</v>
      </c>
      <c r="E19" s="201">
        <f t="shared" si="1"/>
        <v>249008.69</v>
      </c>
      <c r="F19" s="133"/>
      <c r="G19" s="2"/>
      <c r="H19" s="2"/>
      <c r="I19" s="2"/>
      <c r="J19" s="2"/>
      <c r="K19" s="223"/>
      <c r="L19" s="223"/>
      <c r="M19" s="229"/>
      <c r="N19" s="229"/>
      <c r="S19" s="28"/>
      <c r="T19" s="133"/>
    </row>
    <row r="20" spans="1:21" ht="13.5" thickBot="1">
      <c r="A20" s="2"/>
      <c r="B20" s="2"/>
      <c r="C20" s="127">
        <f>SUM(C9:C19)</f>
        <v>56438613.43</v>
      </c>
      <c r="D20" s="206">
        <f>SUM(D9:D19)</f>
        <v>27946827.52</v>
      </c>
      <c r="E20" s="206">
        <f>SUM(E9:E19)</f>
        <v>28491785.910000004</v>
      </c>
      <c r="F20" s="133"/>
      <c r="G20" s="2"/>
      <c r="H20" s="2"/>
      <c r="I20" s="2"/>
      <c r="J20" s="2"/>
      <c r="K20" s="223"/>
      <c r="L20" s="223"/>
      <c r="M20" s="229"/>
      <c r="N20" s="229"/>
      <c r="S20" s="230" t="s">
        <v>644</v>
      </c>
      <c r="T20" s="133"/>
    </row>
    <row r="21" spans="1:21" ht="13.5" thickTop="1">
      <c r="A21" s="2"/>
      <c r="B21" s="2"/>
      <c r="C21" s="133"/>
      <c r="D21" s="133"/>
      <c r="E21" s="133">
        <f>E20+D20</f>
        <v>56438613.430000007</v>
      </c>
      <c r="F21" s="133"/>
      <c r="G21" s="2"/>
      <c r="H21" s="2"/>
      <c r="I21" s="2"/>
      <c r="J21" s="2"/>
      <c r="K21" s="223"/>
      <c r="L21" s="229"/>
      <c r="M21" s="229"/>
      <c r="N21" s="229"/>
      <c r="S21" s="28" t="s">
        <v>6</v>
      </c>
      <c r="T21" s="133">
        <f>Bills!I18</f>
        <v>32366</v>
      </c>
      <c r="U21" s="225">
        <f>T21/T24</f>
        <v>0.68098804914997479</v>
      </c>
    </row>
    <row r="22" spans="1:21">
      <c r="A22" s="2"/>
      <c r="B22" s="2"/>
      <c r="C22" s="133"/>
      <c r="D22" s="133"/>
      <c r="E22" s="133"/>
      <c r="F22" s="133"/>
      <c r="G22" s="2"/>
      <c r="H22" s="2"/>
      <c r="I22" s="2"/>
      <c r="J22" s="2"/>
      <c r="K22" s="223"/>
      <c r="L22" s="229"/>
      <c r="M22" s="229"/>
      <c r="N22" s="229"/>
      <c r="S22" s="28" t="s">
        <v>169</v>
      </c>
      <c r="T22" s="133">
        <f>Bills!I19</f>
        <v>7449</v>
      </c>
      <c r="U22" s="225">
        <f>T22/T24</f>
        <v>0.15672866520787745</v>
      </c>
    </row>
    <row r="23" spans="1:21">
      <c r="A23" s="2"/>
      <c r="B23" s="180" t="s">
        <v>634</v>
      </c>
      <c r="C23" s="28"/>
      <c r="D23" s="213">
        <f>U41</f>
        <v>0.95914650013010672</v>
      </c>
      <c r="E23" s="213">
        <f>U42</f>
        <v>4.0853499869893312E-2</v>
      </c>
      <c r="F23" s="133"/>
      <c r="G23" s="2"/>
      <c r="H23" s="2"/>
      <c r="I23" s="2"/>
      <c r="J23" s="2"/>
      <c r="K23" s="223"/>
      <c r="L23" s="229"/>
      <c r="M23" s="229"/>
      <c r="N23" s="229"/>
      <c r="S23" s="28" t="s">
        <v>7</v>
      </c>
      <c r="T23" s="133">
        <f>Bills!I20</f>
        <v>7713</v>
      </c>
      <c r="U23" s="225">
        <f>T23/T24</f>
        <v>0.16228328564214778</v>
      </c>
    </row>
    <row r="24" spans="1:21" ht="13.5" thickBot="1">
      <c r="A24" s="218" t="s">
        <v>637</v>
      </c>
      <c r="B24" s="218" t="s">
        <v>303</v>
      </c>
      <c r="C24" s="219" t="s">
        <v>15</v>
      </c>
      <c r="D24" s="355" t="s">
        <v>170</v>
      </c>
      <c r="E24" s="355" t="s">
        <v>10</v>
      </c>
      <c r="F24" s="133"/>
      <c r="G24" s="2"/>
      <c r="H24" s="2"/>
      <c r="I24" s="2"/>
      <c r="J24" s="2"/>
      <c r="K24" s="223"/>
      <c r="L24" s="229"/>
      <c r="M24" s="229"/>
      <c r="N24" s="229"/>
      <c r="S24" s="28"/>
      <c r="T24" s="226">
        <f>SUM(T21:T23)</f>
        <v>47528</v>
      </c>
      <c r="U24" s="227">
        <v>1</v>
      </c>
    </row>
    <row r="25" spans="1:21" ht="13.5" thickTop="1">
      <c r="A25" s="137" t="s">
        <v>170</v>
      </c>
      <c r="B25" s="2" t="s">
        <v>385</v>
      </c>
      <c r="C25" s="127">
        <f>'101 &amp; 106 By County'!E347</f>
        <v>6780180.3499999996</v>
      </c>
      <c r="D25" s="201">
        <f>$D$23*C25</f>
        <v>6503186.2529534213</v>
      </c>
      <c r="E25" s="201">
        <f>$E$23*C25</f>
        <v>276994.09704657819</v>
      </c>
      <c r="F25" s="133"/>
      <c r="G25" s="2"/>
      <c r="H25" s="2"/>
      <c r="I25" s="2"/>
      <c r="J25" s="2"/>
      <c r="K25" s="223"/>
      <c r="L25" s="229"/>
      <c r="M25" s="229"/>
      <c r="N25" s="229"/>
      <c r="S25" s="28"/>
      <c r="T25" s="133"/>
    </row>
    <row r="26" spans="1:21">
      <c r="A26" s="2" t="s">
        <v>647</v>
      </c>
      <c r="B26" s="2" t="s">
        <v>387</v>
      </c>
      <c r="C26" s="127">
        <f>'101 &amp; 106 By County'!E349</f>
        <v>1338895.1599999999</v>
      </c>
      <c r="D26" s="201">
        <f t="shared" ref="D26:D30" si="2">$D$23*C26</f>
        <v>1284196.6067551391</v>
      </c>
      <c r="E26" s="201">
        <f t="shared" ref="E26:E30" si="3">$E$23*C26</f>
        <v>54698.553244860785</v>
      </c>
      <c r="F26" s="133"/>
      <c r="G26" s="2"/>
      <c r="H26" s="2"/>
      <c r="I26" s="2"/>
      <c r="J26" s="2"/>
      <c r="K26" s="223"/>
      <c r="L26" s="229"/>
      <c r="M26" s="229"/>
      <c r="N26" s="229"/>
      <c r="S26" s="236" t="s">
        <v>646</v>
      </c>
      <c r="T26" s="133"/>
    </row>
    <row r="27" spans="1:21">
      <c r="A27" s="2" t="s">
        <v>647</v>
      </c>
      <c r="B27" s="2" t="s">
        <v>389</v>
      </c>
      <c r="C27" s="127">
        <f>'101 &amp; 106 By County'!E350</f>
        <v>242459.71</v>
      </c>
      <c r="D27" s="201">
        <f t="shared" si="2"/>
        <v>232554.38226906062</v>
      </c>
      <c r="E27" s="201">
        <f t="shared" si="3"/>
        <v>9905.3277309393688</v>
      </c>
      <c r="F27" s="133"/>
      <c r="G27" s="2"/>
      <c r="H27" s="2"/>
      <c r="I27" s="2"/>
      <c r="J27" s="2"/>
      <c r="K27" s="223"/>
      <c r="L27" s="229"/>
      <c r="M27" s="229"/>
      <c r="N27" s="229"/>
      <c r="S27" s="28" t="s">
        <v>164</v>
      </c>
      <c r="T27" s="133">
        <f>Bills!I24</f>
        <v>16275</v>
      </c>
      <c r="U27" s="225">
        <f>T27/$T$33</f>
        <v>0.79705176551251289</v>
      </c>
    </row>
    <row r="28" spans="1:21">
      <c r="A28" s="2" t="s">
        <v>645</v>
      </c>
      <c r="B28" s="2" t="s">
        <v>391</v>
      </c>
      <c r="C28" s="127">
        <f>'101 &amp; 106 By County'!E351</f>
        <v>508507.51</v>
      </c>
      <c r="D28" s="201">
        <f t="shared" si="2"/>
        <v>487733.19850637525</v>
      </c>
      <c r="E28" s="201">
        <f t="shared" si="3"/>
        <v>20774.311493624773</v>
      </c>
      <c r="F28" s="133"/>
      <c r="G28" s="2"/>
      <c r="H28" s="2"/>
      <c r="I28" s="2"/>
      <c r="J28" s="2"/>
      <c r="K28" s="223"/>
      <c r="L28" s="229"/>
      <c r="M28" s="229"/>
      <c r="N28" s="229"/>
      <c r="S28" s="28" t="s">
        <v>648</v>
      </c>
      <c r="T28" s="133">
        <f>Bills!I25</f>
        <v>4</v>
      </c>
      <c r="U28" s="225">
        <f t="shared" ref="U28:U32" si="4">T28/$T$33</f>
        <v>1.958959792350262E-4</v>
      </c>
    </row>
    <row r="29" spans="1:21">
      <c r="A29" s="2" t="s">
        <v>645</v>
      </c>
      <c r="B29" s="2" t="s">
        <v>393</v>
      </c>
      <c r="C29" s="127">
        <f>'101 &amp; 106 By County'!E352</f>
        <v>43028.87</v>
      </c>
      <c r="D29" s="201">
        <f t="shared" si="2"/>
        <v>41270.990065053345</v>
      </c>
      <c r="E29" s="201">
        <f t="shared" si="3"/>
        <v>1757.8799349466562</v>
      </c>
      <c r="F29" s="133"/>
      <c r="G29" s="2"/>
      <c r="H29" s="2"/>
      <c r="I29" s="2"/>
      <c r="J29" s="2"/>
      <c r="K29" s="223"/>
      <c r="L29" s="229"/>
      <c r="M29" s="229"/>
      <c r="N29" s="229"/>
      <c r="S29" s="28" t="s">
        <v>1</v>
      </c>
      <c r="T29" s="133">
        <f>Bills!I26</f>
        <v>3929</v>
      </c>
      <c r="U29" s="225">
        <f t="shared" si="4"/>
        <v>0.19241882560360449</v>
      </c>
    </row>
    <row r="30" spans="1:21">
      <c r="A30" s="2" t="s">
        <v>645</v>
      </c>
      <c r="B30" s="2" t="s">
        <v>394</v>
      </c>
      <c r="C30" s="127">
        <f>'101 &amp; 106 By County'!E353</f>
        <v>79172.27</v>
      </c>
      <c r="D30" s="201">
        <f t="shared" si="2"/>
        <v>75937.805677855853</v>
      </c>
      <c r="E30" s="201">
        <f t="shared" si="3"/>
        <v>3234.4643221441584</v>
      </c>
      <c r="F30" s="133"/>
      <c r="G30" s="2"/>
      <c r="H30" s="2"/>
      <c r="I30" s="2"/>
      <c r="J30" s="2"/>
      <c r="K30" s="223"/>
      <c r="L30" s="229"/>
      <c r="M30" s="229"/>
      <c r="N30" s="229"/>
      <c r="S30" s="28" t="s">
        <v>0</v>
      </c>
      <c r="T30" s="133">
        <f>Bills!I27</f>
        <v>3</v>
      </c>
      <c r="U30" s="225">
        <f t="shared" si="4"/>
        <v>1.4692198442626964E-4</v>
      </c>
    </row>
    <row r="31" spans="1:21" ht="13.5" thickBot="1">
      <c r="A31" s="2"/>
      <c r="B31" s="2"/>
      <c r="C31" s="206">
        <f>SUM(C25:C30)</f>
        <v>8992243.8699999992</v>
      </c>
      <c r="D31" s="206">
        <f>SUM(D25:D30)</f>
        <v>8624879.2362269051</v>
      </c>
      <c r="E31" s="206">
        <f>SUM(E25:E30)</f>
        <v>367364.63377309393</v>
      </c>
      <c r="F31" s="133"/>
      <c r="G31" s="2"/>
      <c r="H31" s="2"/>
      <c r="I31" s="2"/>
      <c r="J31" s="2"/>
      <c r="K31" s="223"/>
      <c r="L31" s="229"/>
      <c r="M31" s="229"/>
      <c r="N31" s="229"/>
      <c r="S31" s="28" t="s">
        <v>649</v>
      </c>
      <c r="T31" s="133">
        <f>Bills!C7</f>
        <v>25</v>
      </c>
      <c r="U31" s="225">
        <f t="shared" si="4"/>
        <v>1.2243498702189136E-3</v>
      </c>
    </row>
    <row r="32" spans="1:21" ht="13.5" thickTop="1">
      <c r="A32" s="2"/>
      <c r="B32" s="2"/>
      <c r="C32" s="127"/>
      <c r="D32" s="204"/>
      <c r="E32" s="133">
        <f>E31+D31</f>
        <v>8992243.8699999992</v>
      </c>
      <c r="F32" s="133"/>
      <c r="G32" s="2"/>
      <c r="H32" s="2"/>
      <c r="I32" s="2"/>
      <c r="J32" s="2"/>
      <c r="K32" s="223"/>
      <c r="L32" s="229"/>
      <c r="M32" s="229"/>
      <c r="N32" s="229"/>
      <c r="S32" s="28" t="s">
        <v>2</v>
      </c>
      <c r="T32" s="133">
        <f>Bills!C12</f>
        <v>183</v>
      </c>
      <c r="U32" s="225">
        <f t="shared" si="4"/>
        <v>8.9622410500024494E-3</v>
      </c>
    </row>
    <row r="33" spans="1:25" ht="13.5" thickBot="1">
      <c r="G33" s="2"/>
      <c r="H33" s="2"/>
      <c r="I33" s="2"/>
      <c r="J33" s="2"/>
      <c r="K33" s="223"/>
      <c r="L33" s="229"/>
      <c r="M33" s="229"/>
      <c r="N33" s="229"/>
      <c r="S33" s="28"/>
      <c r="T33" s="226">
        <f>SUM(T27:T32)</f>
        <v>20419</v>
      </c>
      <c r="U33" s="238">
        <f>SUM(U27:U32)</f>
        <v>0.99999999999999989</v>
      </c>
    </row>
    <row r="34" spans="1:25" ht="13.5" thickTop="1">
      <c r="F34" s="133"/>
      <c r="G34" s="2"/>
      <c r="H34" s="2"/>
      <c r="I34" s="2"/>
      <c r="J34" s="2"/>
      <c r="K34" s="223"/>
      <c r="L34" s="229"/>
      <c r="M34" s="229"/>
      <c r="N34" s="229"/>
      <c r="S34" s="28"/>
      <c r="T34" s="133"/>
    </row>
    <row r="35" spans="1:25">
      <c r="G35" s="2"/>
      <c r="H35" s="2"/>
      <c r="I35" s="2"/>
      <c r="J35" s="2"/>
      <c r="K35" s="223"/>
      <c r="L35" s="229"/>
      <c r="M35" s="229"/>
      <c r="N35" s="229"/>
      <c r="S35" s="240" t="s">
        <v>650</v>
      </c>
      <c r="T35" s="133"/>
    </row>
    <row r="36" spans="1:25">
      <c r="A36" s="2"/>
      <c r="B36" s="2"/>
      <c r="C36" s="231"/>
      <c r="D36" s="232"/>
      <c r="E36" s="232"/>
      <c r="G36" s="2"/>
      <c r="H36" s="2"/>
      <c r="I36" s="2"/>
      <c r="J36" s="2"/>
      <c r="K36" s="223"/>
      <c r="L36" s="223"/>
      <c r="M36" s="229"/>
      <c r="N36" s="229"/>
      <c r="S36" s="28" t="s">
        <v>137</v>
      </c>
      <c r="T36" s="133">
        <f>Bills!I32</f>
        <v>10789</v>
      </c>
      <c r="U36" s="225">
        <f>T36/T38</f>
        <v>0.36153743046712689</v>
      </c>
    </row>
    <row r="37" spans="1:25">
      <c r="A37" s="2"/>
      <c r="B37" s="2"/>
      <c r="C37" s="231"/>
      <c r="D37" s="232"/>
      <c r="E37" s="232"/>
      <c r="G37" s="2"/>
      <c r="H37" s="2"/>
      <c r="I37" s="2"/>
      <c r="J37" s="2"/>
      <c r="K37" s="223"/>
      <c r="L37" s="223"/>
      <c r="M37" s="223"/>
      <c r="N37" s="229"/>
      <c r="S37" s="28" t="s">
        <v>167</v>
      </c>
      <c r="T37" s="133">
        <f>Bills!I33</f>
        <v>19053</v>
      </c>
      <c r="U37" s="225">
        <f>T37/T38</f>
        <v>0.63846256953287317</v>
      </c>
    </row>
    <row r="38" spans="1:25" ht="13.5" thickBot="1">
      <c r="A38" s="2"/>
      <c r="B38" s="180" t="s">
        <v>634</v>
      </c>
      <c r="C38" s="28"/>
      <c r="D38" s="213">
        <f>U15</f>
        <v>3.130549953342765E-2</v>
      </c>
      <c r="E38" s="213">
        <f>U16</f>
        <v>0.28915445049817884</v>
      </c>
      <c r="F38" s="213">
        <f>U17</f>
        <v>0.67954004996839346</v>
      </c>
      <c r="G38" s="213">
        <f>SUM(D38:F38)</f>
        <v>1</v>
      </c>
      <c r="H38" s="2"/>
      <c r="I38" s="2"/>
      <c r="J38" s="214" t="s">
        <v>635</v>
      </c>
      <c r="K38" s="233"/>
      <c r="L38" s="223"/>
      <c r="M38" s="223"/>
      <c r="N38" s="223"/>
      <c r="S38" s="28"/>
      <c r="T38" s="226">
        <f>SUM(T36:T37)</f>
        <v>29842</v>
      </c>
      <c r="U38" s="227">
        <v>1</v>
      </c>
    </row>
    <row r="39" spans="1:25" ht="13.5" thickTop="1">
      <c r="A39" s="218" t="s">
        <v>637</v>
      </c>
      <c r="B39" s="218" t="s">
        <v>303</v>
      </c>
      <c r="C39" s="219" t="s">
        <v>15</v>
      </c>
      <c r="D39" s="234" t="s">
        <v>643</v>
      </c>
      <c r="E39" s="234" t="s">
        <v>171</v>
      </c>
      <c r="F39" s="234" t="s">
        <v>172</v>
      </c>
      <c r="G39" s="2"/>
      <c r="H39" s="2"/>
      <c r="I39" s="2"/>
      <c r="J39" s="2"/>
      <c r="K39" s="235" t="s">
        <v>643</v>
      </c>
      <c r="L39" s="235" t="s">
        <v>171</v>
      </c>
      <c r="M39" s="235" t="s">
        <v>172</v>
      </c>
      <c r="N39" s="223"/>
      <c r="S39" s="28"/>
      <c r="T39" s="133"/>
    </row>
    <row r="40" spans="1:25">
      <c r="A40" s="2" t="s">
        <v>645</v>
      </c>
      <c r="B40" s="2" t="s">
        <v>385</v>
      </c>
      <c r="C40" s="127">
        <f>'101 &amp; 106 By County'!E364</f>
        <v>783872.69</v>
      </c>
      <c r="D40" s="201">
        <f t="shared" ref="D40:D50" si="5">C40*$D$38</f>
        <v>24539.526131061673</v>
      </c>
      <c r="E40" s="201">
        <f t="shared" ref="E40:E50" si="6">C40*$E$38</f>
        <v>226660.27693747927</v>
      </c>
      <c r="F40" s="133">
        <f t="shared" ref="F40:F50" si="7">C40*$F$38</f>
        <v>532672.88693145895</v>
      </c>
      <c r="G40" s="2"/>
      <c r="H40" s="2"/>
      <c r="I40" s="2"/>
      <c r="J40" s="2" t="s">
        <v>385</v>
      </c>
      <c r="K40" s="223">
        <f>SUM(D40:D41)</f>
        <v>596633.29048493423</v>
      </c>
      <c r="L40" s="223">
        <f>SUM(E40:E41)</f>
        <v>5510826.3349983441</v>
      </c>
      <c r="M40" s="223">
        <f>SUM(F40:F41)</f>
        <v>12950958.20451672</v>
      </c>
      <c r="N40" s="223"/>
      <c r="S40" s="354" t="s">
        <v>1018</v>
      </c>
      <c r="T40" s="133"/>
    </row>
    <row r="41" spans="1:25">
      <c r="A41" s="2" t="s">
        <v>647</v>
      </c>
      <c r="B41" s="2" t="s">
        <v>385</v>
      </c>
      <c r="C41" s="127">
        <f>'101 &amp; 106 By County'!E377</f>
        <v>18274545.140000001</v>
      </c>
      <c r="D41" s="201">
        <f t="shared" si="5"/>
        <v>572093.76435387251</v>
      </c>
      <c r="E41" s="201">
        <f t="shared" si="6"/>
        <v>5284166.0580608649</v>
      </c>
      <c r="F41" s="133">
        <f t="shared" si="7"/>
        <v>12418285.317585262</v>
      </c>
      <c r="G41" s="2"/>
      <c r="H41" s="2"/>
      <c r="I41" s="2"/>
      <c r="J41" s="2" t="s">
        <v>387</v>
      </c>
      <c r="K41" s="201">
        <f>D42</f>
        <v>84068.877565395378</v>
      </c>
      <c r="L41" s="201">
        <f>E42</f>
        <v>776505.42105114227</v>
      </c>
      <c r="M41" s="201">
        <f>F42</f>
        <v>1824860.4913834622</v>
      </c>
      <c r="N41" s="237"/>
      <c r="S41" s="28" t="s">
        <v>170</v>
      </c>
      <c r="T41" s="133">
        <f>Bills!C35</f>
        <v>11058</v>
      </c>
      <c r="U41" s="225">
        <f>T41/T43</f>
        <v>0.95914650013010672</v>
      </c>
    </row>
    <row r="42" spans="1:25">
      <c r="A42" s="2" t="s">
        <v>647</v>
      </c>
      <c r="B42" s="2" t="s">
        <v>387</v>
      </c>
      <c r="C42" s="127">
        <f>'101 &amp; 106 By County'!E379</f>
        <v>2685434.79</v>
      </c>
      <c r="D42" s="201">
        <f t="shared" si="5"/>
        <v>84068.877565395378</v>
      </c>
      <c r="E42" s="201">
        <f t="shared" si="6"/>
        <v>776505.42105114227</v>
      </c>
      <c r="F42" s="133">
        <f t="shared" si="7"/>
        <v>1824860.4913834622</v>
      </c>
      <c r="G42" s="2"/>
      <c r="H42" s="2"/>
      <c r="I42" s="2"/>
      <c r="J42" s="2" t="s">
        <v>389</v>
      </c>
      <c r="K42" s="223">
        <f>SUM(D43:D44)</f>
        <v>32981.794142259416</v>
      </c>
      <c r="L42" s="223">
        <f>SUM(E43:E44)</f>
        <v>304637.610125523</v>
      </c>
      <c r="M42" s="223">
        <f>SUM(F43:F44)</f>
        <v>715926.92573221761</v>
      </c>
      <c r="N42" s="223"/>
      <c r="S42" s="28" t="s">
        <v>10</v>
      </c>
      <c r="T42" s="133">
        <f>Bills!C31</f>
        <v>471</v>
      </c>
      <c r="U42" s="225">
        <f>T42/T43</f>
        <v>4.0853499869893312E-2</v>
      </c>
    </row>
    <row r="43" spans="1:25" ht="13.5" thickBot="1">
      <c r="A43" s="2" t="s">
        <v>645</v>
      </c>
      <c r="B43" s="2" t="s">
        <v>389</v>
      </c>
      <c r="C43" s="127">
        <f>'101 &amp; 106 By County'!E367</f>
        <v>8071.4</v>
      </c>
      <c r="D43" s="201">
        <f t="shared" si="5"/>
        <v>252.67920893410792</v>
      </c>
      <c r="E43" s="201">
        <f t="shared" si="6"/>
        <v>2333.8812317510005</v>
      </c>
      <c r="F43" s="133">
        <f t="shared" si="7"/>
        <v>5484.8395593148907</v>
      </c>
      <c r="G43" s="2"/>
      <c r="H43" s="2"/>
      <c r="I43" s="2"/>
      <c r="J43" s="2" t="s">
        <v>391</v>
      </c>
      <c r="K43" s="223">
        <f>SUM(D45:D46)</f>
        <v>28118.363324403239</v>
      </c>
      <c r="L43" s="223">
        <f>SUM(E45:E46)</f>
        <v>259716.34432136297</v>
      </c>
      <c r="M43" s="223">
        <f>SUM(F45:F46)</f>
        <v>610357.74235423375</v>
      </c>
      <c r="N43" s="223"/>
      <c r="S43" s="28"/>
      <c r="T43" s="226">
        <f>SUM(T41:T42)</f>
        <v>11529</v>
      </c>
      <c r="U43" s="227">
        <v>1</v>
      </c>
      <c r="W43" s="2"/>
      <c r="X43" s="2"/>
    </row>
    <row r="44" spans="1:25" ht="13.5" thickTop="1">
      <c r="A44" s="2" t="s">
        <v>647</v>
      </c>
      <c r="B44" s="2" t="s">
        <v>389</v>
      </c>
      <c r="C44" s="127">
        <f>'101 &amp; 106 By County'!E380</f>
        <v>1045474.93</v>
      </c>
      <c r="D44" s="201">
        <f t="shared" si="5"/>
        <v>32729.114933325305</v>
      </c>
      <c r="E44" s="201">
        <f t="shared" si="6"/>
        <v>302303.728893772</v>
      </c>
      <c r="F44" s="133">
        <f t="shared" si="7"/>
        <v>710442.08617290272</v>
      </c>
      <c r="G44" s="2"/>
      <c r="H44" s="2"/>
      <c r="I44" s="2"/>
      <c r="J44" s="2" t="s">
        <v>393</v>
      </c>
      <c r="K44" s="223">
        <f>SUM(D47:D48)</f>
        <v>22352.632250684808</v>
      </c>
      <c r="L44" s="223">
        <f>SUM(E47:E48)</f>
        <v>206460.94750007524</v>
      </c>
      <c r="M44" s="223">
        <f>SUM(F47:F48)</f>
        <v>485202.57024923991</v>
      </c>
      <c r="N44" s="223"/>
    </row>
    <row r="45" spans="1:25">
      <c r="A45" s="2" t="s">
        <v>645</v>
      </c>
      <c r="B45" s="2" t="s">
        <v>391</v>
      </c>
      <c r="C45" s="127">
        <f>'101 &amp; 106 By County'!E368</f>
        <v>89528.960000000006</v>
      </c>
      <c r="D45" s="201">
        <f t="shared" si="5"/>
        <v>2802.7488155082629</v>
      </c>
      <c r="E45" s="201">
        <f t="shared" si="6"/>
        <v>25887.697232473434</v>
      </c>
      <c r="F45" s="133">
        <f t="shared" si="7"/>
        <v>60838.5139520183</v>
      </c>
      <c r="G45" s="2"/>
      <c r="H45" s="2"/>
      <c r="I45" s="2"/>
      <c r="J45" s="2" t="s">
        <v>394</v>
      </c>
      <c r="K45" s="223">
        <f>SUM(D49:D51)</f>
        <v>6713.4333824990208</v>
      </c>
      <c r="L45" s="223">
        <f>SUM(E49:E51)</f>
        <v>62008.885646428454</v>
      </c>
      <c r="M45" s="223">
        <f>SUM(F49:F51)</f>
        <v>145726.6909710725</v>
      </c>
      <c r="N45" s="223"/>
    </row>
    <row r="46" spans="1:25" ht="13.5" thickBot="1">
      <c r="A46" s="2" t="s">
        <v>647</v>
      </c>
      <c r="B46" s="2" t="s">
        <v>391</v>
      </c>
      <c r="C46" s="127">
        <f>'101 &amp; 106 By County'!E381</f>
        <v>808663.49</v>
      </c>
      <c r="D46" s="201">
        <f t="shared" si="5"/>
        <v>25315.614508894974</v>
      </c>
      <c r="E46" s="201">
        <f t="shared" si="6"/>
        <v>233828.64708888953</v>
      </c>
      <c r="F46" s="133">
        <f t="shared" si="7"/>
        <v>549519.22840221541</v>
      </c>
      <c r="G46" s="2"/>
      <c r="H46" s="2"/>
      <c r="I46" s="2"/>
      <c r="J46" s="2"/>
      <c r="K46" s="206">
        <f>SUM(K40:K45)</f>
        <v>770868.39115017606</v>
      </c>
      <c r="L46" s="206">
        <f t="shared" ref="L46:M46" si="8">SUM(L40:L45)</f>
        <v>7120155.5436428757</v>
      </c>
      <c r="M46" s="206">
        <f t="shared" si="8"/>
        <v>16733032.625206947</v>
      </c>
      <c r="N46" s="223"/>
      <c r="S46" s="241" t="s">
        <v>651</v>
      </c>
      <c r="T46" s="133"/>
      <c r="Y46" s="2"/>
    </row>
    <row r="47" spans="1:25" ht="13.5" thickTop="1">
      <c r="A47" s="2" t="s">
        <v>645</v>
      </c>
      <c r="B47" s="2" t="s">
        <v>393</v>
      </c>
      <c r="C47" s="127">
        <f>'101 &amp; 106 By County'!E369</f>
        <v>103194.87</v>
      </c>
      <c r="D47" s="201">
        <f t="shared" si="5"/>
        <v>3230.5669546371269</v>
      </c>
      <c r="E47" s="201">
        <f t="shared" si="6"/>
        <v>29839.255929080999</v>
      </c>
      <c r="F47" s="133">
        <f t="shared" si="7"/>
        <v>70125.047116281858</v>
      </c>
      <c r="G47" s="2"/>
      <c r="H47" s="2"/>
      <c r="I47" s="2"/>
      <c r="J47" s="2"/>
      <c r="K47" s="223"/>
      <c r="L47" s="223"/>
      <c r="M47" s="133">
        <f>M46+L46+K46</f>
        <v>24624056.559999999</v>
      </c>
      <c r="N47" s="223"/>
      <c r="S47" s="28" t="s">
        <v>168</v>
      </c>
      <c r="T47" s="133">
        <f>Bills!I37</f>
        <v>20683</v>
      </c>
      <c r="U47" s="225">
        <f>T47/T51</f>
        <v>0.52663339613993987</v>
      </c>
      <c r="V47" s="246"/>
    </row>
    <row r="48" spans="1:25">
      <c r="A48" s="2" t="s">
        <v>647</v>
      </c>
      <c r="B48" s="2" t="s">
        <v>393</v>
      </c>
      <c r="C48" s="127">
        <f>'101 &amp; 106 By County'!E382</f>
        <v>610821.28</v>
      </c>
      <c r="D48" s="201">
        <f t="shared" si="5"/>
        <v>19122.06529604768</v>
      </c>
      <c r="E48" s="201">
        <f t="shared" si="6"/>
        <v>176621.69157099424</v>
      </c>
      <c r="F48" s="133">
        <f t="shared" si="7"/>
        <v>415077.52313295804</v>
      </c>
      <c r="G48" s="2"/>
      <c r="H48" s="2"/>
      <c r="I48" s="2"/>
      <c r="J48" s="239"/>
      <c r="K48" s="2"/>
      <c r="L48" s="2"/>
      <c r="M48" s="2"/>
      <c r="N48" s="223"/>
      <c r="S48" s="28" t="s">
        <v>12</v>
      </c>
      <c r="T48" s="133">
        <f>Bills!I38</f>
        <v>18587</v>
      </c>
      <c r="U48" s="225">
        <f>T48/T51</f>
        <v>0.47326475530885576</v>
      </c>
    </row>
    <row r="49" spans="1:21">
      <c r="A49" s="2" t="s">
        <v>645</v>
      </c>
      <c r="B49" s="2" t="s">
        <v>394</v>
      </c>
      <c r="C49" s="127">
        <f>'101 &amp; 106 By County'!E370</f>
        <v>6908.25</v>
      </c>
      <c r="D49" s="201">
        <f t="shared" si="5"/>
        <v>216.26621715180156</v>
      </c>
      <c r="E49" s="201">
        <f t="shared" si="6"/>
        <v>1997.551232654044</v>
      </c>
      <c r="F49" s="133">
        <f t="shared" si="7"/>
        <v>4694.4325501941539</v>
      </c>
      <c r="G49" s="2"/>
      <c r="H49" s="2"/>
      <c r="I49" s="2"/>
      <c r="J49" s="2"/>
      <c r="K49" s="2"/>
      <c r="L49" s="2"/>
      <c r="M49" s="2"/>
      <c r="N49" s="223"/>
      <c r="S49" s="28" t="s">
        <v>8</v>
      </c>
      <c r="T49" s="133">
        <f>Bills!I39</f>
        <v>1</v>
      </c>
      <c r="U49" s="225">
        <f>T49/T51</f>
        <v>2.5462137801089781E-5</v>
      </c>
    </row>
    <row r="50" spans="1:21">
      <c r="A50" s="2" t="s">
        <v>647</v>
      </c>
      <c r="B50" s="2" t="s">
        <v>394</v>
      </c>
      <c r="C50" s="127">
        <f>'101 &amp; 106 By County'!E383</f>
        <v>185622.18</v>
      </c>
      <c r="D50" s="201">
        <f t="shared" si="5"/>
        <v>5810.9950693838227</v>
      </c>
      <c r="E50" s="201">
        <f t="shared" si="6"/>
        <v>53673.479458174043</v>
      </c>
      <c r="F50" s="133">
        <f t="shared" si="7"/>
        <v>126137.70547244212</v>
      </c>
      <c r="G50" s="2"/>
      <c r="H50" s="2"/>
      <c r="I50" s="2"/>
      <c r="J50" s="2"/>
      <c r="K50" s="2"/>
      <c r="L50" s="2"/>
      <c r="M50" s="2"/>
      <c r="N50" s="223"/>
      <c r="S50" s="28" t="s">
        <v>147</v>
      </c>
      <c r="T50" s="133">
        <f>Bills!I40</f>
        <v>3</v>
      </c>
      <c r="U50" s="225">
        <f>T50/T51</f>
        <v>7.6386413403269337E-5</v>
      </c>
    </row>
    <row r="51" spans="1:21" ht="13.5" thickBot="1">
      <c r="A51" s="2" t="s">
        <v>1140</v>
      </c>
      <c r="B51" s="2">
        <v>38700</v>
      </c>
      <c r="C51" s="127">
        <f>'101 &amp; 106 By County'!E153</f>
        <v>21918.58</v>
      </c>
      <c r="D51" s="201">
        <f t="shared" ref="D51" si="9">C51*$D$38</f>
        <v>686.17209596339671</v>
      </c>
      <c r="E51" s="201">
        <f t="shared" ref="E51" si="10">C51*$E$38</f>
        <v>6337.8549556003736</v>
      </c>
      <c r="F51" s="133">
        <f t="shared" ref="F51" si="11">C51*$F$38</f>
        <v>14894.552948436231</v>
      </c>
      <c r="G51" s="2"/>
      <c r="H51" s="2"/>
      <c r="I51" s="2"/>
      <c r="J51" s="2"/>
      <c r="K51" s="2"/>
      <c r="L51" s="2"/>
      <c r="M51" s="2"/>
      <c r="N51" s="223"/>
      <c r="S51" s="28"/>
      <c r="T51" s="226">
        <f>SUM(T47:T50)</f>
        <v>39274</v>
      </c>
      <c r="U51" s="227">
        <v>1</v>
      </c>
    </row>
    <row r="52" spans="1:21" ht="14.25" thickTop="1" thickBot="1">
      <c r="A52" s="2"/>
      <c r="B52" s="2"/>
      <c r="C52" s="206">
        <f>SUM(C40:C51)</f>
        <v>24624056.559999999</v>
      </c>
      <c r="D52" s="206">
        <f t="shared" ref="D52:F52" si="12">SUM(D40:D51)</f>
        <v>770868.39115017618</v>
      </c>
      <c r="E52" s="206">
        <f t="shared" si="12"/>
        <v>7120155.5436428757</v>
      </c>
      <c r="F52" s="206">
        <f t="shared" si="12"/>
        <v>16733032.625206945</v>
      </c>
      <c r="G52" s="2"/>
      <c r="H52" s="2"/>
      <c r="I52" s="2"/>
      <c r="J52" s="2"/>
      <c r="K52" s="223"/>
      <c r="L52" s="223"/>
      <c r="M52" s="223"/>
      <c r="N52" s="223"/>
      <c r="S52" s="28"/>
      <c r="T52" s="133"/>
    </row>
    <row r="53" spans="1:21" ht="13.5" thickTop="1">
      <c r="A53" s="2"/>
      <c r="B53" s="2"/>
      <c r="C53" s="127"/>
      <c r="D53" s="204"/>
      <c r="E53" s="204"/>
      <c r="F53" s="133">
        <f>F52+E52+D52</f>
        <v>24624056.559999999</v>
      </c>
      <c r="G53" s="2"/>
      <c r="H53" s="2"/>
      <c r="I53" s="2"/>
      <c r="J53" s="2"/>
      <c r="K53" s="2"/>
      <c r="L53" s="2"/>
      <c r="M53" s="2"/>
      <c r="N53" s="223"/>
      <c r="S53" s="245" t="s">
        <v>656</v>
      </c>
      <c r="T53" s="133"/>
    </row>
    <row r="54" spans="1:21">
      <c r="A54" s="2"/>
      <c r="B54" s="2"/>
      <c r="C54" s="28"/>
      <c r="G54" s="2"/>
      <c r="H54" s="2"/>
      <c r="I54" s="2"/>
      <c r="J54" s="2"/>
      <c r="K54" s="223"/>
      <c r="L54" s="223"/>
      <c r="M54" s="223"/>
      <c r="N54" s="223"/>
      <c r="S54" s="28" t="s">
        <v>657</v>
      </c>
      <c r="T54" s="133">
        <f>Bills!I44</f>
        <v>3983</v>
      </c>
      <c r="U54" s="225">
        <f>T54/T56</f>
        <v>0.45792136123246724</v>
      </c>
    </row>
    <row r="55" spans="1:21">
      <c r="A55" s="2"/>
      <c r="B55" s="180" t="s">
        <v>634</v>
      </c>
      <c r="C55" s="28"/>
      <c r="D55" s="213">
        <f>U21</f>
        <v>0.68098804914997479</v>
      </c>
      <c r="E55" s="213">
        <f>U22</f>
        <v>0.15672866520787745</v>
      </c>
      <c r="F55" s="242">
        <f>U23</f>
        <v>0.16228328564214778</v>
      </c>
      <c r="G55" s="242">
        <f>SUM(D55:F55)</f>
        <v>1</v>
      </c>
      <c r="H55" s="2"/>
      <c r="I55" s="2"/>
      <c r="J55" s="2"/>
      <c r="K55" s="223"/>
      <c r="L55" s="223"/>
      <c r="M55" s="223"/>
      <c r="N55" s="223"/>
      <c r="S55" s="28" t="s">
        <v>9</v>
      </c>
      <c r="T55" s="133">
        <f>Bills!I45</f>
        <v>4715</v>
      </c>
      <c r="U55" s="225">
        <f>T55/T56</f>
        <v>0.54207863876753282</v>
      </c>
    </row>
    <row r="56" spans="1:21" ht="13.5" thickBot="1">
      <c r="A56" s="218" t="s">
        <v>637</v>
      </c>
      <c r="B56" s="218" t="s">
        <v>303</v>
      </c>
      <c r="C56" s="219" t="s">
        <v>15</v>
      </c>
      <c r="D56" s="243" t="s">
        <v>6</v>
      </c>
      <c r="E56" s="243" t="s">
        <v>169</v>
      </c>
      <c r="F56" s="243" t="s">
        <v>7</v>
      </c>
      <c r="G56" s="2"/>
      <c r="H56" s="2"/>
      <c r="I56" s="2"/>
      <c r="J56" s="2"/>
      <c r="K56" s="223"/>
      <c r="L56" s="223"/>
      <c r="M56" s="223"/>
      <c r="N56" s="223"/>
      <c r="S56" s="28"/>
      <c r="T56" s="226">
        <f>SUM(T54:T55)</f>
        <v>8698</v>
      </c>
      <c r="U56" s="227">
        <v>1</v>
      </c>
    </row>
    <row r="57" spans="1:21" ht="13.5" thickTop="1">
      <c r="A57" s="2" t="s">
        <v>652</v>
      </c>
      <c r="B57" s="2" t="s">
        <v>385</v>
      </c>
      <c r="C57" s="127">
        <f>'101 &amp; 106 By County'!E319</f>
        <v>33960486.109999999</v>
      </c>
      <c r="D57" s="201">
        <f t="shared" ref="D57:D59" si="13">$C57*$D$55</f>
        <v>23126685.184233718</v>
      </c>
      <c r="E57" s="201">
        <f t="shared" ref="E57:E59" si="14">$C57*$E$55</f>
        <v>5322581.6578309629</v>
      </c>
      <c r="F57" s="133">
        <f t="shared" ref="F57:F59" si="15">$C57*$F$55</f>
        <v>5511219.2679353217</v>
      </c>
      <c r="G57" s="2"/>
      <c r="H57" s="2"/>
      <c r="I57" s="2"/>
      <c r="J57" s="2"/>
      <c r="K57" s="223"/>
      <c r="L57" s="223"/>
      <c r="M57" s="223"/>
      <c r="N57" s="223"/>
      <c r="S57" s="28"/>
      <c r="T57" s="133"/>
    </row>
    <row r="58" spans="1:21">
      <c r="A58" s="2" t="s">
        <v>653</v>
      </c>
      <c r="B58" s="2" t="s">
        <v>654</v>
      </c>
      <c r="C58" s="127">
        <f>'101 &amp; 106 By County'!E336</f>
        <v>300937.24</v>
      </c>
      <c r="D58" s="201">
        <f t="shared" si="13"/>
        <v>204934.66398417775</v>
      </c>
      <c r="E58" s="201">
        <f t="shared" si="14"/>
        <v>47165.491936542669</v>
      </c>
      <c r="F58" s="133">
        <f t="shared" si="15"/>
        <v>48837.084079279579</v>
      </c>
      <c r="G58" s="2"/>
      <c r="H58" s="2"/>
      <c r="I58" s="2"/>
      <c r="J58" s="2"/>
      <c r="K58" s="244" t="s">
        <v>6</v>
      </c>
      <c r="L58" s="244" t="s">
        <v>169</v>
      </c>
      <c r="M58" s="244" t="s">
        <v>7</v>
      </c>
      <c r="N58" s="223"/>
      <c r="S58" s="247" t="s">
        <v>658</v>
      </c>
      <c r="T58" s="133"/>
    </row>
    <row r="59" spans="1:21">
      <c r="A59" s="2" t="s">
        <v>1141</v>
      </c>
      <c r="B59" s="2">
        <v>38000</v>
      </c>
      <c r="C59" s="127">
        <f>'101 &amp; 106 By County'!E430</f>
        <v>160096.31</v>
      </c>
      <c r="D59" s="201">
        <f t="shared" si="13"/>
        <v>109023.67382300959</v>
      </c>
      <c r="E59" s="201">
        <f t="shared" si="14"/>
        <v>25091.680971006565</v>
      </c>
      <c r="F59" s="133">
        <f t="shared" si="15"/>
        <v>25980.955205983839</v>
      </c>
      <c r="G59" s="2"/>
      <c r="H59" s="2"/>
      <c r="I59" s="2"/>
      <c r="J59" s="2">
        <v>38000</v>
      </c>
      <c r="K59" s="223">
        <f>D57+D58+D59</f>
        <v>23440643.522040907</v>
      </c>
      <c r="L59" s="223">
        <f>E57+E58+E59</f>
        <v>5394838.8307385128</v>
      </c>
      <c r="M59" s="223">
        <f>F57+F58+F59</f>
        <v>5586037.3072205847</v>
      </c>
      <c r="N59" s="223"/>
      <c r="S59" s="28" t="s">
        <v>141</v>
      </c>
      <c r="T59" s="133">
        <f>Bills!I49</f>
        <v>17096</v>
      </c>
      <c r="U59" s="225">
        <f>T59/$T$62</f>
        <v>0.99976608187134508</v>
      </c>
    </row>
    <row r="60" spans="1:21">
      <c r="A60" s="2" t="s">
        <v>655</v>
      </c>
      <c r="B60" s="2" t="s">
        <v>387</v>
      </c>
      <c r="C60" s="127">
        <f>'101 &amp; 106 By County'!E432</f>
        <v>398483.73</v>
      </c>
      <c r="D60" s="201">
        <f t="shared" ref="D60:D68" si="16">$C60*$D$55</f>
        <v>271362.65791070525</v>
      </c>
      <c r="E60" s="201">
        <f t="shared" ref="E60:E68" si="17">$C60*$E$55</f>
        <v>62453.823109956233</v>
      </c>
      <c r="F60" s="133">
        <f t="shared" ref="F60:F68" si="18">$C60*$F$55</f>
        <v>64667.248979338488</v>
      </c>
      <c r="G60" s="223"/>
      <c r="H60" s="2"/>
      <c r="I60" s="2"/>
      <c r="J60" s="2">
        <v>382</v>
      </c>
      <c r="K60" s="223">
        <f>D61+D60</f>
        <v>4718726.7763520461</v>
      </c>
      <c r="L60" s="223">
        <f>E60+E61</f>
        <v>1086009.8794119256</v>
      </c>
      <c r="M60" s="223">
        <f>F60+F61</f>
        <v>1124499.1542360291</v>
      </c>
      <c r="N60" s="223"/>
      <c r="S60" s="28" t="s">
        <v>148</v>
      </c>
      <c r="T60" s="133">
        <f>Bills!I50</f>
        <v>1</v>
      </c>
      <c r="U60" s="225">
        <f>T60/$T$62</f>
        <v>5.8479532163742693E-5</v>
      </c>
    </row>
    <row r="61" spans="1:21">
      <c r="A61" s="2" t="s">
        <v>652</v>
      </c>
      <c r="B61" s="2" t="s">
        <v>387</v>
      </c>
      <c r="C61" s="127">
        <f>'101 &amp; 106 By County'!E321</f>
        <v>6530752.0800000001</v>
      </c>
      <c r="D61" s="201">
        <f t="shared" si="16"/>
        <v>4447364.1184413405</v>
      </c>
      <c r="E61" s="201">
        <f t="shared" si="17"/>
        <v>1023556.0563019693</v>
      </c>
      <c r="F61" s="133">
        <f t="shared" si="18"/>
        <v>1059831.9052566907</v>
      </c>
      <c r="G61" s="223"/>
      <c r="H61" s="2"/>
      <c r="I61" s="2"/>
      <c r="J61" s="2">
        <v>383</v>
      </c>
      <c r="K61" s="223">
        <f>D62+D64</f>
        <v>1417521.9712998655</v>
      </c>
      <c r="L61" s="223">
        <f>E62+E64</f>
        <v>326241.15319201315</v>
      </c>
      <c r="M61" s="223">
        <f>F62+F64</f>
        <v>337803.46550812153</v>
      </c>
      <c r="N61" s="223"/>
      <c r="S61" s="28" t="s">
        <v>153</v>
      </c>
      <c r="T61" s="133">
        <f>Bills!I51</f>
        <v>3</v>
      </c>
      <c r="U61" s="225">
        <f>T61/$T$62</f>
        <v>1.7543859649122806E-4</v>
      </c>
    </row>
    <row r="62" spans="1:21" ht="13.5" thickBot="1">
      <c r="A62" s="2" t="s">
        <v>652</v>
      </c>
      <c r="B62" s="2" t="s">
        <v>389</v>
      </c>
      <c r="C62" s="127">
        <f>'101 &amp; 106 By County'!E322</f>
        <v>2081566.59</v>
      </c>
      <c r="D62" s="201">
        <f t="shared" si="16"/>
        <v>1417521.9712998655</v>
      </c>
      <c r="E62" s="201">
        <f t="shared" si="17"/>
        <v>326241.15319201315</v>
      </c>
      <c r="F62" s="133">
        <f t="shared" si="18"/>
        <v>337803.46550812153</v>
      </c>
      <c r="G62" s="223"/>
      <c r="H62" s="2"/>
      <c r="I62" s="2"/>
      <c r="J62" s="2">
        <v>384</v>
      </c>
      <c r="K62" s="223">
        <f>D63+D65+D66</f>
        <v>1757802.3018250298</v>
      </c>
      <c r="L62" s="223">
        <f>E63+E65+E66</f>
        <v>404556.30434080964</v>
      </c>
      <c r="M62" s="223">
        <f>F65+F66+F63</f>
        <v>418894.18383416091</v>
      </c>
      <c r="N62" s="223"/>
      <c r="S62" s="28"/>
      <c r="T62" s="226">
        <f>SUM(T59:T61)</f>
        <v>17100</v>
      </c>
      <c r="U62" s="227">
        <v>1</v>
      </c>
    </row>
    <row r="63" spans="1:21" ht="13.5" thickTop="1">
      <c r="A63" s="2" t="s">
        <v>653</v>
      </c>
      <c r="B63" s="2" t="s">
        <v>391</v>
      </c>
      <c r="C63" s="127">
        <f>'101 &amp; 106 By County'!E340</f>
        <v>53188.84</v>
      </c>
      <c r="D63" s="201">
        <f t="shared" si="16"/>
        <v>36220.96438815014</v>
      </c>
      <c r="E63" s="201">
        <f t="shared" si="17"/>
        <v>8336.2158971553599</v>
      </c>
      <c r="F63" s="133">
        <f t="shared" si="18"/>
        <v>8631.6597146944951</v>
      </c>
      <c r="G63" s="223"/>
      <c r="H63" s="2"/>
      <c r="I63" s="2"/>
      <c r="J63" s="2">
        <v>385</v>
      </c>
      <c r="K63" s="223">
        <f t="shared" ref="K63:M64" si="19">D67</f>
        <v>1479540.084106632</v>
      </c>
      <c r="L63" s="223">
        <f t="shared" si="19"/>
        <v>340514.5549808534</v>
      </c>
      <c r="M63" s="223">
        <f t="shared" si="19"/>
        <v>352582.73091251473</v>
      </c>
      <c r="N63" s="223"/>
      <c r="S63" s="28"/>
      <c r="T63" s="133"/>
    </row>
    <row r="64" spans="1:21">
      <c r="A64" s="2" t="s">
        <v>655</v>
      </c>
      <c r="B64" s="2">
        <v>38300</v>
      </c>
      <c r="C64" s="127">
        <f>'101 &amp; 106 By County'!E433</f>
        <v>0</v>
      </c>
      <c r="D64" s="201">
        <f t="shared" si="16"/>
        <v>0</v>
      </c>
      <c r="E64" s="201">
        <f t="shared" si="17"/>
        <v>0</v>
      </c>
      <c r="F64" s="133">
        <f t="shared" si="18"/>
        <v>0</v>
      </c>
      <c r="G64" s="223"/>
      <c r="H64" s="2"/>
      <c r="I64" s="2"/>
      <c r="J64" s="2">
        <v>387</v>
      </c>
      <c r="K64" s="223">
        <f t="shared" si="19"/>
        <v>348880.14043469116</v>
      </c>
      <c r="L64" s="223">
        <f t="shared" si="19"/>
        <v>80294.388126367616</v>
      </c>
      <c r="M64" s="223">
        <f t="shared" si="19"/>
        <v>83140.101438941259</v>
      </c>
      <c r="N64" s="223"/>
      <c r="S64" s="248" t="s">
        <v>659</v>
      </c>
      <c r="T64" s="133"/>
    </row>
    <row r="65" spans="1:21" ht="13.5" thickBot="1">
      <c r="A65" s="2" t="s">
        <v>652</v>
      </c>
      <c r="B65" s="2" t="s">
        <v>391</v>
      </c>
      <c r="C65" s="127">
        <f>'101 &amp; 106 By County'!E323</f>
        <v>2513815.39</v>
      </c>
      <c r="D65" s="201">
        <f t="shared" si="16"/>
        <v>1711878.2383592832</v>
      </c>
      <c r="E65" s="201">
        <f t="shared" si="17"/>
        <v>393986.93065371993</v>
      </c>
      <c r="F65" s="133">
        <f t="shared" si="18"/>
        <v>407950.22098699713</v>
      </c>
      <c r="G65" s="223"/>
      <c r="H65" s="2"/>
      <c r="I65" s="2"/>
      <c r="J65" s="2"/>
      <c r="K65" s="206">
        <f>SUM(K59:K64)</f>
        <v>33163114.796059169</v>
      </c>
      <c r="L65" s="206">
        <f>SUM(L59:L64)</f>
        <v>7632455.1107904827</v>
      </c>
      <c r="M65" s="206">
        <f>SUM(M59:M64)</f>
        <v>7902956.9431503527</v>
      </c>
      <c r="N65" s="223"/>
      <c r="S65" s="1" t="s">
        <v>660</v>
      </c>
      <c r="T65" s="133">
        <f>Bills!I55</f>
        <v>7242</v>
      </c>
      <c r="U65" s="251">
        <f>T65/T67</f>
        <v>0.97417271993543175</v>
      </c>
    </row>
    <row r="66" spans="1:21" ht="13.5" thickTop="1">
      <c r="A66" s="2" t="s">
        <v>1141</v>
      </c>
      <c r="B66" s="2" t="s">
        <v>391</v>
      </c>
      <c r="C66" s="127">
        <f>'101 &amp; 106 By County'!E434</f>
        <v>14248.56</v>
      </c>
      <c r="D66" s="201">
        <f t="shared" si="16"/>
        <v>9703.0990775963637</v>
      </c>
      <c r="E66" s="201">
        <f t="shared" si="17"/>
        <v>2233.1577899343542</v>
      </c>
      <c r="F66" s="133">
        <f t="shared" si="18"/>
        <v>2312.3031324692811</v>
      </c>
      <c r="G66" s="223"/>
      <c r="H66" s="2"/>
      <c r="I66" s="2"/>
      <c r="J66" s="2"/>
      <c r="K66" s="133">
        <f>SUM(K65:M65)</f>
        <v>48698526.850000009</v>
      </c>
      <c r="L66" s="223"/>
      <c r="M66" s="223"/>
      <c r="N66" s="223"/>
      <c r="S66" s="1" t="s">
        <v>661</v>
      </c>
      <c r="T66" s="133">
        <f>Bills!I56</f>
        <v>192</v>
      </c>
      <c r="U66" s="251">
        <f>T66/T67</f>
        <v>2.5827280064568199E-2</v>
      </c>
    </row>
    <row r="67" spans="1:21" ht="13.5" thickBot="1">
      <c r="A67" s="2" t="s">
        <v>652</v>
      </c>
      <c r="B67" s="2" t="s">
        <v>393</v>
      </c>
      <c r="C67" s="127">
        <f>'101 &amp; 106 By County'!E324</f>
        <v>2172637.37</v>
      </c>
      <c r="D67" s="201">
        <f t="shared" si="16"/>
        <v>1479540.084106632</v>
      </c>
      <c r="E67" s="201">
        <f t="shared" si="17"/>
        <v>340514.5549808534</v>
      </c>
      <c r="F67" s="133">
        <f t="shared" si="18"/>
        <v>352582.73091251473</v>
      </c>
      <c r="G67" s="223"/>
      <c r="H67" s="2"/>
      <c r="I67" s="2"/>
      <c r="J67" s="2"/>
      <c r="K67" s="223">
        <f>K66-D70</f>
        <v>0</v>
      </c>
      <c r="L67" s="2"/>
      <c r="M67" s="2"/>
      <c r="N67" s="223"/>
      <c r="T67" s="226">
        <f>SUM(T65:T66)</f>
        <v>7434</v>
      </c>
      <c r="U67" s="227">
        <f>SUM(U65:U66)</f>
        <v>1</v>
      </c>
    </row>
    <row r="68" spans="1:21" ht="13.5" thickTop="1">
      <c r="A68" s="2" t="s">
        <v>652</v>
      </c>
      <c r="B68" s="2" t="s">
        <v>394</v>
      </c>
      <c r="C68" s="127">
        <f>'101 &amp; 106 By County'!E325</f>
        <v>512314.63</v>
      </c>
      <c r="D68" s="201">
        <f t="shared" si="16"/>
        <v>348880.14043469116</v>
      </c>
      <c r="E68" s="201">
        <f t="shared" si="17"/>
        <v>80294.388126367616</v>
      </c>
      <c r="F68" s="133">
        <f t="shared" si="18"/>
        <v>83140.101438941259</v>
      </c>
      <c r="G68" s="223"/>
      <c r="H68" s="2"/>
      <c r="I68" s="2"/>
      <c r="J68" s="2"/>
      <c r="K68" s="2"/>
      <c r="L68" s="2"/>
      <c r="M68" s="2"/>
      <c r="N68" s="223"/>
      <c r="S68" s="133"/>
      <c r="T68" s="133"/>
    </row>
    <row r="69" spans="1:21" ht="13.5" thickBot="1">
      <c r="A69" s="2"/>
      <c r="B69" s="2"/>
      <c r="C69" s="127">
        <f>SUM(C57:C68)</f>
        <v>48698526.850000009</v>
      </c>
      <c r="D69" s="206">
        <f>SUM(D57:D68)</f>
        <v>33163114.796059169</v>
      </c>
      <c r="E69" s="206">
        <f t="shared" ref="E69:F69" si="20">SUM(E57:E68)</f>
        <v>7632455.1107904827</v>
      </c>
      <c r="F69" s="206">
        <f t="shared" si="20"/>
        <v>7902956.9431503518</v>
      </c>
      <c r="G69" s="223"/>
      <c r="H69" s="2"/>
      <c r="I69" s="2"/>
      <c r="J69" s="2"/>
      <c r="K69" s="2"/>
      <c r="L69" s="2"/>
      <c r="M69" s="2"/>
      <c r="N69" s="223"/>
      <c r="S69" s="133"/>
      <c r="T69" s="133"/>
    </row>
    <row r="70" spans="1:21" ht="13.5" thickTop="1">
      <c r="A70" s="2"/>
      <c r="B70" s="2"/>
      <c r="C70" s="133" t="e">
        <f>D70-'101 &amp; 106 By County'!#REF!</f>
        <v>#REF!</v>
      </c>
      <c r="D70" s="133">
        <f>SUM(D69:F69)</f>
        <v>48698526.850000001</v>
      </c>
      <c r="G70" s="223"/>
      <c r="H70" s="2"/>
      <c r="I70" s="2"/>
      <c r="J70" s="2"/>
      <c r="K70" s="2"/>
      <c r="L70" s="2"/>
      <c r="M70" s="2"/>
      <c r="N70" s="223"/>
      <c r="S70" s="28"/>
      <c r="T70" s="133"/>
    </row>
    <row r="71" spans="1:21">
      <c r="A71" s="214"/>
      <c r="B71" s="2"/>
      <c r="C71" s="28"/>
      <c r="G71" s="223"/>
      <c r="H71" s="2"/>
      <c r="I71" s="2"/>
      <c r="J71" s="2"/>
      <c r="K71" s="2"/>
      <c r="L71" s="2"/>
      <c r="M71" s="2"/>
      <c r="N71" s="223"/>
      <c r="S71" s="28"/>
      <c r="T71" s="133"/>
    </row>
    <row r="72" spans="1:21">
      <c r="A72" s="2"/>
      <c r="B72" s="180" t="s">
        <v>634</v>
      </c>
      <c r="C72" s="28"/>
      <c r="D72" s="213">
        <f>U27</f>
        <v>0.79705176551251289</v>
      </c>
      <c r="E72" s="213">
        <f>U28</f>
        <v>1.958959792350262E-4</v>
      </c>
      <c r="F72" s="213">
        <f>U29</f>
        <v>0.19241882560360449</v>
      </c>
      <c r="G72" s="213">
        <f>U30</f>
        <v>1.4692198442626964E-4</v>
      </c>
      <c r="H72" s="213">
        <f>U31</f>
        <v>1.2243498702189136E-3</v>
      </c>
      <c r="I72" s="213">
        <f>U32</f>
        <v>8.9622410500024494E-3</v>
      </c>
      <c r="J72" s="2"/>
      <c r="K72" s="223"/>
      <c r="L72" s="223"/>
      <c r="M72" s="223"/>
      <c r="N72" s="223"/>
      <c r="T72" s="133"/>
    </row>
    <row r="73" spans="1:21">
      <c r="A73" s="218" t="s">
        <v>637</v>
      </c>
      <c r="B73" s="218" t="s">
        <v>303</v>
      </c>
      <c r="C73" s="219" t="s">
        <v>15</v>
      </c>
      <c r="D73" s="249" t="s">
        <v>164</v>
      </c>
      <c r="E73" s="249" t="s">
        <v>11</v>
      </c>
      <c r="F73" s="249" t="s">
        <v>1</v>
      </c>
      <c r="G73" s="249" t="s">
        <v>0</v>
      </c>
      <c r="H73" s="249" t="s">
        <v>649</v>
      </c>
      <c r="I73" s="249" t="s">
        <v>2</v>
      </c>
      <c r="J73" s="2"/>
      <c r="K73" s="223"/>
      <c r="L73" s="223"/>
      <c r="M73" s="223"/>
      <c r="N73" s="223"/>
      <c r="S73" s="28"/>
      <c r="T73" s="133"/>
    </row>
    <row r="74" spans="1:21">
      <c r="A74" s="2" t="s">
        <v>640</v>
      </c>
      <c r="B74" s="2" t="s">
        <v>385</v>
      </c>
      <c r="C74" s="127">
        <f>'101 &amp; 106 By County'!E114</f>
        <v>27215256.309999999</v>
      </c>
      <c r="D74" s="201">
        <f t="shared" ref="D74:D84" si="21">C74*$D$72</f>
        <v>21691968.090761054</v>
      </c>
      <c r="E74" s="201">
        <f t="shared" ref="E74:E84" si="22">C74*$E$72</f>
        <v>5331.359284979676</v>
      </c>
      <c r="F74" s="133">
        <f t="shared" ref="F74:F84" si="23">C74*$F$72</f>
        <v>5236727.6576712867</v>
      </c>
      <c r="G74" s="223">
        <f t="shared" ref="G74:G84" si="24">C74*$G$72</f>
        <v>3998.5194637347563</v>
      </c>
      <c r="H74" s="223">
        <f t="shared" ref="H74:H84" si="25">C74*$H$72</f>
        <v>33320.995531122971</v>
      </c>
      <c r="I74" s="223">
        <f t="shared" ref="I74:I84" si="26">C74*$I$72</f>
        <v>243909.68728782018</v>
      </c>
      <c r="J74" s="2"/>
      <c r="K74" s="223"/>
      <c r="L74" s="223"/>
      <c r="M74" s="223"/>
      <c r="N74" s="223"/>
      <c r="S74" s="28"/>
      <c r="T74" s="133"/>
    </row>
    <row r="75" spans="1:21">
      <c r="A75" s="2" t="s">
        <v>2</v>
      </c>
      <c r="B75" s="2" t="s">
        <v>385</v>
      </c>
      <c r="C75" s="127">
        <f>'101 &amp; 106 By County'!E66</f>
        <v>17105.77</v>
      </c>
      <c r="D75" s="201">
        <f t="shared" si="21"/>
        <v>13634.184178950978</v>
      </c>
      <c r="E75" s="201">
        <f t="shared" si="22"/>
        <v>3.3509515647191344</v>
      </c>
      <c r="F75" s="133">
        <f t="shared" si="23"/>
        <v>3291.4721744453695</v>
      </c>
      <c r="G75" s="223">
        <f t="shared" si="24"/>
        <v>2.5132136735393504</v>
      </c>
      <c r="H75" s="223">
        <f t="shared" si="25"/>
        <v>20.943447279494588</v>
      </c>
      <c r="I75" s="223">
        <f t="shared" si="26"/>
        <v>153.30603408590039</v>
      </c>
      <c r="J75" s="2"/>
      <c r="K75" s="180"/>
      <c r="L75" s="250" t="s">
        <v>164</v>
      </c>
      <c r="M75" s="250" t="s">
        <v>11</v>
      </c>
      <c r="N75" s="250" t="s">
        <v>1</v>
      </c>
      <c r="O75" s="250" t="s">
        <v>0</v>
      </c>
      <c r="P75" s="250" t="s">
        <v>649</v>
      </c>
      <c r="Q75" s="250" t="s">
        <v>2</v>
      </c>
      <c r="S75" s="28"/>
      <c r="T75" s="133"/>
    </row>
    <row r="76" spans="1:21">
      <c r="A76" s="2" t="s">
        <v>640</v>
      </c>
      <c r="B76" s="2" t="s">
        <v>387</v>
      </c>
      <c r="C76" s="127">
        <f>'101 &amp; 106 By County'!E116</f>
        <v>3467645.31</v>
      </c>
      <c r="D76" s="201">
        <f t="shared" si="21"/>
        <v>2763892.8165066852</v>
      </c>
      <c r="E76" s="201">
        <f t="shared" si="22"/>
        <v>679.29777364219603</v>
      </c>
      <c r="F76" s="133">
        <f t="shared" si="23"/>
        <v>667240.23816004698</v>
      </c>
      <c r="G76" s="223">
        <f t="shared" si="24"/>
        <v>509.47333023164697</v>
      </c>
      <c r="H76" s="223">
        <f t="shared" si="25"/>
        <v>4245.6110852637248</v>
      </c>
      <c r="I76" s="223">
        <f t="shared" si="26"/>
        <v>31077.87314413047</v>
      </c>
      <c r="J76" s="2"/>
      <c r="K76" s="2">
        <v>38000</v>
      </c>
      <c r="L76" s="223">
        <f t="shared" ref="L76:Q76" si="27">D74+D75</f>
        <v>21705602.274940006</v>
      </c>
      <c r="M76" s="223">
        <f t="shared" si="27"/>
        <v>5334.7102365443952</v>
      </c>
      <c r="N76" s="223">
        <f t="shared" si="27"/>
        <v>5240019.1298457319</v>
      </c>
      <c r="O76" s="223">
        <f t="shared" si="27"/>
        <v>4001.0326774082955</v>
      </c>
      <c r="P76" s="223">
        <f t="shared" si="27"/>
        <v>33341.938978402468</v>
      </c>
      <c r="Q76" s="223">
        <f t="shared" si="27"/>
        <v>244062.99332190608</v>
      </c>
      <c r="S76" s="28"/>
      <c r="T76" s="133"/>
    </row>
    <row r="77" spans="1:21">
      <c r="A77" s="2" t="s">
        <v>662</v>
      </c>
      <c r="B77" s="2">
        <v>382</v>
      </c>
      <c r="C77" s="127">
        <f>'101 &amp; 106 By County'!E442</f>
        <v>37397.57</v>
      </c>
      <c r="D77" s="201">
        <f t="shared" si="21"/>
        <v>29807.799194377785</v>
      </c>
      <c r="E77" s="201">
        <f t="shared" si="22"/>
        <v>7.326033596160439</v>
      </c>
      <c r="F77" s="133">
        <f t="shared" si="23"/>
        <v>7195.9964998285914</v>
      </c>
      <c r="G77" s="223">
        <f t="shared" si="24"/>
        <v>5.4945251971203284</v>
      </c>
      <c r="H77" s="223">
        <f t="shared" si="25"/>
        <v>45.787709976002738</v>
      </c>
      <c r="I77" s="223">
        <f t="shared" si="26"/>
        <v>335.16603702434008</v>
      </c>
      <c r="J77" s="2"/>
      <c r="K77" s="2">
        <v>38200</v>
      </c>
      <c r="L77" s="223">
        <f t="shared" ref="L77:Q77" si="28">D76+D77</f>
        <v>2793700.6157010631</v>
      </c>
      <c r="M77" s="223">
        <f t="shared" si="28"/>
        <v>686.62380723835645</v>
      </c>
      <c r="N77" s="223">
        <f t="shared" si="28"/>
        <v>674436.23465987563</v>
      </c>
      <c r="O77" s="223">
        <f t="shared" si="28"/>
        <v>514.96785542876728</v>
      </c>
      <c r="P77" s="223">
        <f t="shared" si="28"/>
        <v>4291.3987952397274</v>
      </c>
      <c r="Q77" s="223">
        <f t="shared" si="28"/>
        <v>31413.039181154811</v>
      </c>
      <c r="S77" s="28"/>
      <c r="T77" s="133"/>
    </row>
    <row r="78" spans="1:21">
      <c r="A78" s="2" t="s">
        <v>640</v>
      </c>
      <c r="B78" s="2" t="s">
        <v>389</v>
      </c>
      <c r="C78" s="127">
        <f>'101 &amp; 106 By County'!E117</f>
        <v>1450886.79</v>
      </c>
      <c r="D78" s="201">
        <f t="shared" si="21"/>
        <v>1156431.8775282826</v>
      </c>
      <c r="E78" s="201">
        <f t="shared" si="22"/>
        <v>284.22288848621383</v>
      </c>
      <c r="F78" s="133">
        <f t="shared" si="23"/>
        <v>279177.93221558351</v>
      </c>
      <c r="G78" s="223">
        <f t="shared" si="24"/>
        <v>213.16716636466035</v>
      </c>
      <c r="H78" s="223">
        <f t="shared" si="25"/>
        <v>1776.3930530388363</v>
      </c>
      <c r="I78" s="223">
        <f t="shared" si="26"/>
        <v>13003.197148244284</v>
      </c>
      <c r="J78" s="2"/>
      <c r="K78" s="2">
        <v>38300</v>
      </c>
      <c r="L78" s="223">
        <f t="shared" ref="L78:Q78" si="29">D78+D79</f>
        <v>1504268.0975317108</v>
      </c>
      <c r="M78" s="223">
        <f t="shared" si="29"/>
        <v>369.71258925510557</v>
      </c>
      <c r="N78" s="223">
        <f t="shared" si="29"/>
        <v>363150.19079582742</v>
      </c>
      <c r="O78" s="223">
        <f t="shared" si="29"/>
        <v>277.28444194132913</v>
      </c>
      <c r="P78" s="223">
        <f t="shared" si="29"/>
        <v>2310.7036828444097</v>
      </c>
      <c r="Q78" s="223">
        <f t="shared" si="29"/>
        <v>16914.350958421081</v>
      </c>
      <c r="S78" s="28"/>
      <c r="T78" s="133"/>
    </row>
    <row r="79" spans="1:21">
      <c r="A79" s="2" t="s">
        <v>662</v>
      </c>
      <c r="B79" s="2" t="s">
        <v>389</v>
      </c>
      <c r="C79" s="127">
        <f>'101 &amp; 106 By County'!E443</f>
        <v>436403.55</v>
      </c>
      <c r="D79" s="201">
        <f t="shared" si="21"/>
        <v>347836.22000342817</v>
      </c>
      <c r="E79" s="201">
        <f t="shared" si="22"/>
        <v>85.489700768891723</v>
      </c>
      <c r="F79" s="133">
        <f t="shared" si="23"/>
        <v>83972.258580243884</v>
      </c>
      <c r="G79" s="223">
        <f t="shared" si="24"/>
        <v>64.117275576668789</v>
      </c>
      <c r="H79" s="223">
        <f t="shared" si="25"/>
        <v>534.31062980557317</v>
      </c>
      <c r="I79" s="223">
        <f t="shared" si="26"/>
        <v>3911.1538101767965</v>
      </c>
      <c r="J79" s="2"/>
      <c r="K79" s="2">
        <v>38400</v>
      </c>
      <c r="L79" s="223">
        <f t="shared" ref="L79:Q79" si="30">D80+D81</f>
        <v>1199008.1909496058</v>
      </c>
      <c r="M79" s="223">
        <f t="shared" si="30"/>
        <v>294.68711298300605</v>
      </c>
      <c r="N79" s="223">
        <f t="shared" si="30"/>
        <v>289456.41672755766</v>
      </c>
      <c r="O79" s="223">
        <f t="shared" si="30"/>
        <v>221.01533473725448</v>
      </c>
      <c r="P79" s="223">
        <f t="shared" si="30"/>
        <v>1841.7944561437873</v>
      </c>
      <c r="Q79" s="223">
        <f t="shared" si="30"/>
        <v>13481.935418972525</v>
      </c>
      <c r="S79" s="28"/>
      <c r="T79" s="133"/>
    </row>
    <row r="80" spans="1:21">
      <c r="A80" s="2" t="s">
        <v>640</v>
      </c>
      <c r="B80" s="2" t="s">
        <v>391</v>
      </c>
      <c r="C80" s="127">
        <f>'101 &amp; 106 By County'!E118</f>
        <v>1491838.19</v>
      </c>
      <c r="D80" s="201">
        <f t="shared" si="21"/>
        <v>1189072.2631984917</v>
      </c>
      <c r="E80" s="201">
        <f t="shared" si="22"/>
        <v>292.24510309025908</v>
      </c>
      <c r="F80" s="133">
        <f t="shared" si="23"/>
        <v>287057.75251040695</v>
      </c>
      <c r="G80" s="223">
        <f t="shared" si="24"/>
        <v>219.18382731769427</v>
      </c>
      <c r="H80" s="223">
        <f t="shared" si="25"/>
        <v>1826.531894314119</v>
      </c>
      <c r="I80" s="223">
        <f t="shared" si="26"/>
        <v>13370.213466379353</v>
      </c>
      <c r="J80" s="2"/>
      <c r="K80" s="2">
        <v>38500</v>
      </c>
      <c r="L80" s="223">
        <f t="shared" ref="L80:Q80" si="31">D82+D83</f>
        <v>2220480.3064792599</v>
      </c>
      <c r="M80" s="223">
        <f t="shared" si="31"/>
        <v>545.74016749106238</v>
      </c>
      <c r="N80" s="223">
        <f t="shared" si="31"/>
        <v>536053.27951809589</v>
      </c>
      <c r="O80" s="223">
        <f t="shared" si="31"/>
        <v>409.3051256182967</v>
      </c>
      <c r="P80" s="223">
        <f t="shared" si="31"/>
        <v>3410.876046819139</v>
      </c>
      <c r="Q80" s="223">
        <f t="shared" si="31"/>
        <v>24967.612662716103</v>
      </c>
      <c r="S80" s="28"/>
      <c r="T80" s="133"/>
    </row>
    <row r="81" spans="1:20">
      <c r="A81" s="2" t="s">
        <v>662</v>
      </c>
      <c r="B81" s="2" t="s">
        <v>391</v>
      </c>
      <c r="C81" s="127">
        <f>'101 &amp; 106 By County'!E444</f>
        <v>12465.85</v>
      </c>
      <c r="D81" s="201">
        <f t="shared" si="21"/>
        <v>9935.927751114159</v>
      </c>
      <c r="E81" s="201">
        <f t="shared" si="22"/>
        <v>2.4420098927469516</v>
      </c>
      <c r="F81" s="133">
        <f t="shared" si="23"/>
        <v>2398.6642171506933</v>
      </c>
      <c r="G81" s="223">
        <f t="shared" si="24"/>
        <v>1.8315074195602135</v>
      </c>
      <c r="H81" s="223">
        <f t="shared" si="25"/>
        <v>15.262561829668446</v>
      </c>
      <c r="I81" s="223">
        <f t="shared" si="26"/>
        <v>111.72195259317304</v>
      </c>
      <c r="J81" s="2"/>
      <c r="K81" s="2">
        <v>38700</v>
      </c>
      <c r="L81" s="223">
        <f t="shared" ref="L81:Q81" si="32">D84</f>
        <v>281359.79130956467</v>
      </c>
      <c r="M81" s="223">
        <f t="shared" si="32"/>
        <v>69.151408002350763</v>
      </c>
      <c r="N81" s="223">
        <f t="shared" si="32"/>
        <v>67923.970510309024</v>
      </c>
      <c r="O81" s="223">
        <f t="shared" si="32"/>
        <v>51.863556001763065</v>
      </c>
      <c r="P81" s="223">
        <f t="shared" si="32"/>
        <v>432.19630001469221</v>
      </c>
      <c r="Q81" s="223">
        <f t="shared" si="32"/>
        <v>3163.6769161075472</v>
      </c>
      <c r="S81" s="28"/>
      <c r="T81" s="133"/>
    </row>
    <row r="82" spans="1:20" ht="13.5" thickBot="1">
      <c r="A82" s="2" t="s">
        <v>640</v>
      </c>
      <c r="B82" s="2" t="s">
        <v>393</v>
      </c>
      <c r="C82" s="127">
        <f>'101 &amp; 106 By County'!E119</f>
        <v>2783592.47</v>
      </c>
      <c r="D82" s="201">
        <f t="shared" si="21"/>
        <v>2218667.2926808367</v>
      </c>
      <c r="E82" s="201">
        <f t="shared" si="22"/>
        <v>545.29457270189539</v>
      </c>
      <c r="F82" s="133">
        <f t="shared" si="23"/>
        <v>535615.59403643664</v>
      </c>
      <c r="G82" s="223">
        <f t="shared" si="24"/>
        <v>408.97092952642146</v>
      </c>
      <c r="H82" s="223">
        <f t="shared" si="25"/>
        <v>3408.0910793868456</v>
      </c>
      <c r="I82" s="223">
        <f t="shared" si="26"/>
        <v>24947.226701111715</v>
      </c>
      <c r="J82" s="2"/>
      <c r="K82" s="252"/>
      <c r="L82" s="206">
        <f t="shared" ref="L82:O82" si="33">SUM(L76:L81)</f>
        <v>29704419.276911214</v>
      </c>
      <c r="M82" s="206">
        <f t="shared" si="33"/>
        <v>7300.6253215142769</v>
      </c>
      <c r="N82" s="206">
        <f t="shared" si="33"/>
        <v>7171039.2220573975</v>
      </c>
      <c r="O82" s="253">
        <f t="shared" si="33"/>
        <v>5475.4689911357063</v>
      </c>
      <c r="P82" s="253">
        <f>SUM(P76:P81)</f>
        <v>45628.908259464231</v>
      </c>
      <c r="Q82" s="253">
        <f>SUM(Q76:Q81)</f>
        <v>334003.60845927813</v>
      </c>
      <c r="S82" s="28"/>
      <c r="T82" s="133"/>
    </row>
    <row r="83" spans="1:20" ht="13.5" thickTop="1">
      <c r="A83" s="2" t="s">
        <v>2</v>
      </c>
      <c r="B83" s="2" t="s">
        <v>393</v>
      </c>
      <c r="C83" s="127">
        <f>'101 &amp; 106 By County'!E71</f>
        <v>2274.65</v>
      </c>
      <c r="D83" s="201">
        <f t="shared" si="21"/>
        <v>1813.0137984230375</v>
      </c>
      <c r="E83" s="201">
        <f t="shared" si="22"/>
        <v>0.44559478916695239</v>
      </c>
      <c r="F83" s="133">
        <f t="shared" si="23"/>
        <v>437.68548165923897</v>
      </c>
      <c r="G83" s="223">
        <f t="shared" si="24"/>
        <v>0.33419609187521426</v>
      </c>
      <c r="H83" s="223">
        <f t="shared" si="25"/>
        <v>2.7849674322934521</v>
      </c>
      <c r="I83" s="223">
        <f t="shared" si="26"/>
        <v>20.385961604388072</v>
      </c>
      <c r="J83" s="2"/>
      <c r="K83" s="223"/>
      <c r="L83" s="133">
        <f>SUM(L82:Q82)</f>
        <v>37267867.110000007</v>
      </c>
      <c r="M83" s="223"/>
      <c r="N83" s="223"/>
      <c r="P83" s="133">
        <f>SUM(L84:R84)</f>
        <v>0</v>
      </c>
      <c r="S83" s="28"/>
      <c r="T83" s="133"/>
    </row>
    <row r="84" spans="1:20">
      <c r="A84" s="2" t="s">
        <v>640</v>
      </c>
      <c r="B84" s="2" t="s">
        <v>394</v>
      </c>
      <c r="C84" s="127">
        <f>'101 &amp; 106 By County'!E120</f>
        <v>353000.65</v>
      </c>
      <c r="D84" s="201">
        <f t="shared" si="21"/>
        <v>281359.79130956467</v>
      </c>
      <c r="E84" s="201">
        <f t="shared" si="22"/>
        <v>69.151408002350763</v>
      </c>
      <c r="F84" s="133">
        <f t="shared" si="23"/>
        <v>67923.970510309024</v>
      </c>
      <c r="G84" s="223">
        <f t="shared" si="24"/>
        <v>51.863556001763065</v>
      </c>
      <c r="H84" s="223">
        <f t="shared" si="25"/>
        <v>432.19630001469221</v>
      </c>
      <c r="I84" s="223">
        <f t="shared" si="26"/>
        <v>3163.6769161075472</v>
      </c>
      <c r="J84" s="2"/>
      <c r="Q84" s="133"/>
      <c r="S84" s="28"/>
      <c r="T84" s="133"/>
    </row>
    <row r="85" spans="1:20" ht="13.5" thickBot="1">
      <c r="A85" s="2"/>
      <c r="B85" s="2"/>
      <c r="C85" s="206">
        <f>SUM(C74:C84)</f>
        <v>37267867.109999992</v>
      </c>
      <c r="D85" s="206">
        <f>SUM(D74:D84)</f>
        <v>29704419.27691121</v>
      </c>
      <c r="E85" s="206">
        <f t="shared" ref="E85:F85" si="34">SUM(E74:E84)</f>
        <v>7300.625321514276</v>
      </c>
      <c r="F85" s="206">
        <f t="shared" si="34"/>
        <v>7171039.2220573975</v>
      </c>
      <c r="G85" s="206">
        <f>SUM(G74:G84)</f>
        <v>5475.4689911357045</v>
      </c>
      <c r="H85" s="206">
        <f>SUM(H74:H84)</f>
        <v>45628.908259464217</v>
      </c>
      <c r="I85" s="206">
        <f>SUM(I74:I84)</f>
        <v>334003.60845927813</v>
      </c>
      <c r="J85" s="2"/>
      <c r="K85" s="223"/>
      <c r="L85" s="223"/>
      <c r="M85" s="223"/>
      <c r="N85" s="223"/>
      <c r="S85" s="28"/>
      <c r="T85" s="133"/>
    </row>
    <row r="86" spans="1:20" ht="13.5" thickTop="1">
      <c r="A86" s="2"/>
      <c r="B86" s="2"/>
      <c r="C86" s="28"/>
      <c r="D86" s="133">
        <f>SUM(D85:I85)</f>
        <v>37267867.110000007</v>
      </c>
      <c r="F86" s="239"/>
      <c r="J86" s="223">
        <f>SUM(D87:I87)</f>
        <v>0</v>
      </c>
      <c r="K86" s="2"/>
      <c r="L86" s="2"/>
      <c r="M86" s="2"/>
      <c r="N86" s="2"/>
      <c r="S86" s="28"/>
      <c r="T86" s="133"/>
    </row>
    <row r="87" spans="1:20">
      <c r="A87" s="2"/>
      <c r="B87" s="2"/>
      <c r="C87" s="28"/>
      <c r="G87" s="2"/>
      <c r="H87" s="133"/>
      <c r="I87" s="133"/>
      <c r="J87" s="2"/>
      <c r="K87" s="2"/>
      <c r="L87" s="2"/>
      <c r="M87" s="2"/>
      <c r="N87" s="2"/>
      <c r="S87" s="28"/>
      <c r="T87" s="133"/>
    </row>
    <row r="88" spans="1:20">
      <c r="A88" s="2"/>
      <c r="B88" s="180" t="s">
        <v>634</v>
      </c>
      <c r="C88" s="28"/>
      <c r="D88" s="213">
        <f>U36</f>
        <v>0.36153743046712689</v>
      </c>
      <c r="E88" s="213">
        <f>U37</f>
        <v>0.63846256953287317</v>
      </c>
      <c r="J88" s="2"/>
      <c r="K88" s="2"/>
      <c r="L88" s="2"/>
      <c r="M88" s="2"/>
      <c r="S88" s="28"/>
      <c r="T88" s="133"/>
    </row>
    <row r="89" spans="1:20">
      <c r="A89" s="218" t="s">
        <v>637</v>
      </c>
      <c r="B89" s="218" t="s">
        <v>303</v>
      </c>
      <c r="C89" s="219" t="s">
        <v>15</v>
      </c>
      <c r="D89" s="254" t="s">
        <v>137</v>
      </c>
      <c r="E89" s="254" t="s">
        <v>167</v>
      </c>
      <c r="G89" s="2"/>
      <c r="H89" s="2"/>
      <c r="I89" s="2"/>
      <c r="J89" s="2"/>
      <c r="K89" s="255" t="s">
        <v>137</v>
      </c>
      <c r="L89" s="255" t="s">
        <v>167</v>
      </c>
      <c r="M89" s="223"/>
      <c r="N89" s="223"/>
      <c r="S89" s="28"/>
      <c r="T89" s="133"/>
    </row>
    <row r="90" spans="1:20">
      <c r="A90" s="2" t="s">
        <v>655</v>
      </c>
      <c r="B90" s="2" t="s">
        <v>385</v>
      </c>
      <c r="C90" s="127">
        <f>'101 &amp; 106 By County'!E414</f>
        <v>23622513.98</v>
      </c>
      <c r="D90" s="201">
        <f t="shared" ref="D90:D101" si="35">C90*$D$88</f>
        <v>8540423.0055029821</v>
      </c>
      <c r="E90" s="201">
        <f t="shared" ref="E90:E101" si="36">C90*$E$88</f>
        <v>15082090.974497018</v>
      </c>
      <c r="F90" s="133"/>
      <c r="G90" s="2"/>
      <c r="H90" s="239"/>
      <c r="I90" s="239"/>
      <c r="J90" s="2">
        <v>38000</v>
      </c>
      <c r="K90" s="223">
        <f>D90+D91</f>
        <v>8766300.7603974268</v>
      </c>
      <c r="L90" s="223">
        <f>E90+E91</f>
        <v>15480983.259602575</v>
      </c>
      <c r="M90" s="223"/>
      <c r="N90" s="223"/>
      <c r="S90" s="28"/>
      <c r="T90" s="133"/>
    </row>
    <row r="91" spans="1:20">
      <c r="A91" s="2" t="s">
        <v>663</v>
      </c>
      <c r="B91" s="2" t="s">
        <v>385</v>
      </c>
      <c r="C91" s="127">
        <f>'101 &amp; 106 By County'!E270</f>
        <v>624770.04</v>
      </c>
      <c r="D91" s="201">
        <f t="shared" si="35"/>
        <v>225877.75489444411</v>
      </c>
      <c r="E91" s="201">
        <f t="shared" si="36"/>
        <v>398892.28510555596</v>
      </c>
      <c r="F91" s="133"/>
      <c r="G91" s="2"/>
      <c r="H91" s="239"/>
      <c r="I91" s="239"/>
      <c r="J91" s="2">
        <v>38200</v>
      </c>
      <c r="K91" s="223">
        <f>D92+D93</f>
        <v>1457870.1905197373</v>
      </c>
      <c r="L91" s="223">
        <f>E92+E93</f>
        <v>2574548.2194802631</v>
      </c>
      <c r="M91" s="223"/>
      <c r="N91" s="2"/>
      <c r="S91" s="28"/>
      <c r="T91" s="133"/>
    </row>
    <row r="92" spans="1:20">
      <c r="A92" s="2" t="s">
        <v>655</v>
      </c>
      <c r="B92" s="2" t="s">
        <v>387</v>
      </c>
      <c r="C92" s="127">
        <f>'101 &amp; 106 By County'!E416</f>
        <v>4025384.62</v>
      </c>
      <c r="D92" s="201">
        <f t="shared" si="35"/>
        <v>1455327.2121566921</v>
      </c>
      <c r="E92" s="201">
        <f t="shared" si="36"/>
        <v>2570057.4078433085</v>
      </c>
      <c r="F92" s="133"/>
      <c r="G92" s="223"/>
      <c r="H92" s="223"/>
      <c r="I92" s="223"/>
      <c r="J92" s="2">
        <v>38300</v>
      </c>
      <c r="K92" s="223">
        <f>D94+D95</f>
        <v>234362.35508176396</v>
      </c>
      <c r="L92" s="223">
        <f>E94+E95</f>
        <v>413875.79491823609</v>
      </c>
      <c r="M92" s="223"/>
      <c r="N92" s="2"/>
      <c r="S92" s="28"/>
      <c r="T92" s="133"/>
    </row>
    <row r="93" spans="1:20">
      <c r="A93" s="2" t="s">
        <v>663</v>
      </c>
      <c r="B93" s="2" t="s">
        <v>387</v>
      </c>
      <c r="C93" s="127">
        <f>'101 &amp; 106 By County'!E272</f>
        <v>7033.79</v>
      </c>
      <c r="D93" s="201">
        <f t="shared" si="35"/>
        <v>2542.9783630453726</v>
      </c>
      <c r="E93" s="201">
        <f t="shared" si="36"/>
        <v>4490.8116369546278</v>
      </c>
      <c r="F93" s="133"/>
      <c r="G93" s="223"/>
      <c r="H93" s="223"/>
      <c r="I93" s="223"/>
      <c r="J93" s="2">
        <v>38400</v>
      </c>
      <c r="K93" s="223">
        <f>D96+D97</f>
        <v>636616.82511996524</v>
      </c>
      <c r="L93" s="223">
        <f>E96+E97</f>
        <v>1124243.2448800351</v>
      </c>
      <c r="M93" s="223"/>
      <c r="N93" s="2"/>
      <c r="S93" s="126"/>
      <c r="T93" s="133"/>
    </row>
    <row r="94" spans="1:20">
      <c r="A94" s="2" t="s">
        <v>655</v>
      </c>
      <c r="B94" s="2" t="s">
        <v>389</v>
      </c>
      <c r="C94" s="127">
        <f>'101 &amp; 106 By County'!E417</f>
        <v>648238.15</v>
      </c>
      <c r="D94" s="201">
        <f t="shared" si="35"/>
        <v>234362.35508176396</v>
      </c>
      <c r="E94" s="201">
        <f t="shared" si="36"/>
        <v>413875.79491823609</v>
      </c>
      <c r="F94" s="133"/>
      <c r="G94" s="223"/>
      <c r="H94" s="256"/>
      <c r="I94" s="256"/>
      <c r="J94" s="2">
        <v>38500</v>
      </c>
      <c r="K94" s="223">
        <f>D98+D99</f>
        <v>132601.37621774682</v>
      </c>
      <c r="L94" s="223">
        <f>E98+E99</f>
        <v>234169.43378225321</v>
      </c>
      <c r="M94" s="223"/>
      <c r="N94" s="2"/>
      <c r="S94" s="126"/>
      <c r="T94" s="133"/>
    </row>
    <row r="95" spans="1:20">
      <c r="A95" s="2" t="s">
        <v>663</v>
      </c>
      <c r="B95" s="2">
        <v>383</v>
      </c>
      <c r="C95" s="127">
        <f>'101 &amp; 106 By County'!E273</f>
        <v>0</v>
      </c>
      <c r="D95" s="201">
        <f t="shared" si="35"/>
        <v>0</v>
      </c>
      <c r="E95" s="201">
        <f t="shared" si="36"/>
        <v>0</v>
      </c>
      <c r="F95" s="133"/>
      <c r="G95" s="223"/>
      <c r="H95" s="223"/>
      <c r="I95" s="223"/>
      <c r="J95" s="2">
        <v>38700</v>
      </c>
      <c r="K95" s="223">
        <f>D100+D101</f>
        <v>86644.122745124332</v>
      </c>
      <c r="L95" s="223">
        <f>E100+E101</f>
        <v>153010.51725487568</v>
      </c>
      <c r="M95" s="223"/>
      <c r="N95" s="2"/>
      <c r="S95" s="126"/>
      <c r="T95" s="133"/>
    </row>
    <row r="96" spans="1:20" ht="13.5" thickBot="1">
      <c r="A96" s="2" t="s">
        <v>655</v>
      </c>
      <c r="B96" s="2" t="s">
        <v>391</v>
      </c>
      <c r="C96" s="127">
        <f>'101 &amp; 106 By County'!E418</f>
        <v>1744054.04</v>
      </c>
      <c r="D96" s="201">
        <f t="shared" si="35"/>
        <v>630540.81621741178</v>
      </c>
      <c r="E96" s="201">
        <f t="shared" si="36"/>
        <v>1113513.2237825885</v>
      </c>
      <c r="F96" s="133"/>
      <c r="G96" s="223"/>
      <c r="H96" s="223"/>
      <c r="I96" s="223"/>
      <c r="J96" s="223"/>
      <c r="K96" s="206">
        <f>SUM(K90:K95)</f>
        <v>11314395.630081763</v>
      </c>
      <c r="L96" s="206">
        <f>SUM(L90:L95)</f>
        <v>19980830.469918236</v>
      </c>
      <c r="M96" s="223"/>
      <c r="N96" s="2"/>
      <c r="S96" s="126"/>
      <c r="T96" s="133"/>
    </row>
    <row r="97" spans="1:20" ht="13.5" thickTop="1">
      <c r="A97" s="2" t="s">
        <v>663</v>
      </c>
      <c r="B97" s="2" t="s">
        <v>391</v>
      </c>
      <c r="C97" s="127">
        <f>'101 &amp; 106 By County'!E274</f>
        <v>16806.03</v>
      </c>
      <c r="D97" s="201">
        <f t="shared" si="35"/>
        <v>6076.008902553448</v>
      </c>
      <c r="E97" s="201">
        <f t="shared" si="36"/>
        <v>10730.021097446552</v>
      </c>
      <c r="F97" s="133"/>
      <c r="G97" s="223"/>
      <c r="H97" s="223"/>
      <c r="I97" s="223"/>
      <c r="J97" s="223"/>
      <c r="K97" s="223"/>
      <c r="L97" s="133">
        <f>L96+K96</f>
        <v>31295226.100000001</v>
      </c>
      <c r="M97" s="223"/>
      <c r="N97" s="2"/>
      <c r="S97" s="126"/>
      <c r="T97" s="133"/>
    </row>
    <row r="98" spans="1:20">
      <c r="A98" s="2" t="s">
        <v>655</v>
      </c>
      <c r="B98" s="2" t="s">
        <v>393</v>
      </c>
      <c r="C98" s="127">
        <f>'101 &amp; 106 By County'!E419</f>
        <v>292371.82</v>
      </c>
      <c r="D98" s="201">
        <f t="shared" si="35"/>
        <v>105703.35654379734</v>
      </c>
      <c r="E98" s="201">
        <f t="shared" si="36"/>
        <v>186668.46345620268</v>
      </c>
      <c r="F98" s="133"/>
      <c r="G98" s="223"/>
      <c r="H98" s="223"/>
      <c r="I98" s="223"/>
      <c r="N98" s="2"/>
      <c r="S98" s="126"/>
      <c r="T98" s="133"/>
    </row>
    <row r="99" spans="1:20">
      <c r="A99" s="2" t="s">
        <v>663</v>
      </c>
      <c r="B99" s="2" t="s">
        <v>393</v>
      </c>
      <c r="C99" s="127">
        <f>'101 &amp; 106 By County'!E275</f>
        <v>74398.990000000005</v>
      </c>
      <c r="D99" s="201">
        <f t="shared" si="35"/>
        <v>26898.019673949471</v>
      </c>
      <c r="E99" s="201">
        <f t="shared" si="36"/>
        <v>47500.970326050541</v>
      </c>
      <c r="F99" s="133"/>
      <c r="G99" s="223"/>
      <c r="H99" s="223"/>
      <c r="I99" s="223"/>
      <c r="N99" s="2"/>
      <c r="S99" s="126"/>
      <c r="T99" s="133"/>
    </row>
    <row r="100" spans="1:20">
      <c r="A100" s="2" t="s">
        <v>655</v>
      </c>
      <c r="B100" s="2" t="s">
        <v>394</v>
      </c>
      <c r="C100" s="127">
        <f>'101 &amp; 106 By County'!E420</f>
        <v>238951.66</v>
      </c>
      <c r="D100" s="201">
        <f t="shared" si="35"/>
        <v>86389.969162254551</v>
      </c>
      <c r="E100" s="201">
        <f t="shared" si="36"/>
        <v>152561.69083774547</v>
      </c>
      <c r="F100" s="133"/>
      <c r="G100" s="223"/>
      <c r="H100" s="223"/>
      <c r="I100" s="223"/>
      <c r="M100" s="223"/>
      <c r="N100" s="2"/>
      <c r="S100" s="126"/>
      <c r="T100" s="133"/>
    </row>
    <row r="101" spans="1:20">
      <c r="A101" s="2" t="s">
        <v>663</v>
      </c>
      <c r="B101" s="2" t="s">
        <v>394</v>
      </c>
      <c r="C101" s="127">
        <f>'101 &amp; 106 By County'!E276</f>
        <v>702.98</v>
      </c>
      <c r="D101" s="201">
        <f t="shared" si="35"/>
        <v>254.15358286978088</v>
      </c>
      <c r="E101" s="201">
        <f t="shared" si="36"/>
        <v>448.82641713021917</v>
      </c>
      <c r="F101" s="133"/>
      <c r="G101" s="223"/>
      <c r="H101" s="223"/>
      <c r="I101" s="223"/>
      <c r="J101" s="2"/>
      <c r="K101" s="2"/>
      <c r="L101" s="2"/>
      <c r="M101" s="2"/>
      <c r="N101" s="2"/>
      <c r="S101" s="126"/>
      <c r="T101" s="133"/>
    </row>
    <row r="102" spans="1:20" ht="13.5" thickBot="1">
      <c r="A102" s="2"/>
      <c r="B102" s="2"/>
      <c r="C102" s="127">
        <f>SUM(C90:C101)</f>
        <v>31295226.099999998</v>
      </c>
      <c r="D102" s="206">
        <f>SUM(D90:D101)</f>
        <v>11314395.630081762</v>
      </c>
      <c r="E102" s="206">
        <f>SUM(E90:E101)</f>
        <v>19980830.469918236</v>
      </c>
      <c r="F102" s="133"/>
      <c r="G102" s="223"/>
      <c r="H102" s="223"/>
      <c r="I102" s="223"/>
      <c r="J102" s="2"/>
      <c r="K102" s="2"/>
      <c r="L102" s="2"/>
      <c r="M102" s="2"/>
      <c r="N102" s="2"/>
      <c r="S102" s="126"/>
      <c r="T102" s="133"/>
    </row>
    <row r="103" spans="1:20" ht="13.5" thickTop="1">
      <c r="A103" s="2"/>
      <c r="B103" s="2"/>
      <c r="C103" s="126"/>
      <c r="D103" s="133"/>
      <c r="E103" s="133">
        <f>E102+D102</f>
        <v>31295226.099999998</v>
      </c>
      <c r="F103" s="133"/>
      <c r="G103" s="223"/>
      <c r="H103" s="223"/>
      <c r="I103" s="223"/>
      <c r="J103" s="2"/>
      <c r="K103" s="2"/>
      <c r="L103" s="2"/>
      <c r="M103" s="2"/>
      <c r="N103" s="2"/>
      <c r="S103" s="126"/>
      <c r="T103" s="133"/>
    </row>
    <row r="104" spans="1:20">
      <c r="A104" s="2"/>
      <c r="B104" s="2"/>
      <c r="C104" s="28"/>
      <c r="G104" s="223"/>
      <c r="H104" s="223"/>
      <c r="I104" s="223"/>
      <c r="J104" s="223"/>
      <c r="K104" s="223"/>
      <c r="L104" s="223"/>
      <c r="M104" s="223"/>
      <c r="N104" s="2"/>
      <c r="S104" s="126"/>
      <c r="T104" s="133"/>
    </row>
    <row r="105" spans="1:20">
      <c r="A105" s="2"/>
      <c r="B105" s="180" t="s">
        <v>634</v>
      </c>
      <c r="C105" s="28"/>
      <c r="D105" s="213">
        <f>U47</f>
        <v>0.52663339613993987</v>
      </c>
      <c r="E105" s="213">
        <f>U48</f>
        <v>0.47326475530885576</v>
      </c>
      <c r="F105" s="213">
        <f>U50</f>
        <v>7.6386413403269337E-5</v>
      </c>
      <c r="G105" s="213">
        <f>U49</f>
        <v>2.5462137801089781E-5</v>
      </c>
      <c r="H105" s="2"/>
      <c r="I105" s="2"/>
      <c r="J105" s="223"/>
      <c r="K105" s="223"/>
      <c r="L105" s="223"/>
      <c r="M105" s="223"/>
      <c r="N105" s="2"/>
      <c r="S105" s="126"/>
      <c r="T105" s="133"/>
    </row>
    <row r="106" spans="1:20">
      <c r="A106" s="218" t="s">
        <v>637</v>
      </c>
      <c r="B106" s="218" t="s">
        <v>303</v>
      </c>
      <c r="C106" s="219" t="s">
        <v>15</v>
      </c>
      <c r="D106" s="257" t="s">
        <v>168</v>
      </c>
      <c r="E106" s="257" t="s">
        <v>12</v>
      </c>
      <c r="F106" s="257" t="s">
        <v>147</v>
      </c>
      <c r="G106" s="257" t="s">
        <v>8</v>
      </c>
      <c r="H106" s="2"/>
      <c r="I106" s="2"/>
      <c r="J106" s="223"/>
      <c r="K106" s="258" t="s">
        <v>168</v>
      </c>
      <c r="L106" s="258" t="s">
        <v>12</v>
      </c>
      <c r="M106" s="258" t="s">
        <v>147</v>
      </c>
      <c r="N106" s="258" t="s">
        <v>8</v>
      </c>
      <c r="O106" s="133"/>
      <c r="S106" s="126"/>
      <c r="T106" s="133"/>
    </row>
    <row r="107" spans="1:20">
      <c r="A107" s="2" t="s">
        <v>663</v>
      </c>
      <c r="B107" s="2" t="s">
        <v>385</v>
      </c>
      <c r="C107" s="127">
        <f>'101 &amp; 106 By County'!E282</f>
        <v>18597476.280000001</v>
      </c>
      <c r="D107" s="201">
        <f t="shared" ref="D107:D112" si="37">C107*$D$105</f>
        <v>9794052.0929683764</v>
      </c>
      <c r="E107" s="201">
        <f t="shared" ref="E107:E112" si="38">C107*$E$105</f>
        <v>8801530.0610164497</v>
      </c>
      <c r="F107" s="133">
        <f t="shared" ref="F107:F112" si="39">C107*$F$105</f>
        <v>1420.5945113815756</v>
      </c>
      <c r="G107" s="133">
        <f t="shared" ref="G107:G112" si="40">C107*$G$105</f>
        <v>473.53150379385858</v>
      </c>
      <c r="H107" s="2"/>
      <c r="I107" s="2"/>
      <c r="J107" s="223" t="s">
        <v>385</v>
      </c>
      <c r="K107" s="223">
        <f t="shared" ref="K107:M112" si="41">D107</f>
        <v>9794052.0929683764</v>
      </c>
      <c r="L107" s="223">
        <f t="shared" si="41"/>
        <v>8801530.0610164497</v>
      </c>
      <c r="M107" s="223">
        <f t="shared" si="41"/>
        <v>1420.5945113815756</v>
      </c>
      <c r="N107" s="223">
        <f t="shared" ref="N107:N112" si="42">G107</f>
        <v>473.53150379385858</v>
      </c>
      <c r="O107" s="133"/>
      <c r="S107" s="126"/>
      <c r="T107" s="133"/>
    </row>
    <row r="108" spans="1:20">
      <c r="A108" s="2" t="s">
        <v>663</v>
      </c>
      <c r="B108" s="2" t="s">
        <v>387</v>
      </c>
      <c r="C108" s="127">
        <f>'101 &amp; 106 By County'!E284</f>
        <v>5521585.04</v>
      </c>
      <c r="D108" s="201">
        <f t="shared" si="37"/>
        <v>2907851.0816906858</v>
      </c>
      <c r="E108" s="201">
        <f t="shared" si="38"/>
        <v>2613171.5928726387</v>
      </c>
      <c r="F108" s="133">
        <f t="shared" si="39"/>
        <v>421.77407750674746</v>
      </c>
      <c r="G108" s="133">
        <f t="shared" si="40"/>
        <v>140.59135916891583</v>
      </c>
      <c r="H108" s="2"/>
      <c r="I108" s="2"/>
      <c r="J108" s="223" t="s">
        <v>387</v>
      </c>
      <c r="K108" s="223">
        <f t="shared" si="41"/>
        <v>2907851.0816906858</v>
      </c>
      <c r="L108" s="223">
        <f t="shared" si="41"/>
        <v>2613171.5928726387</v>
      </c>
      <c r="M108" s="223">
        <f t="shared" si="41"/>
        <v>421.77407750674746</v>
      </c>
      <c r="N108" s="223">
        <f t="shared" si="42"/>
        <v>140.59135916891583</v>
      </c>
      <c r="O108" s="133"/>
      <c r="P108" s="133"/>
      <c r="S108" s="126"/>
      <c r="T108" s="133"/>
    </row>
    <row r="109" spans="1:20">
      <c r="A109" s="2" t="s">
        <v>663</v>
      </c>
      <c r="B109" s="2" t="s">
        <v>389</v>
      </c>
      <c r="C109" s="127">
        <f>'101 &amp; 106 By County'!E285</f>
        <v>766338.11</v>
      </c>
      <c r="D109" s="201">
        <f t="shared" si="37"/>
        <v>403579.2414607628</v>
      </c>
      <c r="E109" s="201">
        <f t="shared" si="38"/>
        <v>362680.81811300101</v>
      </c>
      <c r="F109" s="133">
        <f t="shared" si="39"/>
        <v>58.537819677140092</v>
      </c>
      <c r="G109" s="133">
        <f t="shared" si="40"/>
        <v>19.512606559046699</v>
      </c>
      <c r="H109" s="2"/>
      <c r="I109" s="2"/>
      <c r="J109" s="223" t="s">
        <v>389</v>
      </c>
      <c r="K109" s="223">
        <f t="shared" si="41"/>
        <v>403579.2414607628</v>
      </c>
      <c r="L109" s="223">
        <f t="shared" si="41"/>
        <v>362680.81811300101</v>
      </c>
      <c r="M109" s="223">
        <f t="shared" si="41"/>
        <v>58.537819677140092</v>
      </c>
      <c r="N109" s="223">
        <f t="shared" si="42"/>
        <v>19.512606559046699</v>
      </c>
      <c r="O109" s="133"/>
      <c r="P109" s="133"/>
      <c r="Q109" s="133"/>
      <c r="S109" s="126"/>
      <c r="T109" s="133"/>
    </row>
    <row r="110" spans="1:20">
      <c r="A110" s="2" t="s">
        <v>663</v>
      </c>
      <c r="B110" s="2" t="s">
        <v>391</v>
      </c>
      <c r="C110" s="127">
        <f>'101 &amp; 106 By County'!E286</f>
        <v>2384201.14</v>
      </c>
      <c r="D110" s="201">
        <f t="shared" si="37"/>
        <v>1255599.9434389162</v>
      </c>
      <c r="E110" s="201">
        <f t="shared" si="38"/>
        <v>1128358.3691291951</v>
      </c>
      <c r="F110" s="133">
        <f t="shared" si="39"/>
        <v>182.12057391658604</v>
      </c>
      <c r="G110" s="133">
        <f t="shared" si="40"/>
        <v>60.706857972195351</v>
      </c>
      <c r="H110" s="2"/>
      <c r="I110" s="2"/>
      <c r="J110" s="223" t="s">
        <v>391</v>
      </c>
      <c r="K110" s="223">
        <f t="shared" si="41"/>
        <v>1255599.9434389162</v>
      </c>
      <c r="L110" s="223">
        <f t="shared" si="41"/>
        <v>1128358.3691291951</v>
      </c>
      <c r="M110" s="223">
        <f t="shared" si="41"/>
        <v>182.12057391658604</v>
      </c>
      <c r="N110" s="223">
        <f t="shared" si="42"/>
        <v>60.706857972195351</v>
      </c>
      <c r="O110" s="133"/>
      <c r="P110" s="133"/>
      <c r="Q110" s="133"/>
      <c r="R110" s="133"/>
      <c r="S110" s="126"/>
      <c r="T110" s="133"/>
    </row>
    <row r="111" spans="1:20">
      <c r="A111" s="2" t="s">
        <v>663</v>
      </c>
      <c r="B111" s="2" t="s">
        <v>393</v>
      </c>
      <c r="C111" s="127">
        <f>'101 &amp; 106 By County'!E287</f>
        <v>151946.73000000001</v>
      </c>
      <c r="D111" s="201">
        <f t="shared" si="37"/>
        <v>80020.222452258487</v>
      </c>
      <c r="E111" s="201">
        <f t="shared" si="38"/>
        <v>71911.031993430777</v>
      </c>
      <c r="F111" s="133">
        <f t="shared" si="39"/>
        <v>11.606665733054948</v>
      </c>
      <c r="G111" s="133">
        <f t="shared" si="40"/>
        <v>3.8688885776849831</v>
      </c>
      <c r="H111" s="2"/>
      <c r="I111" s="2"/>
      <c r="J111" s="223" t="s">
        <v>393</v>
      </c>
      <c r="K111" s="223">
        <f t="shared" si="41"/>
        <v>80020.222452258487</v>
      </c>
      <c r="L111" s="223">
        <f t="shared" si="41"/>
        <v>71911.031993430777</v>
      </c>
      <c r="M111" s="223">
        <f t="shared" si="41"/>
        <v>11.606665733054948</v>
      </c>
      <c r="N111" s="223">
        <f t="shared" si="42"/>
        <v>3.8688885776849831</v>
      </c>
      <c r="O111" s="133"/>
      <c r="P111" s="133"/>
      <c r="Q111" s="133"/>
      <c r="R111" s="133"/>
      <c r="S111" s="126"/>
      <c r="T111" s="133"/>
    </row>
    <row r="112" spans="1:20">
      <c r="A112" s="2" t="s">
        <v>663</v>
      </c>
      <c r="B112" s="2" t="s">
        <v>394</v>
      </c>
      <c r="C112" s="127">
        <f>'101 &amp; 106 By County'!E288</f>
        <v>202466.3</v>
      </c>
      <c r="D112" s="201">
        <f t="shared" si="37"/>
        <v>106625.5151728879</v>
      </c>
      <c r="E112" s="201">
        <f t="shared" si="38"/>
        <v>95820.16392778937</v>
      </c>
      <c r="F112" s="133">
        <f t="shared" si="39"/>
        <v>15.465674492030349</v>
      </c>
      <c r="G112" s="133">
        <f t="shared" si="40"/>
        <v>5.1552248306767838</v>
      </c>
      <c r="H112" s="2"/>
      <c r="I112" s="2"/>
      <c r="J112" s="223" t="s">
        <v>394</v>
      </c>
      <c r="K112" s="223">
        <f t="shared" si="41"/>
        <v>106625.5151728879</v>
      </c>
      <c r="L112" s="223">
        <f t="shared" si="41"/>
        <v>95820.16392778937</v>
      </c>
      <c r="M112" s="223">
        <f t="shared" si="41"/>
        <v>15.465674492030349</v>
      </c>
      <c r="N112" s="223">
        <f t="shared" si="42"/>
        <v>5.1552248306767838</v>
      </c>
      <c r="O112" s="133"/>
      <c r="P112" s="133"/>
      <c r="Q112" s="133"/>
      <c r="R112" s="133"/>
      <c r="S112" s="126"/>
      <c r="T112" s="133"/>
    </row>
    <row r="113" spans="1:20" ht="13.5" thickBot="1">
      <c r="A113" s="2"/>
      <c r="B113" s="2"/>
      <c r="C113" s="127">
        <f>SUM(C107:C112)</f>
        <v>27624013.600000001</v>
      </c>
      <c r="D113" s="206">
        <f>SUM(D107:D112)</f>
        <v>14547728.097183887</v>
      </c>
      <c r="E113" s="206">
        <f>SUM(E107:E112)</f>
        <v>13073472.037052505</v>
      </c>
      <c r="F113" s="206">
        <f>SUM(F107:F112)</f>
        <v>2110.0993227071344</v>
      </c>
      <c r="G113" s="206">
        <f>SUM(G107:G112)</f>
        <v>703.36644090237826</v>
      </c>
      <c r="H113" s="2"/>
      <c r="I113" s="2"/>
      <c r="J113" s="223"/>
      <c r="K113" s="206">
        <f>SUM(K107:K112)</f>
        <v>14547728.097183887</v>
      </c>
      <c r="L113" s="206">
        <f>SUM(L107:L112)</f>
        <v>13073472.037052505</v>
      </c>
      <c r="M113" s="206">
        <f>SUM(M107:M112)</f>
        <v>2110.0993227071344</v>
      </c>
      <c r="N113" s="206">
        <f>SUM(N107:N112)</f>
        <v>703.36644090237826</v>
      </c>
      <c r="O113" s="133"/>
      <c r="P113" s="133"/>
      <c r="Q113" s="133"/>
      <c r="R113" s="133"/>
      <c r="S113" s="126"/>
      <c r="T113" s="133"/>
    </row>
    <row r="114" spans="1:20" ht="13.5" thickTop="1">
      <c r="A114" s="2"/>
      <c r="B114" s="2"/>
      <c r="C114" s="126"/>
      <c r="D114" s="133"/>
      <c r="E114" s="133"/>
      <c r="F114" s="133"/>
      <c r="G114" s="133"/>
      <c r="H114" s="2"/>
      <c r="I114" s="2"/>
      <c r="J114" s="223"/>
      <c r="K114" s="223"/>
      <c r="L114" s="223"/>
      <c r="M114" s="223"/>
      <c r="N114" s="133">
        <f>SUM(K113:N113)</f>
        <v>27624013.600000001</v>
      </c>
      <c r="O114" s="133"/>
      <c r="P114" s="133"/>
      <c r="Q114" s="133"/>
      <c r="R114" s="133"/>
      <c r="S114" s="126"/>
      <c r="T114" s="133"/>
    </row>
    <row r="115" spans="1:20">
      <c r="A115" s="2"/>
      <c r="B115" s="2"/>
      <c r="C115" s="28"/>
      <c r="G115" s="2"/>
      <c r="H115" s="2"/>
      <c r="I115" s="2"/>
      <c r="J115" s="223"/>
      <c r="K115" s="223"/>
      <c r="L115" s="223"/>
      <c r="M115" s="223"/>
      <c r="N115" s="223"/>
      <c r="O115" s="133"/>
      <c r="P115" s="133"/>
      <c r="Q115" s="133"/>
      <c r="R115" s="133"/>
      <c r="S115" s="126"/>
      <c r="T115" s="133"/>
    </row>
    <row r="116" spans="1:20">
      <c r="A116" s="2"/>
      <c r="B116" s="180" t="s">
        <v>634</v>
      </c>
      <c r="C116" s="28"/>
      <c r="D116" s="213">
        <f>U54</f>
        <v>0.45792136123246724</v>
      </c>
      <c r="E116" s="213">
        <f>U55</f>
        <v>0.54207863876753282</v>
      </c>
      <c r="J116" s="2"/>
      <c r="K116" s="2"/>
      <c r="L116" s="2"/>
      <c r="M116" s="2"/>
      <c r="P116" s="133"/>
      <c r="Q116" s="133"/>
      <c r="R116" s="133"/>
      <c r="S116" s="126"/>
      <c r="T116" s="133"/>
    </row>
    <row r="117" spans="1:20">
      <c r="A117" s="218" t="s">
        <v>637</v>
      </c>
      <c r="B117" s="218" t="s">
        <v>303</v>
      </c>
      <c r="C117" s="219" t="s">
        <v>15</v>
      </c>
      <c r="D117" s="259" t="s">
        <v>3</v>
      </c>
      <c r="E117" s="259" t="s">
        <v>9</v>
      </c>
      <c r="J117" s="223"/>
      <c r="K117" s="260" t="s">
        <v>3</v>
      </c>
      <c r="L117" s="260" t="s">
        <v>9</v>
      </c>
      <c r="M117" s="2"/>
      <c r="P117" s="133"/>
      <c r="Q117" s="133"/>
      <c r="R117" s="133"/>
      <c r="S117" s="126"/>
      <c r="T117" s="133"/>
    </row>
    <row r="118" spans="1:20">
      <c r="A118" s="2" t="s">
        <v>664</v>
      </c>
      <c r="B118" s="2" t="s">
        <v>385</v>
      </c>
      <c r="C118" s="127">
        <f>'101 &amp; 106 By County'!E230</f>
        <v>13870908.109999999</v>
      </c>
      <c r="D118" s="201">
        <f t="shared" ref="D118:D124" si="43">C118*$D$116</f>
        <v>6351785.1232616687</v>
      </c>
      <c r="E118" s="201">
        <f t="shared" ref="E118:E124" si="44">C118*$E$116</f>
        <v>7519122.9867383307</v>
      </c>
      <c r="F118" s="201"/>
      <c r="G118" s="2"/>
      <c r="H118" s="2"/>
      <c r="I118" s="2"/>
      <c r="J118" s="223" t="s">
        <v>385</v>
      </c>
      <c r="K118" s="223">
        <f t="shared" ref="K118:L124" si="45">D118</f>
        <v>6351785.1232616687</v>
      </c>
      <c r="L118" s="223">
        <f t="shared" si="45"/>
        <v>7519122.9867383307</v>
      </c>
      <c r="M118" s="223"/>
      <c r="N118" s="2"/>
      <c r="Q118" s="133"/>
      <c r="R118" s="133"/>
      <c r="S118" s="126"/>
      <c r="T118" s="133"/>
    </row>
    <row r="119" spans="1:20">
      <c r="A119" s="2" t="s">
        <v>664</v>
      </c>
      <c r="B119" s="2" t="s">
        <v>387</v>
      </c>
      <c r="C119" s="127">
        <f>'101 &amp; 106 By County'!E232</f>
        <v>2244885.9300000002</v>
      </c>
      <c r="D119" s="201">
        <f t="shared" si="43"/>
        <v>1027981.2208772133</v>
      </c>
      <c r="E119" s="201">
        <f t="shared" si="44"/>
        <v>1216904.709122787</v>
      </c>
      <c r="F119" s="201"/>
      <c r="G119" s="2"/>
      <c r="H119" s="2"/>
      <c r="I119" s="2"/>
      <c r="J119" s="223" t="s">
        <v>387</v>
      </c>
      <c r="K119" s="223">
        <f t="shared" si="45"/>
        <v>1027981.2208772133</v>
      </c>
      <c r="L119" s="223">
        <f t="shared" si="45"/>
        <v>1216904.709122787</v>
      </c>
      <c r="M119" s="223"/>
      <c r="N119" s="2"/>
      <c r="R119" s="133"/>
      <c r="S119" s="126"/>
      <c r="T119" s="133"/>
    </row>
    <row r="120" spans="1:20">
      <c r="A120" s="2" t="s">
        <v>664</v>
      </c>
      <c r="B120" s="2" t="s">
        <v>389</v>
      </c>
      <c r="C120" s="127">
        <f>'101 &amp; 106 By County'!E233</f>
        <v>349142.49</v>
      </c>
      <c r="D120" s="201">
        <f t="shared" si="43"/>
        <v>159879.80428489306</v>
      </c>
      <c r="E120" s="201">
        <f t="shared" si="44"/>
        <v>189262.68571510693</v>
      </c>
      <c r="F120" s="201"/>
      <c r="G120" s="2"/>
      <c r="H120" s="2"/>
      <c r="I120" s="2"/>
      <c r="J120" s="223" t="s">
        <v>389</v>
      </c>
      <c r="K120" s="223">
        <f t="shared" si="45"/>
        <v>159879.80428489306</v>
      </c>
      <c r="L120" s="223">
        <f t="shared" si="45"/>
        <v>189262.68571510693</v>
      </c>
      <c r="M120" s="223"/>
      <c r="N120" s="223"/>
      <c r="O120" s="133"/>
      <c r="P120" s="133"/>
      <c r="S120" s="126"/>
      <c r="T120" s="133"/>
    </row>
    <row r="121" spans="1:20">
      <c r="A121" s="2" t="s">
        <v>664</v>
      </c>
      <c r="B121" s="2" t="s">
        <v>391</v>
      </c>
      <c r="C121" s="127">
        <f>'101 &amp; 106 By County'!E234</f>
        <v>1040798.62</v>
      </c>
      <c r="D121" s="201">
        <f t="shared" si="43"/>
        <v>476603.92083927337</v>
      </c>
      <c r="E121" s="201">
        <f t="shared" si="44"/>
        <v>564194.69916072662</v>
      </c>
      <c r="F121" s="201"/>
      <c r="G121" s="2"/>
      <c r="H121" s="2"/>
      <c r="I121" s="2"/>
      <c r="J121" s="223" t="s">
        <v>391</v>
      </c>
      <c r="K121" s="223">
        <f t="shared" si="45"/>
        <v>476603.92083927337</v>
      </c>
      <c r="L121" s="223">
        <f t="shared" si="45"/>
        <v>564194.69916072662</v>
      </c>
      <c r="M121" s="223"/>
      <c r="N121" s="223"/>
      <c r="O121" s="133"/>
      <c r="P121" s="133"/>
      <c r="Q121" s="133"/>
      <c r="S121" s="126"/>
      <c r="T121" s="133"/>
    </row>
    <row r="122" spans="1:20">
      <c r="A122" s="2" t="s">
        <v>664</v>
      </c>
      <c r="B122" s="2" t="s">
        <v>393</v>
      </c>
      <c r="C122" s="127">
        <f>'101 &amp; 106 By County'!E235</f>
        <v>74186.12</v>
      </c>
      <c r="D122" s="201">
        <f t="shared" si="43"/>
        <v>33971.409054955162</v>
      </c>
      <c r="E122" s="201">
        <f t="shared" si="44"/>
        <v>40214.710945044841</v>
      </c>
      <c r="F122" s="201"/>
      <c r="G122" s="2"/>
      <c r="H122" s="2"/>
      <c r="I122" s="2"/>
      <c r="J122" s="223" t="s">
        <v>393</v>
      </c>
      <c r="K122" s="223">
        <f t="shared" si="45"/>
        <v>33971.409054955162</v>
      </c>
      <c r="L122" s="223">
        <f t="shared" si="45"/>
        <v>40214.710945044841</v>
      </c>
      <c r="M122" s="223"/>
      <c r="N122" s="223"/>
      <c r="O122" s="133"/>
      <c r="P122" s="133"/>
      <c r="Q122" s="133"/>
      <c r="R122" s="133"/>
      <c r="S122" s="126"/>
      <c r="T122" s="133"/>
    </row>
    <row r="123" spans="1:20">
      <c r="A123" s="2" t="s">
        <v>664</v>
      </c>
      <c r="B123" s="2" t="s">
        <v>394</v>
      </c>
      <c r="C123" s="127">
        <f>'101 &amp; 106 By County'!E236</f>
        <v>224882.31</v>
      </c>
      <c r="D123" s="201">
        <f t="shared" si="43"/>
        <v>102978.41351230167</v>
      </c>
      <c r="E123" s="201">
        <f t="shared" si="44"/>
        <v>121903.89648769834</v>
      </c>
      <c r="F123" s="201"/>
      <c r="G123" s="2"/>
      <c r="H123" s="2"/>
      <c r="I123" s="2"/>
      <c r="J123" s="223" t="s">
        <v>394</v>
      </c>
      <c r="K123" s="223">
        <f t="shared" si="45"/>
        <v>102978.41351230167</v>
      </c>
      <c r="L123" s="223">
        <f t="shared" si="45"/>
        <v>121903.89648769834</v>
      </c>
      <c r="M123" s="223"/>
      <c r="N123" s="223"/>
      <c r="O123" s="133"/>
      <c r="P123" s="133"/>
      <c r="Q123" s="133"/>
      <c r="R123" s="133"/>
      <c r="S123" s="126"/>
      <c r="T123" s="133"/>
    </row>
    <row r="124" spans="1:20">
      <c r="A124" s="2"/>
      <c r="B124" s="2"/>
      <c r="C124" s="126">
        <v>0</v>
      </c>
      <c r="D124" s="201">
        <f t="shared" si="43"/>
        <v>0</v>
      </c>
      <c r="E124" s="201">
        <f t="shared" si="44"/>
        <v>0</v>
      </c>
      <c r="F124" s="201"/>
      <c r="G124" s="2"/>
      <c r="H124" s="239"/>
      <c r="I124" s="239"/>
      <c r="J124" s="223"/>
      <c r="K124" s="223">
        <f t="shared" si="45"/>
        <v>0</v>
      </c>
      <c r="L124" s="223">
        <f t="shared" si="45"/>
        <v>0</v>
      </c>
      <c r="M124" s="223"/>
      <c r="N124" s="223"/>
      <c r="O124" s="133"/>
      <c r="P124" s="133"/>
      <c r="Q124" s="133"/>
      <c r="R124" s="133"/>
      <c r="S124" s="126"/>
      <c r="T124" s="133"/>
    </row>
    <row r="125" spans="1:20" ht="13.5" thickBot="1">
      <c r="A125" s="2"/>
      <c r="B125" s="2"/>
      <c r="C125" s="127">
        <f>SUM(C118:C124)</f>
        <v>17804803.579999998</v>
      </c>
      <c r="D125" s="206">
        <f>SUM(D118:D124)</f>
        <v>8153199.8918303056</v>
      </c>
      <c r="E125" s="206">
        <f>SUM(E118:E124)</f>
        <v>9651603.6881696954</v>
      </c>
      <c r="F125" s="133"/>
      <c r="G125" s="2"/>
      <c r="H125" s="2"/>
      <c r="I125" s="2"/>
      <c r="J125" s="223"/>
      <c r="K125" s="206">
        <f>SUM(K118:K124)</f>
        <v>8153199.8918303056</v>
      </c>
      <c r="L125" s="206">
        <f>SUM(L118:L124)</f>
        <v>9651603.6881696954</v>
      </c>
      <c r="M125" s="223"/>
      <c r="N125" s="223"/>
      <c r="O125" s="133"/>
      <c r="P125" s="133"/>
      <c r="Q125" s="133"/>
      <c r="R125" s="133"/>
      <c r="S125" s="126"/>
      <c r="T125" s="133"/>
    </row>
    <row r="126" spans="1:20" ht="13.5" thickTop="1">
      <c r="A126" s="2"/>
      <c r="B126" s="2"/>
      <c r="C126" s="126"/>
      <c r="D126" s="133"/>
      <c r="E126" s="133">
        <f>E125+D125</f>
        <v>17804803.580000002</v>
      </c>
      <c r="F126" s="133"/>
      <c r="G126" s="2"/>
      <c r="H126" s="2"/>
      <c r="I126" s="2"/>
      <c r="J126" s="223"/>
      <c r="K126" s="223"/>
      <c r="L126" s="133">
        <f>L125+K125</f>
        <v>17804803.580000002</v>
      </c>
      <c r="M126" s="223"/>
      <c r="N126" s="223"/>
      <c r="O126" s="133"/>
      <c r="P126" s="133"/>
      <c r="Q126" s="133"/>
      <c r="R126" s="133"/>
      <c r="S126" s="126"/>
      <c r="T126" s="133"/>
    </row>
    <row r="127" spans="1:20">
      <c r="A127" s="2"/>
      <c r="B127" s="2"/>
      <c r="C127" s="28"/>
      <c r="G127" s="2"/>
      <c r="H127" s="2"/>
      <c r="I127" s="2"/>
      <c r="N127" s="223"/>
      <c r="O127" s="133"/>
      <c r="P127" s="133"/>
      <c r="Q127" s="133"/>
      <c r="R127" s="133"/>
      <c r="S127" s="126"/>
      <c r="T127" s="133"/>
    </row>
    <row r="128" spans="1:20">
      <c r="A128" s="2"/>
      <c r="B128" s="180" t="s">
        <v>634</v>
      </c>
      <c r="C128" s="28"/>
      <c r="D128" s="213">
        <f>$U59</f>
        <v>0.99976608187134508</v>
      </c>
      <c r="E128" s="213">
        <f>$U60</f>
        <v>5.8479532163742693E-5</v>
      </c>
      <c r="F128" s="213">
        <f>$U61</f>
        <v>1.7543859649122806E-4</v>
      </c>
      <c r="G128" s="2"/>
      <c r="H128" s="2"/>
      <c r="I128" s="2"/>
      <c r="N128" s="223"/>
      <c r="O128" s="133"/>
      <c r="P128" s="133"/>
      <c r="Q128" s="133"/>
      <c r="R128" s="133"/>
      <c r="S128" s="126"/>
      <c r="T128" s="133"/>
    </row>
    <row r="129" spans="1:20">
      <c r="A129" s="218" t="s">
        <v>637</v>
      </c>
      <c r="B129" s="218" t="s">
        <v>303</v>
      </c>
      <c r="C129" s="219" t="s">
        <v>15</v>
      </c>
      <c r="D129" s="261" t="s">
        <v>141</v>
      </c>
      <c r="E129" s="261" t="s">
        <v>148</v>
      </c>
      <c r="F129" s="261" t="s">
        <v>153</v>
      </c>
      <c r="G129" s="2"/>
      <c r="H129" s="2"/>
      <c r="I129" s="223"/>
      <c r="J129" s="262" t="s">
        <v>141</v>
      </c>
      <c r="K129" s="262" t="s">
        <v>148</v>
      </c>
      <c r="L129" s="262" t="s">
        <v>153</v>
      </c>
      <c r="M129" s="223"/>
      <c r="N129" s="223"/>
      <c r="O129" s="133"/>
      <c r="P129" s="133"/>
      <c r="Q129" s="133"/>
      <c r="R129" s="133"/>
      <c r="S129" s="126"/>
      <c r="T129" s="133"/>
    </row>
    <row r="130" spans="1:20">
      <c r="A130" s="2" t="s">
        <v>141</v>
      </c>
      <c r="B130" s="2" t="s">
        <v>385</v>
      </c>
      <c r="C130" s="127">
        <f>'101 &amp; 106 By County'!E21</f>
        <v>9349290.0199999996</v>
      </c>
      <c r="D130" s="201">
        <f t="shared" ref="D130:D135" si="46">C130*$D$128</f>
        <v>9347103.0515742693</v>
      </c>
      <c r="E130" s="201">
        <f t="shared" ref="E130:E135" si="47">C130*$E$128</f>
        <v>546.74210643274853</v>
      </c>
      <c r="F130" s="133">
        <f t="shared" ref="F130:F135" si="48">C130*$F$128</f>
        <v>1640.2263192982455</v>
      </c>
      <c r="G130" s="2"/>
      <c r="H130" s="2"/>
      <c r="I130" s="223" t="s">
        <v>385</v>
      </c>
      <c r="J130" s="201">
        <f t="shared" ref="J130:L135" si="49">D130</f>
        <v>9347103.0515742693</v>
      </c>
      <c r="K130" s="201">
        <f t="shared" si="49"/>
        <v>546.74210643274853</v>
      </c>
      <c r="L130" s="201">
        <f t="shared" si="49"/>
        <v>1640.2263192982455</v>
      </c>
      <c r="M130" s="223"/>
      <c r="N130" s="223"/>
      <c r="O130" s="133"/>
      <c r="P130" s="133"/>
      <c r="Q130" s="133"/>
      <c r="R130" s="133"/>
      <c r="S130" s="126"/>
      <c r="T130" s="133"/>
    </row>
    <row r="131" spans="1:20">
      <c r="A131" s="2" t="s">
        <v>141</v>
      </c>
      <c r="B131" s="2" t="s">
        <v>387</v>
      </c>
      <c r="C131" s="127">
        <f>'101 &amp; 106 By County'!E23</f>
        <v>1998460.46</v>
      </c>
      <c r="D131" s="201">
        <f t="shared" si="46"/>
        <v>1997992.9838690059</v>
      </c>
      <c r="E131" s="201">
        <f t="shared" si="47"/>
        <v>116.86903274853802</v>
      </c>
      <c r="F131" s="133">
        <f t="shared" si="48"/>
        <v>350.607098245614</v>
      </c>
      <c r="G131" s="2"/>
      <c r="H131" s="2"/>
      <c r="I131" s="223" t="s">
        <v>387</v>
      </c>
      <c r="J131" s="201">
        <f t="shared" si="49"/>
        <v>1997992.9838690059</v>
      </c>
      <c r="K131" s="201">
        <f t="shared" si="49"/>
        <v>116.86903274853802</v>
      </c>
      <c r="L131" s="201">
        <f t="shared" si="49"/>
        <v>350.607098245614</v>
      </c>
      <c r="N131" s="223"/>
      <c r="O131" s="133"/>
      <c r="P131" s="133"/>
      <c r="Q131" s="133"/>
      <c r="R131" s="133"/>
      <c r="S131" s="126"/>
      <c r="T131" s="133"/>
    </row>
    <row r="132" spans="1:20">
      <c r="A132" s="2" t="s">
        <v>141</v>
      </c>
      <c r="B132" s="2">
        <v>383</v>
      </c>
      <c r="C132" s="127">
        <f>'101 &amp; 106 By County'!E24</f>
        <v>1009272.21</v>
      </c>
      <c r="D132" s="201">
        <f t="shared" si="46"/>
        <v>1009036.1229333334</v>
      </c>
      <c r="E132" s="201">
        <f t="shared" si="47"/>
        <v>59.021766666666664</v>
      </c>
      <c r="F132" s="133">
        <f t="shared" si="48"/>
        <v>177.06529999999998</v>
      </c>
      <c r="G132" s="223"/>
      <c r="H132" s="2"/>
      <c r="I132" s="2">
        <v>383</v>
      </c>
      <c r="J132" s="201">
        <f t="shared" si="49"/>
        <v>1009036.1229333334</v>
      </c>
      <c r="K132" s="201">
        <f t="shared" si="49"/>
        <v>59.021766666666664</v>
      </c>
      <c r="L132" s="201">
        <f t="shared" si="49"/>
        <v>177.06529999999998</v>
      </c>
      <c r="N132" s="223"/>
      <c r="O132" s="133"/>
      <c r="P132" s="133"/>
      <c r="Q132" s="133"/>
      <c r="R132" s="133"/>
      <c r="S132" s="126"/>
      <c r="T132" s="133"/>
    </row>
    <row r="133" spans="1:20">
      <c r="A133" s="2" t="s">
        <v>141</v>
      </c>
      <c r="B133" s="2">
        <v>384</v>
      </c>
      <c r="C133" s="127">
        <f>'101 &amp; 106 By County'!E25</f>
        <v>1027622.72</v>
      </c>
      <c r="D133" s="201">
        <f t="shared" si="46"/>
        <v>1027382.3404163743</v>
      </c>
      <c r="E133" s="201">
        <f t="shared" si="47"/>
        <v>60.094895906432747</v>
      </c>
      <c r="F133" s="133">
        <f t="shared" si="48"/>
        <v>180.28468771929823</v>
      </c>
      <c r="G133" s="223"/>
      <c r="H133" s="2"/>
      <c r="I133" s="2">
        <v>384</v>
      </c>
      <c r="J133" s="201">
        <f t="shared" si="49"/>
        <v>1027382.3404163743</v>
      </c>
      <c r="K133" s="201">
        <f t="shared" si="49"/>
        <v>60.094895906432747</v>
      </c>
      <c r="L133" s="201">
        <f t="shared" si="49"/>
        <v>180.28468771929823</v>
      </c>
      <c r="N133" s="223"/>
      <c r="O133" s="133"/>
      <c r="P133" s="133"/>
      <c r="Q133" s="133"/>
      <c r="R133" s="133"/>
      <c r="S133" s="126"/>
      <c r="T133" s="133"/>
    </row>
    <row r="134" spans="1:20">
      <c r="A134" s="2" t="s">
        <v>141</v>
      </c>
      <c r="B134" s="2">
        <v>385</v>
      </c>
      <c r="C134" s="127">
        <f>'101 &amp; 106 By County'!E26</f>
        <v>70739.13</v>
      </c>
      <c r="D134" s="201">
        <f t="shared" si="46"/>
        <v>70722.582835087727</v>
      </c>
      <c r="E134" s="201">
        <f t="shared" si="47"/>
        <v>4.1367912280701757</v>
      </c>
      <c r="F134" s="133">
        <f t="shared" si="48"/>
        <v>12.410373684210526</v>
      </c>
      <c r="G134" s="223"/>
      <c r="H134" s="2"/>
      <c r="I134" s="2">
        <v>385</v>
      </c>
      <c r="J134" s="201">
        <f t="shared" si="49"/>
        <v>70722.582835087727</v>
      </c>
      <c r="K134" s="201">
        <f t="shared" si="49"/>
        <v>4.1367912280701757</v>
      </c>
      <c r="L134" s="201">
        <f t="shared" si="49"/>
        <v>12.410373684210526</v>
      </c>
      <c r="N134" s="223"/>
      <c r="O134" s="133"/>
      <c r="P134" s="133"/>
      <c r="Q134" s="133"/>
      <c r="R134" s="133"/>
      <c r="S134" s="126"/>
      <c r="T134" s="133"/>
    </row>
    <row r="135" spans="1:20">
      <c r="A135" s="2" t="s">
        <v>141</v>
      </c>
      <c r="B135" s="2" t="s">
        <v>394</v>
      </c>
      <c r="C135" s="127">
        <f>'101 &amp; 106 By County'!E27</f>
        <v>131628.07</v>
      </c>
      <c r="D135" s="201">
        <f t="shared" si="46"/>
        <v>131597.27980818716</v>
      </c>
      <c r="E135" s="201">
        <f t="shared" si="47"/>
        <v>7.6975479532163753</v>
      </c>
      <c r="F135" s="133">
        <f t="shared" si="48"/>
        <v>23.092643859649122</v>
      </c>
      <c r="G135" s="223"/>
      <c r="H135" s="2"/>
      <c r="I135" s="223" t="s">
        <v>394</v>
      </c>
      <c r="J135" s="201">
        <f t="shared" si="49"/>
        <v>131597.27980818716</v>
      </c>
      <c r="K135" s="201">
        <f t="shared" si="49"/>
        <v>7.6975479532163753</v>
      </c>
      <c r="L135" s="201">
        <f t="shared" si="49"/>
        <v>23.092643859649122</v>
      </c>
      <c r="N135" s="223"/>
      <c r="O135" s="133"/>
      <c r="P135" s="133"/>
      <c r="Q135" s="133"/>
      <c r="R135" s="133"/>
      <c r="S135" s="126"/>
      <c r="T135" s="133"/>
    </row>
    <row r="136" spans="1:20">
      <c r="A136" s="2"/>
      <c r="B136" s="2"/>
      <c r="C136" s="127">
        <v>0</v>
      </c>
      <c r="D136" s="201"/>
      <c r="E136" s="201"/>
      <c r="F136" s="133"/>
      <c r="G136" s="223"/>
      <c r="H136" s="2"/>
      <c r="I136" s="223"/>
      <c r="J136" s="201"/>
      <c r="K136" s="201"/>
      <c r="L136" s="133"/>
      <c r="N136" s="223"/>
      <c r="O136" s="133"/>
      <c r="P136" s="133"/>
      <c r="Q136" s="133"/>
      <c r="R136" s="133"/>
      <c r="S136" s="126"/>
      <c r="T136" s="133"/>
    </row>
    <row r="137" spans="1:20" ht="13.5" thickBot="1">
      <c r="A137" s="2"/>
      <c r="B137" s="2"/>
      <c r="C137" s="127">
        <f>SUM(C130:C136)</f>
        <v>13587012.610000003</v>
      </c>
      <c r="D137" s="206">
        <f>SUM(D130:D136)</f>
        <v>13583834.361436259</v>
      </c>
      <c r="E137" s="206">
        <f>SUM(E130:E136)</f>
        <v>794.56214093567235</v>
      </c>
      <c r="F137" s="206">
        <f>SUM(F130:F136)</f>
        <v>2383.6864228070176</v>
      </c>
      <c r="G137" s="223"/>
      <c r="H137" s="2"/>
      <c r="I137" s="223"/>
      <c r="J137" s="206">
        <f>SUM(J130:J136)</f>
        <v>13583834.361436259</v>
      </c>
      <c r="K137" s="206">
        <f>SUM(K130:K136)</f>
        <v>794.56214093567235</v>
      </c>
      <c r="L137" s="206">
        <f>SUM(L130:L136)</f>
        <v>2383.6864228070176</v>
      </c>
      <c r="N137" s="223"/>
      <c r="O137" s="133"/>
      <c r="P137" s="133"/>
      <c r="Q137" s="133"/>
      <c r="R137" s="133"/>
      <c r="S137" s="126"/>
      <c r="T137" s="133"/>
    </row>
    <row r="138" spans="1:20" ht="13.5" thickTop="1">
      <c r="A138" s="2"/>
      <c r="B138" s="2"/>
      <c r="C138" s="126"/>
      <c r="D138" s="133"/>
      <c r="E138" s="133"/>
      <c r="F138" s="223">
        <f>SUM(D137:F137)</f>
        <v>13587012.610000001</v>
      </c>
      <c r="G138" s="223"/>
      <c r="H138" s="2"/>
      <c r="I138" s="223"/>
      <c r="J138" s="223"/>
      <c r="K138" s="223"/>
      <c r="L138" s="223"/>
      <c r="N138" s="223"/>
      <c r="O138" s="133"/>
      <c r="P138" s="133"/>
      <c r="Q138" s="133"/>
      <c r="R138" s="133"/>
      <c r="S138" s="126"/>
      <c r="T138" s="133"/>
    </row>
    <row r="139" spans="1:20">
      <c r="A139" s="2"/>
      <c r="B139" s="2"/>
      <c r="C139" s="28"/>
      <c r="H139" s="2"/>
      <c r="I139" s="2"/>
      <c r="N139" s="223"/>
      <c r="O139" s="133"/>
      <c r="P139" s="133"/>
      <c r="Q139" s="133"/>
      <c r="R139" s="133"/>
      <c r="S139" s="126"/>
      <c r="T139" s="133"/>
    </row>
    <row r="140" spans="1:20">
      <c r="A140" s="2"/>
      <c r="B140" s="180" t="s">
        <v>634</v>
      </c>
      <c r="C140" s="28"/>
      <c r="D140" s="263"/>
      <c r="E140" s="213"/>
      <c r="G140" s="223"/>
      <c r="H140" s="2"/>
      <c r="I140" s="2"/>
      <c r="N140" s="223"/>
      <c r="O140" s="133"/>
      <c r="P140" s="133"/>
      <c r="Q140" s="133"/>
      <c r="R140" s="133"/>
      <c r="S140" s="126"/>
      <c r="T140" s="133"/>
    </row>
    <row r="141" spans="1:20">
      <c r="A141" s="218" t="s">
        <v>637</v>
      </c>
      <c r="B141" s="218" t="s">
        <v>303</v>
      </c>
      <c r="C141" s="219" t="s">
        <v>15</v>
      </c>
      <c r="D141" s="220" t="s">
        <v>660</v>
      </c>
      <c r="E141" s="220" t="s">
        <v>661</v>
      </c>
      <c r="G141" s="2"/>
      <c r="H141" s="2"/>
      <c r="I141" s="2"/>
      <c r="J141" s="223"/>
      <c r="K141" s="223"/>
      <c r="L141" s="223"/>
      <c r="M141" s="223"/>
      <c r="N141" s="223"/>
      <c r="O141" s="133"/>
      <c r="P141" s="133"/>
      <c r="Q141" s="133"/>
      <c r="R141" s="133"/>
      <c r="S141" s="126"/>
      <c r="T141" s="133"/>
    </row>
    <row r="142" spans="1:20">
      <c r="A142" s="2" t="s">
        <v>665</v>
      </c>
      <c r="B142" s="2" t="s">
        <v>385</v>
      </c>
      <c r="C142" s="127">
        <f>'101 &amp; 106 By County'!E465</f>
        <v>7206260.2699999996</v>
      </c>
      <c r="D142" s="201">
        <f>C142*0.9992</f>
        <v>7200495.2617839994</v>
      </c>
      <c r="E142" s="201">
        <f>C142-D142</f>
        <v>5765.0082160001621</v>
      </c>
      <c r="G142" s="2"/>
      <c r="H142" s="2"/>
      <c r="I142" s="2"/>
      <c r="J142" s="223"/>
      <c r="K142" s="223"/>
      <c r="L142" s="223"/>
      <c r="M142" s="223"/>
      <c r="N142" s="223"/>
      <c r="O142" s="133"/>
      <c r="P142" s="133"/>
      <c r="Q142" s="133"/>
      <c r="R142" s="133"/>
      <c r="S142" s="126"/>
      <c r="T142" s="133"/>
    </row>
    <row r="143" spans="1:20">
      <c r="A143" s="2" t="s">
        <v>665</v>
      </c>
      <c r="B143" s="2" t="s">
        <v>387</v>
      </c>
      <c r="C143" s="127">
        <f>'101 &amp; 106 By County'!E467</f>
        <v>847194.26</v>
      </c>
      <c r="D143" s="201">
        <f t="shared" ref="D143:D147" si="50">C143*0.9992</f>
        <v>846516.50459200004</v>
      </c>
      <c r="E143" s="201">
        <f t="shared" ref="E143:E147" si="51">C143-D143</f>
        <v>677.75540799996816</v>
      </c>
      <c r="G143" s="2"/>
      <c r="H143" s="2"/>
      <c r="I143" s="2"/>
      <c r="J143" s="223"/>
      <c r="K143" s="223"/>
      <c r="L143" s="223"/>
      <c r="M143" s="223"/>
      <c r="N143" s="223"/>
      <c r="O143" s="133"/>
      <c r="P143" s="133"/>
      <c r="Q143" s="133"/>
      <c r="R143" s="133"/>
      <c r="S143" s="126"/>
      <c r="T143" s="133"/>
    </row>
    <row r="144" spans="1:20">
      <c r="A144" s="2" t="s">
        <v>665</v>
      </c>
      <c r="B144" s="2" t="s">
        <v>389</v>
      </c>
      <c r="C144" s="127">
        <f>'101 &amp; 106 By County'!E468</f>
        <v>307206.08</v>
      </c>
      <c r="D144" s="201">
        <f t="shared" si="50"/>
        <v>306960.31513599999</v>
      </c>
      <c r="E144" s="201">
        <f t="shared" si="51"/>
        <v>245.76486400002614</v>
      </c>
      <c r="G144" s="2"/>
      <c r="H144" s="2"/>
      <c r="I144" s="2"/>
      <c r="J144" s="223"/>
      <c r="K144" s="223"/>
      <c r="L144" s="223"/>
      <c r="M144" s="223"/>
      <c r="N144" s="223"/>
      <c r="O144" s="133"/>
      <c r="P144" s="133"/>
      <c r="Q144" s="133"/>
      <c r="R144" s="133"/>
      <c r="S144" s="126"/>
      <c r="T144" s="133"/>
    </row>
    <row r="145" spans="1:20">
      <c r="A145" s="2" t="s">
        <v>665</v>
      </c>
      <c r="B145" s="2" t="s">
        <v>391</v>
      </c>
      <c r="C145" s="127">
        <f>'101 &amp; 106 By County'!E469</f>
        <v>335358.96999999997</v>
      </c>
      <c r="D145" s="201">
        <f t="shared" si="50"/>
        <v>335090.68282399996</v>
      </c>
      <c r="E145" s="201">
        <f t="shared" si="51"/>
        <v>268.28717600001255</v>
      </c>
      <c r="G145" s="2"/>
      <c r="H145" s="2"/>
      <c r="I145" s="2"/>
      <c r="J145" s="223"/>
      <c r="K145" s="223"/>
      <c r="L145" s="223"/>
      <c r="M145" s="223"/>
      <c r="N145" s="223"/>
      <c r="O145" s="133"/>
      <c r="P145" s="133"/>
      <c r="Q145" s="133"/>
      <c r="R145" s="133"/>
      <c r="S145" s="126"/>
      <c r="T145" s="133"/>
    </row>
    <row r="146" spans="1:20">
      <c r="A146" s="2" t="s">
        <v>665</v>
      </c>
      <c r="B146" s="2" t="s">
        <v>393</v>
      </c>
      <c r="C146" s="127">
        <f>'101 &amp; 106 By County'!E470</f>
        <v>89112.960000000006</v>
      </c>
      <c r="D146" s="201">
        <f t="shared" si="50"/>
        <v>89041.669632000005</v>
      </c>
      <c r="E146" s="201">
        <f t="shared" si="51"/>
        <v>71.290368000001763</v>
      </c>
      <c r="G146" s="2"/>
      <c r="H146" s="239"/>
      <c r="I146" s="239"/>
      <c r="J146" s="223"/>
      <c r="K146" s="223"/>
      <c r="L146" s="223"/>
      <c r="M146" s="223"/>
      <c r="N146" s="223"/>
      <c r="O146" s="133"/>
      <c r="P146" s="133"/>
      <c r="Q146" s="133"/>
      <c r="R146" s="133"/>
      <c r="S146" s="28"/>
      <c r="T146" s="133"/>
    </row>
    <row r="147" spans="1:20">
      <c r="A147" s="2" t="s">
        <v>665</v>
      </c>
      <c r="B147" s="2" t="s">
        <v>394</v>
      </c>
      <c r="C147" s="127">
        <f>'101 &amp; 106 By County'!E471</f>
        <v>118930.74</v>
      </c>
      <c r="D147" s="201">
        <f t="shared" si="50"/>
        <v>118835.59540800001</v>
      </c>
      <c r="E147" s="201">
        <f t="shared" si="51"/>
        <v>95.144591999996919</v>
      </c>
      <c r="G147" s="2"/>
      <c r="H147" s="2"/>
      <c r="I147" s="2"/>
      <c r="J147" s="223"/>
      <c r="K147" s="223"/>
      <c r="L147" s="223"/>
      <c r="M147" s="223"/>
      <c r="N147" s="223"/>
      <c r="O147" s="133"/>
      <c r="P147" s="133"/>
      <c r="Q147" s="133"/>
      <c r="R147" s="133"/>
      <c r="S147" s="28"/>
      <c r="T147" s="133"/>
    </row>
    <row r="148" spans="1:20" ht="13.5" thickBot="1">
      <c r="A148" s="2"/>
      <c r="B148" s="2"/>
      <c r="C148" s="127">
        <f>SUM(C142:C147)</f>
        <v>8904063.2800000012</v>
      </c>
      <c r="D148" s="206">
        <f>SUM(D142:D147)</f>
        <v>8896940.0293760002</v>
      </c>
      <c r="E148" s="206">
        <f>SUM(E142:E147)</f>
        <v>7123.2506240001676</v>
      </c>
      <c r="G148" s="2"/>
      <c r="H148" s="2"/>
      <c r="I148" s="2"/>
      <c r="J148" s="223"/>
      <c r="K148" s="223"/>
      <c r="L148" s="223"/>
      <c r="M148" s="223"/>
      <c r="N148" s="223"/>
      <c r="O148" s="133"/>
      <c r="P148" s="133"/>
      <c r="Q148" s="133"/>
      <c r="R148" s="133"/>
      <c r="S148" s="28"/>
      <c r="T148" s="133"/>
    </row>
    <row r="149" spans="1:20" ht="13.5" thickTop="1">
      <c r="A149" s="2"/>
      <c r="B149" s="2"/>
      <c r="C149" s="133"/>
      <c r="D149" s="133"/>
      <c r="E149" s="133">
        <f>E148+D148</f>
        <v>8904063.2800000012</v>
      </c>
      <c r="G149" s="2"/>
      <c r="H149" s="2"/>
      <c r="I149" s="2"/>
      <c r="J149" s="223"/>
      <c r="K149" s="223"/>
      <c r="L149" s="223"/>
      <c r="M149" s="223"/>
      <c r="N149" s="223"/>
      <c r="O149" s="133"/>
      <c r="P149" s="133"/>
      <c r="Q149" s="133"/>
      <c r="R149" s="133"/>
      <c r="S149" s="28"/>
      <c r="T149" s="133"/>
    </row>
    <row r="150" spans="1:20">
      <c r="A150" s="2"/>
      <c r="B150" s="2"/>
      <c r="C150" s="28"/>
      <c r="G150" s="2"/>
      <c r="H150" s="2"/>
      <c r="I150" s="2"/>
      <c r="J150" s="223"/>
      <c r="K150" s="223"/>
      <c r="L150" s="223"/>
      <c r="M150" s="223"/>
      <c r="N150" s="223"/>
      <c r="O150" s="133"/>
      <c r="P150" s="133"/>
      <c r="Q150" s="133"/>
      <c r="R150" s="133"/>
      <c r="S150" s="28"/>
      <c r="T150" s="133"/>
    </row>
    <row r="151" spans="1:20">
      <c r="A151" s="2"/>
      <c r="B151" s="2"/>
      <c r="C151" s="28"/>
      <c r="G151" s="2"/>
      <c r="H151" s="2"/>
      <c r="I151" s="2"/>
      <c r="J151" s="223"/>
      <c r="K151" s="223"/>
      <c r="L151" s="223"/>
      <c r="M151" s="223"/>
      <c r="N151" s="223"/>
      <c r="O151" s="133"/>
      <c r="P151" s="133"/>
      <c r="Q151" s="133"/>
      <c r="R151" s="133"/>
      <c r="S151" s="28"/>
      <c r="T151" s="133"/>
    </row>
    <row r="152" spans="1:20">
      <c r="A152" s="2"/>
      <c r="B152" s="2"/>
      <c r="C152" s="28"/>
      <c r="G152" s="2"/>
      <c r="H152" s="2"/>
      <c r="I152" s="2"/>
      <c r="J152" s="223"/>
      <c r="K152" s="223"/>
      <c r="L152" s="223"/>
      <c r="M152" s="223"/>
      <c r="N152" s="223"/>
      <c r="O152" s="133"/>
      <c r="P152" s="133"/>
      <c r="Q152" s="133"/>
      <c r="R152" s="133"/>
      <c r="S152" s="28"/>
      <c r="T152" s="133"/>
    </row>
    <row r="153" spans="1:20">
      <c r="A153" s="2"/>
      <c r="B153" s="2"/>
      <c r="C153" s="28"/>
      <c r="G153" s="2"/>
      <c r="H153" s="2"/>
      <c r="I153" s="2"/>
      <c r="J153" s="223"/>
      <c r="K153" s="223"/>
      <c r="L153" s="223"/>
      <c r="M153" s="223"/>
      <c r="N153" s="223"/>
      <c r="O153" s="133"/>
      <c r="P153" s="133"/>
      <c r="Q153" s="133"/>
      <c r="R153" s="133"/>
      <c r="S153" s="28"/>
      <c r="T153" s="133"/>
    </row>
    <row r="154" spans="1:20">
      <c r="A154" s="2"/>
      <c r="B154" s="2"/>
      <c r="C154" s="28"/>
      <c r="G154" s="2"/>
      <c r="H154" s="2"/>
      <c r="I154" s="2"/>
      <c r="J154" s="223"/>
      <c r="K154" s="223"/>
      <c r="L154" s="223"/>
      <c r="M154" s="223"/>
      <c r="N154" s="223"/>
      <c r="O154" s="133"/>
      <c r="P154" s="133"/>
      <c r="Q154" s="133"/>
      <c r="R154" s="133"/>
      <c r="S154" s="28"/>
      <c r="T154" s="133"/>
    </row>
    <row r="155" spans="1:20">
      <c r="A155" s="2"/>
      <c r="B155" s="2"/>
      <c r="C155" s="28"/>
      <c r="G155" s="2"/>
      <c r="H155" s="2"/>
      <c r="I155" s="2"/>
      <c r="J155" s="223"/>
      <c r="K155" s="223"/>
      <c r="L155" s="223"/>
      <c r="M155" s="223"/>
      <c r="N155" s="223"/>
      <c r="O155" s="133"/>
      <c r="P155" s="133"/>
      <c r="Q155" s="133"/>
      <c r="R155" s="133"/>
      <c r="S155" s="28"/>
      <c r="T155" s="133"/>
    </row>
    <row r="156" spans="1:20">
      <c r="A156" s="2"/>
      <c r="B156" s="2"/>
      <c r="C156" s="28"/>
      <c r="G156" s="2"/>
      <c r="H156" s="2"/>
      <c r="I156" s="2"/>
      <c r="J156" s="223"/>
      <c r="K156" s="223"/>
      <c r="L156" s="223"/>
      <c r="M156" s="223"/>
      <c r="N156" s="223"/>
      <c r="O156" s="133"/>
      <c r="P156" s="133"/>
      <c r="Q156" s="133"/>
      <c r="R156" s="133"/>
      <c r="S156" s="28"/>
      <c r="T156" s="133"/>
    </row>
    <row r="157" spans="1:20">
      <c r="A157" s="2"/>
      <c r="B157" s="2"/>
      <c r="C157" s="28"/>
      <c r="G157" s="2"/>
      <c r="H157" s="2"/>
      <c r="I157" s="2"/>
      <c r="J157" s="223"/>
      <c r="K157" s="223"/>
      <c r="L157" s="223"/>
      <c r="M157" s="223"/>
      <c r="N157" s="223"/>
      <c r="O157" s="133"/>
      <c r="P157" s="133"/>
      <c r="Q157" s="133"/>
      <c r="R157" s="133"/>
      <c r="S157" s="28"/>
      <c r="T157" s="133"/>
    </row>
    <row r="158" spans="1:20">
      <c r="A158" s="2"/>
      <c r="B158" s="2"/>
      <c r="C158" s="28"/>
      <c r="G158" s="2"/>
      <c r="H158" s="2"/>
      <c r="I158" s="2"/>
      <c r="J158" s="223"/>
      <c r="K158" s="223"/>
      <c r="L158" s="223"/>
      <c r="M158" s="223"/>
      <c r="N158" s="223"/>
      <c r="O158" s="133"/>
      <c r="P158" s="133"/>
      <c r="Q158" s="133"/>
      <c r="R158" s="133"/>
      <c r="S158" s="28"/>
      <c r="T158" s="133"/>
    </row>
    <row r="159" spans="1:20">
      <c r="A159" s="2"/>
      <c r="B159" s="2"/>
      <c r="C159" s="28"/>
      <c r="G159" s="2"/>
      <c r="H159" s="2"/>
      <c r="I159" s="2"/>
      <c r="J159" s="223"/>
      <c r="K159" s="223"/>
      <c r="L159" s="223"/>
      <c r="M159" s="223"/>
      <c r="N159" s="223"/>
      <c r="O159" s="133"/>
      <c r="P159" s="133"/>
      <c r="Q159" s="133"/>
      <c r="R159" s="133"/>
      <c r="S159" s="28"/>
      <c r="T159" s="133"/>
    </row>
    <row r="160" spans="1:20">
      <c r="A160" s="2"/>
      <c r="B160" s="2"/>
      <c r="C160" s="28"/>
      <c r="G160" s="2"/>
      <c r="H160" s="2"/>
      <c r="I160" s="2"/>
      <c r="J160" s="223"/>
      <c r="K160" s="223"/>
      <c r="L160" s="223"/>
      <c r="M160" s="223"/>
      <c r="N160" s="223"/>
      <c r="O160" s="133"/>
      <c r="P160" s="133"/>
      <c r="Q160" s="133"/>
      <c r="R160" s="133"/>
      <c r="S160" s="28"/>
      <c r="T160" s="133"/>
    </row>
    <row r="161" spans="1:20">
      <c r="A161" s="2"/>
      <c r="B161" s="2"/>
      <c r="C161" s="28"/>
      <c r="G161" s="2"/>
      <c r="H161" s="2"/>
      <c r="I161" s="2"/>
      <c r="J161" s="2"/>
      <c r="K161" s="2"/>
      <c r="L161" s="2"/>
      <c r="M161" s="2"/>
      <c r="N161" s="2"/>
      <c r="Q161" s="133"/>
      <c r="R161" s="133"/>
      <c r="S161" s="28"/>
      <c r="T161" s="133"/>
    </row>
    <row r="162" spans="1:20">
      <c r="A162" s="2"/>
      <c r="B162" s="2"/>
      <c r="C162" s="28"/>
      <c r="G162" s="2"/>
      <c r="H162" s="2"/>
      <c r="I162" s="2"/>
      <c r="J162" s="2"/>
      <c r="K162" s="2"/>
      <c r="L162" s="2"/>
      <c r="M162" s="2"/>
      <c r="N162" s="2"/>
      <c r="R162" s="133"/>
      <c r="S162" s="28"/>
      <c r="T162" s="133"/>
    </row>
    <row r="163" spans="1:20">
      <c r="A163" s="2"/>
      <c r="B163" s="2"/>
      <c r="C163" s="28"/>
      <c r="G163" s="2"/>
      <c r="H163" s="2"/>
      <c r="I163" s="2"/>
      <c r="J163" s="2"/>
      <c r="K163" s="2"/>
      <c r="L163" s="2"/>
      <c r="M163" s="2"/>
      <c r="N163" s="2"/>
      <c r="S163" s="28"/>
      <c r="T163" s="133"/>
    </row>
    <row r="164" spans="1:20">
      <c r="A164" s="2"/>
      <c r="B164" s="2"/>
      <c r="C164" s="28"/>
      <c r="G164" s="2"/>
      <c r="H164" s="2"/>
      <c r="I164" s="2"/>
      <c r="J164" s="2"/>
      <c r="K164" s="2"/>
      <c r="L164" s="2"/>
      <c r="M164" s="2"/>
      <c r="N164" s="2"/>
      <c r="S164" s="28"/>
      <c r="T164" s="133"/>
    </row>
    <row r="165" spans="1:20">
      <c r="A165" s="2"/>
      <c r="B165" s="2"/>
      <c r="C165" s="28"/>
      <c r="G165" s="2"/>
      <c r="H165" s="2"/>
      <c r="I165" s="2"/>
      <c r="J165" s="2"/>
      <c r="K165" s="2"/>
      <c r="L165" s="2"/>
      <c r="M165" s="2"/>
      <c r="N165" s="2"/>
      <c r="S165" s="28"/>
      <c r="T165" s="133"/>
    </row>
    <row r="166" spans="1:20">
      <c r="A166" s="2"/>
      <c r="B166" s="2"/>
      <c r="C166" s="28"/>
      <c r="G166" s="2"/>
      <c r="H166" s="2"/>
      <c r="I166" s="2"/>
      <c r="J166" s="2"/>
      <c r="K166" s="2"/>
      <c r="L166" s="2"/>
      <c r="M166" s="2"/>
      <c r="N166" s="2"/>
      <c r="S166" s="28"/>
      <c r="T166" s="133"/>
    </row>
    <row r="167" spans="1:20">
      <c r="A167" s="2"/>
      <c r="B167" s="2"/>
      <c r="C167" s="28"/>
      <c r="G167" s="2"/>
      <c r="H167" s="2"/>
      <c r="I167" s="2"/>
      <c r="J167" s="2"/>
      <c r="K167" s="2"/>
      <c r="L167" s="2"/>
      <c r="M167" s="2"/>
      <c r="N167" s="2"/>
      <c r="S167" s="28"/>
      <c r="T167" s="133"/>
    </row>
    <row r="168" spans="1:20">
      <c r="A168" s="2"/>
      <c r="B168" s="2"/>
      <c r="C168" s="28"/>
      <c r="G168" s="2"/>
      <c r="H168" s="2"/>
      <c r="I168" s="2"/>
      <c r="J168" s="2"/>
      <c r="K168" s="2"/>
      <c r="L168" s="2"/>
      <c r="M168" s="2"/>
      <c r="N168" s="2"/>
      <c r="S168" s="28"/>
      <c r="T168" s="133"/>
    </row>
    <row r="169" spans="1:20">
      <c r="A169" s="2"/>
      <c r="B169" s="2"/>
      <c r="C169" s="28"/>
      <c r="G169" s="2"/>
      <c r="H169" s="2"/>
      <c r="I169" s="2"/>
      <c r="J169" s="2"/>
      <c r="K169" s="2"/>
      <c r="L169" s="2"/>
      <c r="M169" s="2"/>
      <c r="N169" s="2"/>
      <c r="S169" s="28"/>
      <c r="T169" s="133"/>
    </row>
    <row r="170" spans="1:20">
      <c r="A170" s="2"/>
      <c r="B170" s="2"/>
      <c r="C170" s="28"/>
      <c r="G170" s="2"/>
      <c r="H170" s="2"/>
      <c r="I170" s="2"/>
      <c r="J170" s="2"/>
      <c r="K170" s="2"/>
      <c r="L170" s="2"/>
      <c r="M170" s="2"/>
      <c r="N170" s="2"/>
      <c r="S170" s="28"/>
      <c r="T170" s="133"/>
    </row>
    <row r="171" spans="1:20">
      <c r="A171" s="2"/>
      <c r="B171" s="2"/>
      <c r="C171" s="28"/>
      <c r="G171" s="2"/>
      <c r="H171" s="2"/>
      <c r="I171" s="2"/>
      <c r="J171" s="2"/>
      <c r="K171" s="2"/>
      <c r="L171" s="2"/>
      <c r="M171" s="2"/>
      <c r="N171" s="2"/>
      <c r="S171" s="28"/>
      <c r="T171" s="133"/>
    </row>
    <row r="172" spans="1:20">
      <c r="A172" s="2"/>
      <c r="B172" s="2"/>
      <c r="C172" s="28"/>
      <c r="G172" s="2"/>
      <c r="H172" s="2"/>
      <c r="I172" s="2"/>
      <c r="J172" s="2"/>
      <c r="K172" s="2"/>
      <c r="L172" s="2"/>
      <c r="M172" s="2"/>
      <c r="N172" s="2"/>
      <c r="S172" s="28"/>
      <c r="T172" s="133"/>
    </row>
    <row r="173" spans="1:20">
      <c r="A173" s="2"/>
      <c r="B173" s="2"/>
      <c r="C173" s="28"/>
      <c r="G173" s="2"/>
      <c r="H173" s="2"/>
      <c r="I173" s="2"/>
      <c r="J173" s="2"/>
      <c r="K173" s="2"/>
      <c r="L173" s="2"/>
      <c r="M173" s="2"/>
      <c r="N173" s="2"/>
      <c r="S173" s="28"/>
      <c r="T173" s="133"/>
    </row>
    <row r="174" spans="1:20">
      <c r="A174" s="2"/>
      <c r="B174" s="2"/>
      <c r="C174" s="28"/>
      <c r="G174" s="2"/>
      <c r="H174" s="2"/>
      <c r="I174" s="2"/>
      <c r="J174" s="2"/>
      <c r="K174" s="2"/>
      <c r="L174" s="2"/>
      <c r="M174" s="2"/>
      <c r="N174" s="2"/>
      <c r="S174" s="28"/>
      <c r="T174" s="133"/>
    </row>
    <row r="175" spans="1:20">
      <c r="A175" s="2"/>
      <c r="B175" s="2"/>
      <c r="C175" s="28"/>
      <c r="G175" s="2"/>
      <c r="H175" s="2"/>
      <c r="I175" s="2"/>
      <c r="J175" s="2"/>
      <c r="K175" s="2"/>
      <c r="L175" s="2"/>
      <c r="M175" s="2"/>
      <c r="N175" s="2"/>
      <c r="S175" s="28"/>
      <c r="T175" s="133"/>
    </row>
    <row r="176" spans="1:20">
      <c r="A176" s="2"/>
      <c r="B176" s="2"/>
      <c r="C176" s="28"/>
      <c r="G176" s="2"/>
      <c r="H176" s="2"/>
      <c r="I176" s="2"/>
      <c r="J176" s="2"/>
      <c r="K176" s="2"/>
      <c r="L176" s="2"/>
      <c r="M176" s="2"/>
      <c r="N176" s="2"/>
      <c r="S176" s="28"/>
      <c r="T176" s="133"/>
    </row>
    <row r="177" spans="1:20">
      <c r="A177" s="2"/>
      <c r="B177" s="2"/>
      <c r="C177" s="28"/>
      <c r="G177" s="2"/>
      <c r="H177" s="2"/>
      <c r="I177" s="2"/>
      <c r="J177" s="2"/>
      <c r="K177" s="2"/>
      <c r="L177" s="2"/>
      <c r="M177" s="2"/>
      <c r="N177" s="2"/>
      <c r="S177" s="28"/>
      <c r="T177" s="133"/>
    </row>
    <row r="178" spans="1:20">
      <c r="A178" s="2"/>
      <c r="B178" s="2"/>
      <c r="C178" s="28"/>
      <c r="G178" s="2"/>
      <c r="H178" s="2"/>
      <c r="I178" s="2"/>
      <c r="J178" s="2"/>
      <c r="K178" s="2"/>
      <c r="L178" s="2"/>
      <c r="M178" s="2"/>
      <c r="N178" s="2"/>
      <c r="S178" s="28"/>
      <c r="T178" s="133"/>
    </row>
    <row r="179" spans="1:20">
      <c r="A179" s="2"/>
      <c r="B179" s="2"/>
      <c r="C179" s="28"/>
      <c r="G179" s="2"/>
      <c r="H179" s="2"/>
      <c r="I179" s="2"/>
      <c r="J179" s="2"/>
      <c r="K179" s="2"/>
      <c r="L179" s="2"/>
      <c r="M179" s="2"/>
      <c r="N179" s="2"/>
      <c r="S179" s="28"/>
      <c r="T179" s="133"/>
    </row>
    <row r="180" spans="1:20">
      <c r="A180" s="2"/>
      <c r="B180" s="2"/>
      <c r="C180" s="28"/>
      <c r="G180" s="2"/>
      <c r="H180" s="2"/>
      <c r="I180" s="2"/>
      <c r="J180" s="2"/>
      <c r="K180" s="2"/>
      <c r="L180" s="2"/>
      <c r="M180" s="2"/>
      <c r="N180" s="2"/>
      <c r="S180" s="28"/>
      <c r="T180" s="133"/>
    </row>
    <row r="181" spans="1:20">
      <c r="A181" s="2"/>
      <c r="B181" s="2"/>
      <c r="C181" s="28"/>
      <c r="G181" s="2"/>
      <c r="H181" s="2"/>
      <c r="I181" s="2"/>
      <c r="J181" s="2"/>
      <c r="K181" s="2"/>
      <c r="L181" s="2"/>
      <c r="M181" s="2"/>
      <c r="N181" s="2"/>
      <c r="S181" s="28"/>
      <c r="T181" s="133"/>
    </row>
    <row r="182" spans="1:20">
      <c r="A182" s="2"/>
      <c r="B182" s="2"/>
      <c r="C182" s="28"/>
      <c r="G182" s="2"/>
      <c r="H182" s="2"/>
      <c r="I182" s="2"/>
      <c r="J182" s="2"/>
      <c r="K182" s="2"/>
      <c r="L182" s="2"/>
      <c r="M182" s="2"/>
      <c r="N182" s="2"/>
      <c r="S182" s="28"/>
      <c r="T182" s="133"/>
    </row>
    <row r="183" spans="1:20">
      <c r="A183" s="2"/>
      <c r="B183" s="2"/>
      <c r="C183" s="28"/>
      <c r="G183" s="2"/>
      <c r="H183" s="2"/>
      <c r="I183" s="2"/>
      <c r="J183" s="2"/>
      <c r="K183" s="2"/>
      <c r="L183" s="2"/>
      <c r="M183" s="2"/>
      <c r="N183" s="2"/>
      <c r="S183" s="28"/>
      <c r="T183" s="133"/>
    </row>
    <row r="184" spans="1:20">
      <c r="A184" s="2"/>
      <c r="B184" s="2"/>
      <c r="C184" s="28"/>
      <c r="G184" s="2"/>
      <c r="H184" s="2"/>
      <c r="I184" s="2"/>
      <c r="J184" s="2"/>
      <c r="K184" s="2"/>
      <c r="L184" s="2"/>
      <c r="M184" s="2"/>
      <c r="N184" s="2"/>
      <c r="S184" s="28"/>
      <c r="T184" s="133"/>
    </row>
    <row r="185" spans="1:20">
      <c r="A185" s="2"/>
      <c r="B185" s="2"/>
      <c r="C185" s="28"/>
      <c r="G185" s="2"/>
      <c r="H185" s="2"/>
      <c r="I185" s="2"/>
      <c r="J185" s="2"/>
      <c r="K185" s="2"/>
      <c r="L185" s="2"/>
      <c r="M185" s="2"/>
      <c r="N185" s="2"/>
      <c r="S185" s="28"/>
      <c r="T185" s="133"/>
    </row>
    <row r="186" spans="1:20">
      <c r="A186" s="2"/>
      <c r="B186" s="2"/>
      <c r="C186" s="28"/>
      <c r="G186" s="2"/>
      <c r="H186" s="2"/>
      <c r="I186" s="2"/>
      <c r="J186" s="2"/>
      <c r="K186" s="2"/>
      <c r="L186" s="2"/>
      <c r="M186" s="2"/>
      <c r="N186" s="2"/>
      <c r="S186" s="28"/>
      <c r="T186" s="133"/>
    </row>
    <row r="187" spans="1:20">
      <c r="A187" s="2"/>
      <c r="B187" s="2"/>
      <c r="C187" s="28"/>
      <c r="G187" s="2"/>
      <c r="H187" s="2"/>
      <c r="I187" s="2"/>
      <c r="J187" s="2"/>
      <c r="K187" s="2"/>
      <c r="L187" s="2"/>
      <c r="M187" s="2"/>
      <c r="N187" s="2"/>
      <c r="S187" s="28"/>
      <c r="T187" s="133"/>
    </row>
    <row r="188" spans="1:20">
      <c r="A188" s="2"/>
      <c r="B188" s="2"/>
      <c r="C188" s="28"/>
      <c r="G188" s="2"/>
      <c r="H188" s="2"/>
      <c r="I188" s="2"/>
      <c r="J188" s="2"/>
      <c r="K188" s="2"/>
      <c r="L188" s="2"/>
      <c r="M188" s="2"/>
      <c r="N188" s="2"/>
      <c r="S188" s="28"/>
      <c r="T188" s="133"/>
    </row>
    <row r="189" spans="1:20">
      <c r="A189" s="2"/>
      <c r="B189" s="2"/>
      <c r="C189" s="28"/>
      <c r="G189" s="2"/>
      <c r="H189" s="2"/>
      <c r="I189" s="2"/>
      <c r="J189" s="2"/>
      <c r="K189" s="2"/>
      <c r="L189" s="2"/>
      <c r="M189" s="2"/>
      <c r="N189" s="2"/>
      <c r="S189" s="28"/>
      <c r="T189" s="133"/>
    </row>
    <row r="190" spans="1:20">
      <c r="A190" s="2"/>
      <c r="B190" s="2"/>
      <c r="C190" s="28"/>
      <c r="G190" s="2"/>
      <c r="H190" s="2"/>
      <c r="I190" s="2"/>
      <c r="J190" s="2"/>
      <c r="K190" s="2"/>
      <c r="L190" s="2"/>
      <c r="M190" s="2"/>
      <c r="N190" s="2"/>
      <c r="S190" s="28"/>
      <c r="T190" s="133"/>
    </row>
    <row r="191" spans="1:20">
      <c r="A191" s="2"/>
      <c r="B191" s="2"/>
      <c r="C191" s="28"/>
      <c r="G191" s="2"/>
      <c r="H191" s="2"/>
      <c r="I191" s="2"/>
      <c r="J191" s="2"/>
      <c r="K191" s="2"/>
      <c r="L191" s="2"/>
      <c r="M191" s="2"/>
      <c r="N191" s="2"/>
      <c r="S191" s="28"/>
      <c r="T191" s="133"/>
    </row>
    <row r="192" spans="1:20">
      <c r="A192" s="2"/>
      <c r="B192" s="2"/>
      <c r="C192" s="28"/>
      <c r="G192" s="2"/>
      <c r="H192" s="2"/>
      <c r="I192" s="2"/>
      <c r="J192" s="2"/>
      <c r="K192" s="2"/>
      <c r="L192" s="2"/>
      <c r="M192" s="2"/>
      <c r="N192" s="2"/>
      <c r="S192" s="28"/>
      <c r="T192" s="133"/>
    </row>
    <row r="193" spans="1:20">
      <c r="A193" s="2"/>
      <c r="B193" s="2"/>
      <c r="C193" s="28"/>
      <c r="G193" s="2"/>
      <c r="H193" s="2"/>
      <c r="I193" s="2"/>
      <c r="J193" s="2"/>
      <c r="K193" s="2"/>
      <c r="L193" s="2"/>
      <c r="M193" s="2"/>
      <c r="N193" s="2"/>
      <c r="S193" s="28"/>
      <c r="T193" s="133"/>
    </row>
    <row r="194" spans="1:20">
      <c r="A194" s="2"/>
      <c r="B194" s="2"/>
      <c r="C194" s="28"/>
      <c r="G194" s="2"/>
      <c r="H194" s="2"/>
      <c r="I194" s="2"/>
      <c r="J194" s="2"/>
      <c r="K194" s="2"/>
      <c r="L194" s="2"/>
      <c r="M194" s="2"/>
      <c r="N194" s="2"/>
      <c r="S194" s="28"/>
      <c r="T194" s="133"/>
    </row>
    <row r="195" spans="1:20">
      <c r="A195" s="2"/>
      <c r="B195" s="2"/>
      <c r="C195" s="28"/>
      <c r="G195" s="2"/>
      <c r="H195" s="2"/>
      <c r="I195" s="2"/>
      <c r="J195" s="2"/>
      <c r="K195" s="2"/>
      <c r="L195" s="2"/>
      <c r="M195" s="2"/>
      <c r="N195" s="2"/>
      <c r="S195" s="28"/>
      <c r="T195" s="133"/>
    </row>
    <row r="196" spans="1:20">
      <c r="A196" s="2"/>
      <c r="B196" s="2"/>
      <c r="C196" s="28"/>
      <c r="G196" s="2"/>
      <c r="H196" s="2"/>
      <c r="I196" s="2"/>
      <c r="J196" s="2"/>
      <c r="K196" s="2"/>
      <c r="L196" s="2"/>
      <c r="M196" s="2"/>
      <c r="N196" s="2"/>
      <c r="S196" s="28"/>
      <c r="T196" s="133"/>
    </row>
    <row r="197" spans="1:20">
      <c r="A197" s="2"/>
      <c r="B197" s="2"/>
      <c r="C197" s="28"/>
      <c r="G197" s="2"/>
      <c r="H197" s="2"/>
      <c r="I197" s="2"/>
      <c r="J197" s="2"/>
      <c r="K197" s="2"/>
      <c r="L197" s="2"/>
      <c r="M197" s="2"/>
      <c r="N197" s="2"/>
      <c r="S197" s="28"/>
      <c r="T197" s="133"/>
    </row>
    <row r="198" spans="1:20">
      <c r="A198" s="2"/>
      <c r="B198" s="2"/>
      <c r="C198" s="28"/>
      <c r="G198" s="2"/>
      <c r="H198" s="2"/>
      <c r="I198" s="2"/>
      <c r="J198" s="2"/>
      <c r="K198" s="2"/>
      <c r="L198" s="2"/>
      <c r="M198" s="2"/>
      <c r="N198" s="2"/>
      <c r="S198" s="28"/>
      <c r="T198" s="133"/>
    </row>
    <row r="199" spans="1:20">
      <c r="A199" s="2"/>
      <c r="B199" s="2"/>
      <c r="C199" s="28"/>
      <c r="G199" s="2"/>
      <c r="H199" s="2"/>
      <c r="I199" s="2"/>
      <c r="J199" s="2"/>
      <c r="K199" s="2"/>
      <c r="L199" s="2"/>
      <c r="M199" s="2"/>
      <c r="N199" s="2"/>
      <c r="S199" s="264"/>
      <c r="T199" s="133"/>
    </row>
    <row r="200" spans="1:20">
      <c r="A200" s="2"/>
      <c r="B200" s="2"/>
      <c r="C200" s="28"/>
      <c r="G200" s="2"/>
      <c r="H200" s="2"/>
      <c r="I200" s="2"/>
      <c r="J200" s="2"/>
      <c r="K200" s="2"/>
      <c r="L200" s="2"/>
      <c r="M200" s="2"/>
      <c r="N200" s="2"/>
      <c r="S200" s="265"/>
      <c r="T200" s="133"/>
    </row>
    <row r="201" spans="1:20">
      <c r="A201" s="2"/>
      <c r="B201" s="2"/>
      <c r="C201" s="28"/>
      <c r="G201" s="2"/>
      <c r="H201" s="2"/>
      <c r="I201" s="2"/>
      <c r="J201" s="2"/>
      <c r="K201" s="2"/>
      <c r="L201" s="2"/>
      <c r="M201" s="2"/>
      <c r="N201" s="2"/>
      <c r="S201" s="265"/>
      <c r="T201" s="133"/>
    </row>
    <row r="202" spans="1:20">
      <c r="A202" s="2"/>
      <c r="B202" s="2"/>
      <c r="C202" s="28"/>
      <c r="G202" s="2"/>
      <c r="H202" s="2"/>
      <c r="I202" s="2"/>
      <c r="J202" s="2"/>
      <c r="K202" s="2"/>
      <c r="L202" s="2"/>
      <c r="M202" s="2"/>
      <c r="N202" s="2"/>
      <c r="S202" s="266"/>
      <c r="T202" s="133"/>
    </row>
    <row r="203" spans="1:20">
      <c r="A203" s="2"/>
      <c r="B203" s="2"/>
      <c r="C203" s="28"/>
      <c r="G203" s="2"/>
      <c r="H203" s="2"/>
      <c r="I203" s="2"/>
      <c r="J203" s="2"/>
      <c r="K203" s="2"/>
      <c r="L203" s="2"/>
      <c r="M203" s="2"/>
      <c r="N203" s="2"/>
      <c r="S203" s="265"/>
      <c r="T203" s="133"/>
    </row>
    <row r="204" spans="1:20">
      <c r="A204" s="2"/>
      <c r="B204" s="2"/>
      <c r="C204" s="28"/>
      <c r="G204" s="2"/>
      <c r="H204" s="2"/>
      <c r="I204" s="2"/>
      <c r="J204" s="2"/>
      <c r="K204" s="2"/>
      <c r="L204" s="2"/>
      <c r="M204" s="2"/>
      <c r="N204" s="2"/>
      <c r="S204" s="266"/>
      <c r="T204" s="133"/>
    </row>
    <row r="205" spans="1:20">
      <c r="A205" s="2"/>
      <c r="B205" s="2"/>
      <c r="C205" s="28"/>
      <c r="G205" s="2"/>
      <c r="H205" s="2"/>
      <c r="I205" s="2"/>
      <c r="J205" s="2"/>
      <c r="K205" s="2"/>
      <c r="L205" s="2"/>
      <c r="M205" s="2"/>
      <c r="N205" s="2"/>
      <c r="S205" s="265"/>
      <c r="T205" s="133"/>
    </row>
    <row r="206" spans="1:20">
      <c r="A206" s="2"/>
      <c r="B206" s="2"/>
      <c r="C206" s="28"/>
      <c r="G206" s="2"/>
      <c r="H206" s="2"/>
      <c r="I206" s="2"/>
      <c r="J206" s="2"/>
      <c r="K206" s="2"/>
      <c r="L206" s="2"/>
      <c r="M206" s="2"/>
      <c r="N206" s="2"/>
      <c r="S206" s="266"/>
      <c r="T206" s="133"/>
    </row>
    <row r="207" spans="1:20">
      <c r="A207" s="2"/>
      <c r="B207" s="2"/>
      <c r="C207" s="28"/>
      <c r="G207" s="2"/>
      <c r="H207" s="2"/>
      <c r="I207" s="2"/>
      <c r="J207" s="2"/>
      <c r="K207" s="2"/>
      <c r="L207" s="2"/>
      <c r="M207" s="2"/>
      <c r="N207" s="2"/>
      <c r="S207" s="265"/>
      <c r="T207" s="133"/>
    </row>
    <row r="208" spans="1:20">
      <c r="A208" s="2"/>
      <c r="B208" s="2"/>
      <c r="C208" s="28"/>
      <c r="G208" s="2"/>
      <c r="H208" s="2"/>
      <c r="I208" s="2"/>
      <c r="J208" s="2"/>
      <c r="K208" s="2"/>
      <c r="L208" s="2"/>
      <c r="M208" s="2"/>
      <c r="N208" s="2"/>
      <c r="S208" s="265"/>
      <c r="T208" s="133"/>
    </row>
    <row r="209" spans="1:20">
      <c r="A209" s="2"/>
      <c r="B209" s="2"/>
      <c r="C209" s="28"/>
      <c r="G209" s="2"/>
      <c r="H209" s="2"/>
      <c r="I209" s="2"/>
      <c r="J209" s="2"/>
      <c r="K209" s="2"/>
      <c r="L209" s="2"/>
      <c r="M209" s="2"/>
      <c r="N209" s="2"/>
      <c r="S209" s="265"/>
      <c r="T209" s="133"/>
    </row>
    <row r="210" spans="1:20">
      <c r="A210" s="2"/>
      <c r="B210" s="2"/>
      <c r="C210" s="28"/>
      <c r="G210" s="2"/>
      <c r="H210" s="2"/>
      <c r="I210" s="2"/>
      <c r="J210" s="2"/>
      <c r="K210" s="2"/>
      <c r="L210" s="2"/>
      <c r="M210" s="2"/>
      <c r="N210" s="2"/>
      <c r="S210" s="267"/>
      <c r="T210" s="133"/>
    </row>
    <row r="211" spans="1:20">
      <c r="A211" s="2"/>
      <c r="B211" s="2"/>
      <c r="C211" s="28"/>
      <c r="G211" s="2"/>
      <c r="H211" s="2"/>
      <c r="I211" s="2"/>
      <c r="J211" s="2"/>
      <c r="K211" s="2"/>
      <c r="L211" s="2"/>
      <c r="M211" s="2"/>
      <c r="N211" s="2"/>
      <c r="S211" s="28"/>
      <c r="T211" s="133"/>
    </row>
    <row r="212" spans="1:20">
      <c r="A212" s="2"/>
      <c r="B212" s="2"/>
      <c r="C212" s="28"/>
      <c r="G212" s="2"/>
      <c r="H212" s="2"/>
      <c r="I212" s="2"/>
      <c r="J212" s="2"/>
      <c r="K212" s="2"/>
      <c r="L212" s="2"/>
      <c r="M212" s="2"/>
      <c r="N212" s="2"/>
      <c r="S212" s="28"/>
      <c r="T212" s="133"/>
    </row>
    <row r="213" spans="1:20">
      <c r="A213" s="2"/>
      <c r="B213" s="2"/>
      <c r="C213" s="28"/>
      <c r="G213" s="2"/>
      <c r="H213" s="2"/>
      <c r="I213" s="2"/>
      <c r="J213" s="2"/>
      <c r="K213" s="2"/>
      <c r="L213" s="2"/>
      <c r="M213" s="2"/>
      <c r="N213" s="2"/>
      <c r="S213" s="28"/>
      <c r="T213" s="133"/>
    </row>
    <row r="214" spans="1:20">
      <c r="A214" s="2"/>
      <c r="B214" s="2"/>
      <c r="C214" s="28"/>
      <c r="G214" s="2"/>
      <c r="H214" s="2"/>
      <c r="I214" s="2"/>
      <c r="J214" s="2"/>
      <c r="K214" s="2"/>
      <c r="L214" s="2"/>
      <c r="M214" s="2"/>
      <c r="N214" s="2"/>
      <c r="S214" s="28"/>
      <c r="T214" s="133"/>
    </row>
    <row r="215" spans="1:20">
      <c r="A215" s="2"/>
      <c r="B215" s="2"/>
      <c r="C215" s="28"/>
      <c r="G215" s="2"/>
      <c r="H215" s="2"/>
      <c r="I215" s="2"/>
      <c r="J215" s="2"/>
      <c r="K215" s="2"/>
      <c r="L215" s="2"/>
      <c r="M215" s="2"/>
      <c r="N215" s="2"/>
      <c r="S215" s="28"/>
      <c r="T215" s="133"/>
    </row>
    <row r="216" spans="1:20">
      <c r="A216" s="2"/>
      <c r="B216" s="2"/>
      <c r="C216" s="28"/>
      <c r="G216" s="2"/>
      <c r="H216" s="2"/>
      <c r="I216" s="2"/>
      <c r="J216" s="2"/>
      <c r="K216" s="2"/>
      <c r="L216" s="2"/>
      <c r="M216" s="2"/>
      <c r="N216" s="2"/>
      <c r="S216" s="28"/>
      <c r="T216" s="133"/>
    </row>
    <row r="217" spans="1:20">
      <c r="A217" s="2"/>
      <c r="B217" s="2"/>
      <c r="C217" s="28"/>
      <c r="G217" s="2"/>
      <c r="H217" s="2"/>
      <c r="I217" s="2"/>
      <c r="J217" s="2"/>
      <c r="K217" s="2"/>
      <c r="L217" s="2"/>
      <c r="M217" s="2"/>
      <c r="N217" s="2"/>
      <c r="S217" s="28"/>
      <c r="T217" s="133"/>
    </row>
    <row r="218" spans="1:20">
      <c r="A218" s="2"/>
      <c r="B218" s="2"/>
      <c r="C218" s="28"/>
      <c r="G218" s="2"/>
      <c r="H218" s="2"/>
      <c r="I218" s="2"/>
      <c r="J218" s="2"/>
      <c r="K218" s="2"/>
      <c r="L218" s="2"/>
      <c r="M218" s="2"/>
      <c r="N218" s="2"/>
      <c r="S218" s="28"/>
      <c r="T218" s="133"/>
    </row>
    <row r="219" spans="1:20">
      <c r="A219" s="2"/>
      <c r="B219" s="2"/>
      <c r="C219" s="28"/>
      <c r="G219" s="2"/>
      <c r="H219" s="2"/>
      <c r="I219" s="2"/>
      <c r="J219" s="2"/>
      <c r="K219" s="2"/>
      <c r="L219" s="2"/>
      <c r="M219" s="2"/>
      <c r="N219" s="2"/>
      <c r="S219" s="28"/>
      <c r="T219" s="133"/>
    </row>
    <row r="220" spans="1:20">
      <c r="A220" s="2"/>
      <c r="B220" s="2"/>
      <c r="C220" s="28"/>
      <c r="G220" s="2"/>
      <c r="H220" s="2"/>
      <c r="I220" s="2"/>
      <c r="J220" s="2"/>
      <c r="K220" s="2"/>
      <c r="L220" s="2"/>
      <c r="M220" s="2"/>
      <c r="N220" s="2"/>
      <c r="S220" s="28"/>
      <c r="T220" s="133"/>
    </row>
    <row r="221" spans="1:20">
      <c r="A221" s="2"/>
      <c r="B221" s="2"/>
      <c r="C221" s="28"/>
      <c r="G221" s="2"/>
      <c r="H221" s="2"/>
      <c r="I221" s="2"/>
      <c r="J221" s="2"/>
      <c r="K221" s="2"/>
      <c r="L221" s="2"/>
      <c r="M221" s="2"/>
      <c r="N221" s="2"/>
      <c r="S221" s="28"/>
      <c r="T221" s="133"/>
    </row>
    <row r="222" spans="1:20">
      <c r="A222" s="2"/>
      <c r="B222" s="2"/>
      <c r="C222" s="28"/>
      <c r="G222" s="2"/>
      <c r="H222" s="2"/>
      <c r="I222" s="2"/>
      <c r="J222" s="2"/>
      <c r="K222" s="2"/>
      <c r="L222" s="2"/>
      <c r="M222" s="2"/>
      <c r="N222" s="2"/>
      <c r="S222" s="28"/>
      <c r="T222" s="133"/>
    </row>
    <row r="223" spans="1:20">
      <c r="A223" s="2"/>
      <c r="B223" s="2"/>
      <c r="C223" s="28"/>
      <c r="G223" s="2"/>
      <c r="H223" s="2"/>
      <c r="I223" s="2"/>
      <c r="J223" s="2"/>
      <c r="K223" s="2"/>
      <c r="L223" s="2"/>
      <c r="M223" s="2"/>
      <c r="N223" s="2"/>
      <c r="S223" s="28"/>
      <c r="T223" s="133"/>
    </row>
    <row r="224" spans="1:20">
      <c r="A224" s="2"/>
      <c r="B224" s="2"/>
      <c r="C224" s="28"/>
      <c r="G224" s="2"/>
      <c r="H224" s="2"/>
      <c r="I224" s="2"/>
      <c r="J224" s="2"/>
      <c r="K224" s="2"/>
      <c r="L224" s="2"/>
      <c r="M224" s="2"/>
      <c r="N224" s="2"/>
      <c r="S224" s="28"/>
      <c r="T224" s="133"/>
    </row>
    <row r="225" spans="1:20">
      <c r="A225" s="2"/>
      <c r="B225" s="2"/>
      <c r="C225" s="28"/>
      <c r="G225" s="2"/>
      <c r="H225" s="2"/>
      <c r="I225" s="2"/>
      <c r="J225" s="2"/>
      <c r="K225" s="2"/>
      <c r="L225" s="2"/>
      <c r="M225" s="2"/>
      <c r="N225" s="2"/>
      <c r="S225" s="28"/>
      <c r="T225" s="133"/>
    </row>
    <row r="226" spans="1:20">
      <c r="A226" s="2"/>
      <c r="B226" s="2"/>
      <c r="C226" s="28"/>
      <c r="G226" s="2"/>
      <c r="H226" s="2"/>
      <c r="I226" s="2"/>
      <c r="J226" s="2"/>
      <c r="K226" s="2"/>
      <c r="L226" s="2"/>
      <c r="M226" s="2"/>
      <c r="N226" s="2"/>
      <c r="S226" s="28"/>
      <c r="T226" s="133"/>
    </row>
    <row r="227" spans="1:20">
      <c r="A227" s="2"/>
      <c r="B227" s="2"/>
      <c r="C227" s="28"/>
      <c r="G227" s="2"/>
      <c r="H227" s="2"/>
      <c r="I227" s="2"/>
      <c r="J227" s="2"/>
      <c r="K227" s="2"/>
      <c r="L227" s="2"/>
      <c r="M227" s="2"/>
      <c r="N227" s="2"/>
      <c r="S227" s="28"/>
      <c r="T227" s="133"/>
    </row>
    <row r="228" spans="1:20">
      <c r="A228" s="2"/>
      <c r="B228" s="2"/>
      <c r="C228" s="28"/>
      <c r="G228" s="2"/>
      <c r="H228" s="2"/>
      <c r="I228" s="2"/>
      <c r="J228" s="2"/>
      <c r="K228" s="2"/>
      <c r="L228" s="2"/>
      <c r="M228" s="2"/>
      <c r="N228" s="2"/>
      <c r="S228" s="28"/>
      <c r="T228" s="133"/>
    </row>
    <row r="229" spans="1:20">
      <c r="A229" s="2"/>
      <c r="B229" s="2"/>
      <c r="C229" s="28"/>
      <c r="G229" s="2"/>
      <c r="H229" s="2"/>
      <c r="I229" s="2"/>
      <c r="J229" s="2"/>
      <c r="K229" s="2"/>
      <c r="L229" s="2"/>
      <c r="M229" s="2"/>
      <c r="N229" s="2"/>
      <c r="S229" s="28"/>
      <c r="T229" s="133"/>
    </row>
    <row r="230" spans="1:20">
      <c r="A230" s="2"/>
      <c r="B230" s="2"/>
      <c r="C230" s="28"/>
      <c r="G230" s="2"/>
      <c r="H230" s="2"/>
      <c r="I230" s="2"/>
      <c r="J230" s="2"/>
      <c r="K230" s="2"/>
      <c r="L230" s="2"/>
      <c r="M230" s="2"/>
      <c r="N230" s="2"/>
      <c r="S230" s="28"/>
      <c r="T230" s="133"/>
    </row>
    <row r="231" spans="1:20">
      <c r="A231" s="2"/>
      <c r="B231" s="2"/>
      <c r="C231" s="28"/>
      <c r="G231" s="2"/>
      <c r="H231" s="2"/>
      <c r="I231" s="2"/>
      <c r="J231" s="2"/>
      <c r="K231" s="2"/>
      <c r="L231" s="2"/>
      <c r="M231" s="2"/>
      <c r="N231" s="2"/>
      <c r="S231" s="28"/>
      <c r="T231" s="133"/>
    </row>
    <row r="232" spans="1:20">
      <c r="A232" s="2"/>
      <c r="B232" s="2"/>
      <c r="C232" s="28"/>
      <c r="G232" s="2"/>
      <c r="H232" s="2"/>
      <c r="I232" s="2"/>
      <c r="J232" s="2"/>
      <c r="K232" s="2"/>
      <c r="L232" s="2"/>
      <c r="M232" s="2"/>
      <c r="N232" s="2"/>
      <c r="S232" s="28"/>
      <c r="T232" s="133"/>
    </row>
    <row r="233" spans="1:20">
      <c r="A233" s="2"/>
      <c r="B233" s="2"/>
      <c r="C233" s="28"/>
      <c r="G233" s="2"/>
      <c r="H233" s="2"/>
      <c r="I233" s="2"/>
      <c r="J233" s="2"/>
      <c r="K233" s="2"/>
      <c r="L233" s="2"/>
      <c r="M233" s="2"/>
      <c r="N233" s="2"/>
      <c r="S233" s="28"/>
      <c r="T233" s="133"/>
    </row>
    <row r="234" spans="1:20">
      <c r="A234" s="2"/>
      <c r="B234" s="2"/>
      <c r="C234" s="28"/>
      <c r="G234" s="2"/>
      <c r="H234" s="2"/>
      <c r="I234" s="2"/>
      <c r="J234" s="2"/>
      <c r="K234" s="2"/>
      <c r="L234" s="2"/>
      <c r="M234" s="2"/>
      <c r="N234" s="2"/>
      <c r="S234" s="28"/>
      <c r="T234" s="133"/>
    </row>
    <row r="235" spans="1:20">
      <c r="A235" s="2"/>
      <c r="B235" s="2"/>
      <c r="C235" s="28"/>
      <c r="G235" s="2"/>
      <c r="H235" s="2"/>
      <c r="I235" s="2"/>
      <c r="J235" s="2"/>
      <c r="K235" s="2"/>
      <c r="L235" s="2"/>
      <c r="M235" s="2"/>
      <c r="N235" s="2"/>
      <c r="S235" s="28"/>
      <c r="T235" s="133"/>
    </row>
    <row r="236" spans="1:20">
      <c r="A236" s="2"/>
      <c r="B236" s="2"/>
      <c r="C236" s="28"/>
      <c r="G236" s="2"/>
      <c r="H236" s="2"/>
      <c r="I236" s="2"/>
      <c r="J236" s="2"/>
      <c r="K236" s="2"/>
      <c r="L236" s="2"/>
      <c r="M236" s="2"/>
      <c r="N236" s="2"/>
      <c r="S236" s="28"/>
      <c r="T236" s="133"/>
    </row>
    <row r="237" spans="1:20">
      <c r="A237" s="2"/>
      <c r="B237" s="2"/>
      <c r="C237" s="28"/>
      <c r="G237" s="2"/>
      <c r="H237" s="2"/>
      <c r="I237" s="2"/>
      <c r="J237" s="2"/>
      <c r="K237" s="2"/>
      <c r="L237" s="2"/>
      <c r="M237" s="2"/>
      <c r="N237" s="2"/>
      <c r="S237" s="28"/>
      <c r="T237" s="133"/>
    </row>
    <row r="238" spans="1:20">
      <c r="A238" s="2"/>
      <c r="B238" s="2"/>
      <c r="C238" s="28"/>
      <c r="G238" s="2"/>
      <c r="H238" s="2"/>
      <c r="I238" s="2"/>
      <c r="J238" s="2"/>
      <c r="K238" s="2"/>
      <c r="L238" s="2"/>
      <c r="M238" s="2"/>
      <c r="N238" s="2"/>
      <c r="S238" s="28"/>
      <c r="T238" s="133"/>
    </row>
    <row r="239" spans="1:20">
      <c r="A239" s="2"/>
      <c r="B239" s="2"/>
      <c r="C239" s="28"/>
      <c r="G239" s="2"/>
      <c r="H239" s="2"/>
      <c r="I239" s="2"/>
      <c r="J239" s="2"/>
      <c r="K239" s="2"/>
      <c r="L239" s="2"/>
      <c r="M239" s="2"/>
      <c r="N239" s="2"/>
      <c r="S239" s="28"/>
      <c r="T239" s="133"/>
    </row>
    <row r="240" spans="1:20">
      <c r="A240" s="2"/>
      <c r="B240" s="2"/>
      <c r="C240" s="28"/>
      <c r="G240" s="2"/>
      <c r="H240" s="2"/>
      <c r="I240" s="2"/>
      <c r="J240" s="2"/>
      <c r="K240" s="2"/>
      <c r="L240" s="2"/>
      <c r="M240" s="2"/>
      <c r="N240" s="2"/>
      <c r="S240" s="28"/>
      <c r="T240" s="133"/>
    </row>
    <row r="241" spans="1:20">
      <c r="A241" s="2"/>
      <c r="B241" s="2"/>
      <c r="C241" s="28"/>
      <c r="G241" s="2"/>
      <c r="H241" s="2"/>
      <c r="I241" s="2"/>
      <c r="J241" s="2"/>
      <c r="K241" s="2"/>
      <c r="L241" s="2"/>
      <c r="M241" s="2"/>
      <c r="N241" s="2"/>
      <c r="S241" s="28"/>
      <c r="T241" s="133"/>
    </row>
    <row r="242" spans="1:20">
      <c r="A242" s="2"/>
      <c r="B242" s="2"/>
      <c r="C242" s="28"/>
      <c r="G242" s="2"/>
      <c r="H242" s="2"/>
      <c r="I242" s="2"/>
      <c r="J242" s="2"/>
      <c r="K242" s="2"/>
      <c r="L242" s="2"/>
      <c r="M242" s="2"/>
      <c r="N242" s="2"/>
      <c r="S242" s="28"/>
      <c r="T242" s="133"/>
    </row>
    <row r="243" spans="1:20">
      <c r="A243" s="2"/>
      <c r="B243" s="2"/>
      <c r="C243" s="28"/>
      <c r="G243" s="2"/>
      <c r="H243" s="2"/>
      <c r="I243" s="2"/>
      <c r="J243" s="2"/>
      <c r="K243" s="2"/>
      <c r="L243" s="2"/>
      <c r="M243" s="2"/>
      <c r="N243" s="2"/>
      <c r="S243" s="28"/>
      <c r="T243" s="133"/>
    </row>
    <row r="244" spans="1:20">
      <c r="A244" s="2"/>
      <c r="B244" s="2"/>
      <c r="C244" s="28"/>
      <c r="G244" s="2"/>
      <c r="H244" s="2"/>
      <c r="I244" s="2"/>
      <c r="J244" s="2"/>
      <c r="K244" s="2"/>
      <c r="L244" s="2"/>
      <c r="M244" s="2"/>
      <c r="N244" s="2"/>
      <c r="S244" s="28"/>
      <c r="T244" s="133"/>
    </row>
    <row r="245" spans="1:20">
      <c r="A245" s="2"/>
      <c r="B245" s="2"/>
      <c r="C245" s="28"/>
      <c r="G245" s="2"/>
      <c r="H245" s="2"/>
      <c r="I245" s="2"/>
      <c r="J245" s="2"/>
      <c r="K245" s="2"/>
      <c r="L245" s="2"/>
      <c r="M245" s="2"/>
      <c r="N245" s="2"/>
      <c r="S245" s="28"/>
      <c r="T245" s="133"/>
    </row>
    <row r="246" spans="1:20">
      <c r="A246" s="2"/>
      <c r="B246" s="2"/>
      <c r="C246" s="28"/>
      <c r="G246" s="2"/>
      <c r="H246" s="2"/>
      <c r="I246" s="2"/>
      <c r="J246" s="2"/>
      <c r="K246" s="2"/>
      <c r="L246" s="2"/>
      <c r="M246" s="2"/>
      <c r="N246" s="2"/>
      <c r="S246" s="28"/>
      <c r="T246" s="133"/>
    </row>
    <row r="247" spans="1:20">
      <c r="A247" s="2"/>
      <c r="B247" s="2"/>
      <c r="C247" s="28"/>
      <c r="G247" s="2"/>
      <c r="H247" s="2"/>
      <c r="I247" s="2"/>
      <c r="J247" s="2"/>
      <c r="K247" s="2"/>
      <c r="L247" s="2"/>
      <c r="M247" s="2"/>
      <c r="N247" s="2"/>
      <c r="S247" s="28"/>
      <c r="T247" s="133"/>
    </row>
    <row r="248" spans="1:20">
      <c r="A248" s="2"/>
      <c r="B248" s="2"/>
      <c r="C248" s="28"/>
      <c r="G248" s="2"/>
      <c r="H248" s="2"/>
      <c r="I248" s="2"/>
      <c r="J248" s="2"/>
      <c r="K248" s="2"/>
      <c r="L248" s="2"/>
      <c r="M248" s="2"/>
      <c r="N248" s="2"/>
      <c r="S248" s="28"/>
      <c r="T248" s="133"/>
    </row>
    <row r="249" spans="1:20">
      <c r="A249" s="2"/>
      <c r="B249" s="2"/>
      <c r="C249" s="28"/>
      <c r="G249" s="2"/>
      <c r="H249" s="2"/>
      <c r="I249" s="2"/>
      <c r="J249" s="2"/>
      <c r="K249" s="2"/>
      <c r="L249" s="2"/>
      <c r="M249" s="2"/>
      <c r="N249" s="2"/>
      <c r="S249" s="28"/>
      <c r="T249" s="133"/>
    </row>
    <row r="250" spans="1:20">
      <c r="A250" s="2"/>
      <c r="B250" s="2"/>
      <c r="C250" s="28"/>
      <c r="G250" s="2"/>
      <c r="H250" s="2"/>
      <c r="I250" s="2"/>
      <c r="J250" s="2"/>
      <c r="K250" s="2"/>
      <c r="L250" s="2"/>
      <c r="M250" s="2"/>
      <c r="N250" s="2"/>
      <c r="S250" s="28"/>
      <c r="T250" s="133"/>
    </row>
    <row r="251" spans="1:20">
      <c r="A251" s="2"/>
      <c r="B251" s="2"/>
      <c r="C251" s="28"/>
      <c r="G251" s="2"/>
      <c r="H251" s="2"/>
      <c r="I251" s="2"/>
      <c r="J251" s="2"/>
      <c r="K251" s="2"/>
      <c r="L251" s="2"/>
      <c r="M251" s="2"/>
      <c r="N251" s="2"/>
      <c r="S251" s="28"/>
      <c r="T251" s="133"/>
    </row>
    <row r="252" spans="1:20">
      <c r="A252" s="2"/>
      <c r="B252" s="2"/>
      <c r="C252" s="28"/>
      <c r="G252" s="2"/>
      <c r="H252" s="2"/>
      <c r="I252" s="2"/>
      <c r="J252" s="2"/>
      <c r="K252" s="2"/>
      <c r="L252" s="2"/>
      <c r="M252" s="2"/>
      <c r="N252" s="2"/>
      <c r="S252" s="28"/>
      <c r="T252" s="133"/>
    </row>
    <row r="253" spans="1:20">
      <c r="A253" s="2"/>
      <c r="B253" s="2"/>
      <c r="C253" s="28"/>
      <c r="G253" s="2"/>
      <c r="H253" s="2"/>
      <c r="I253" s="2"/>
      <c r="J253" s="2"/>
      <c r="K253" s="2"/>
      <c r="L253" s="2"/>
      <c r="M253" s="2"/>
      <c r="N253" s="2"/>
      <c r="S253" s="28"/>
      <c r="T253" s="133"/>
    </row>
    <row r="254" spans="1:20">
      <c r="A254" s="2"/>
      <c r="B254" s="2"/>
      <c r="C254" s="28"/>
      <c r="G254" s="2"/>
      <c r="H254" s="2"/>
      <c r="I254" s="2"/>
      <c r="J254" s="2"/>
      <c r="K254" s="2"/>
      <c r="L254" s="2"/>
      <c r="M254" s="2"/>
      <c r="N254" s="2"/>
      <c r="S254" s="28"/>
      <c r="T254" s="133"/>
    </row>
    <row r="255" spans="1:20">
      <c r="A255" s="2"/>
      <c r="B255" s="2"/>
      <c r="C255" s="28"/>
      <c r="G255" s="2"/>
      <c r="H255" s="2"/>
      <c r="I255" s="2"/>
      <c r="J255" s="2"/>
      <c r="K255" s="2"/>
      <c r="L255" s="2"/>
      <c r="M255" s="2"/>
      <c r="N255" s="2"/>
      <c r="S255" s="28"/>
      <c r="T255" s="133"/>
    </row>
    <row r="256" spans="1:20">
      <c r="A256" s="2"/>
      <c r="B256" s="2"/>
      <c r="C256" s="28"/>
      <c r="G256" s="2"/>
      <c r="H256" s="2"/>
      <c r="I256" s="2"/>
      <c r="J256" s="2"/>
      <c r="K256" s="2"/>
      <c r="L256" s="2"/>
      <c r="M256" s="2"/>
      <c r="N256" s="2"/>
      <c r="S256" s="28"/>
      <c r="T256" s="133"/>
    </row>
    <row r="257" spans="1:20">
      <c r="A257" s="2"/>
      <c r="B257" s="2"/>
      <c r="C257" s="28"/>
      <c r="G257" s="2"/>
      <c r="H257" s="2"/>
      <c r="I257" s="2"/>
      <c r="J257" s="2"/>
      <c r="K257" s="2"/>
      <c r="L257" s="2"/>
      <c r="M257" s="2"/>
      <c r="N257" s="2"/>
      <c r="S257" s="28"/>
      <c r="T257" s="133"/>
    </row>
    <row r="258" spans="1:20">
      <c r="A258" s="2"/>
      <c r="B258" s="2"/>
      <c r="C258" s="28"/>
      <c r="G258" s="2"/>
      <c r="H258" s="2"/>
      <c r="I258" s="2"/>
      <c r="J258" s="2"/>
      <c r="K258" s="2"/>
      <c r="L258" s="2"/>
      <c r="M258" s="2"/>
      <c r="N258" s="2"/>
      <c r="S258" s="28"/>
      <c r="T258" s="133"/>
    </row>
    <row r="259" spans="1:20">
      <c r="A259" s="2"/>
      <c r="B259" s="2"/>
      <c r="C259" s="28"/>
      <c r="G259" s="2"/>
      <c r="H259" s="2"/>
      <c r="I259" s="2"/>
      <c r="J259" s="2"/>
      <c r="K259" s="2"/>
      <c r="L259" s="2"/>
      <c r="M259" s="2"/>
      <c r="N259" s="2"/>
      <c r="S259" s="28"/>
      <c r="T259" s="133"/>
    </row>
    <row r="260" spans="1:20">
      <c r="A260" s="2"/>
      <c r="B260" s="2"/>
      <c r="C260" s="28"/>
      <c r="G260" s="2"/>
      <c r="H260" s="2"/>
      <c r="I260" s="2"/>
      <c r="J260" s="2"/>
      <c r="K260" s="2"/>
      <c r="L260" s="2"/>
      <c r="M260" s="2"/>
      <c r="N260" s="2"/>
      <c r="S260" s="28"/>
      <c r="T260" s="133"/>
    </row>
    <row r="261" spans="1:20">
      <c r="A261" s="2"/>
      <c r="B261" s="2"/>
      <c r="C261" s="28"/>
      <c r="G261" s="2"/>
      <c r="H261" s="2"/>
      <c r="I261" s="2"/>
      <c r="J261" s="2"/>
      <c r="K261" s="2"/>
      <c r="L261" s="2"/>
      <c r="M261" s="2"/>
      <c r="N261" s="2"/>
      <c r="S261" s="28"/>
      <c r="T261" s="133"/>
    </row>
    <row r="262" spans="1:20">
      <c r="A262" s="2"/>
      <c r="B262" s="2"/>
      <c r="C262" s="28"/>
      <c r="G262" s="2"/>
      <c r="H262" s="2"/>
      <c r="I262" s="2"/>
      <c r="J262" s="2"/>
      <c r="K262" s="2"/>
      <c r="L262" s="2"/>
      <c r="M262" s="2"/>
      <c r="N262" s="2"/>
      <c r="S262" s="28"/>
      <c r="T262" s="133"/>
    </row>
    <row r="263" spans="1:20">
      <c r="A263" s="2"/>
      <c r="B263" s="2"/>
      <c r="C263" s="28"/>
      <c r="G263" s="2"/>
      <c r="H263" s="2"/>
      <c r="I263" s="2"/>
      <c r="J263" s="2"/>
      <c r="K263" s="2"/>
      <c r="L263" s="2"/>
      <c r="M263" s="2"/>
      <c r="N263" s="2"/>
      <c r="S263" s="28"/>
      <c r="T263" s="133"/>
    </row>
    <row r="264" spans="1:20">
      <c r="A264" s="2"/>
      <c r="B264" s="2"/>
      <c r="C264" s="28"/>
      <c r="G264" s="2"/>
      <c r="H264" s="2"/>
      <c r="I264" s="2"/>
      <c r="J264" s="2"/>
      <c r="K264" s="2"/>
      <c r="L264" s="2"/>
      <c r="M264" s="2"/>
      <c r="N264" s="2"/>
      <c r="S264" s="28"/>
      <c r="T264" s="133"/>
    </row>
    <row r="265" spans="1:20">
      <c r="A265" s="2"/>
      <c r="B265" s="2"/>
      <c r="C265" s="28"/>
      <c r="G265" s="2"/>
      <c r="H265" s="2"/>
      <c r="I265" s="2"/>
      <c r="J265" s="2"/>
      <c r="K265" s="2"/>
      <c r="L265" s="2"/>
      <c r="M265" s="2"/>
      <c r="N265" s="2"/>
      <c r="S265" s="28"/>
      <c r="T265" s="133"/>
    </row>
    <row r="266" spans="1:20">
      <c r="A266" s="2"/>
      <c r="B266" s="2"/>
      <c r="C266" s="28"/>
      <c r="G266" s="2"/>
      <c r="H266" s="2"/>
      <c r="I266" s="2"/>
      <c r="J266" s="2"/>
      <c r="K266" s="2"/>
      <c r="L266" s="2"/>
      <c r="M266" s="2"/>
      <c r="N266" s="2"/>
      <c r="S266" s="28"/>
      <c r="T266" s="133"/>
    </row>
    <row r="267" spans="1:20">
      <c r="A267" s="2"/>
      <c r="B267" s="2"/>
      <c r="C267" s="28"/>
      <c r="G267" s="2"/>
      <c r="H267" s="2"/>
      <c r="I267" s="2"/>
      <c r="J267" s="2"/>
      <c r="K267" s="2"/>
      <c r="L267" s="2"/>
      <c r="M267" s="2"/>
      <c r="N267" s="2"/>
      <c r="S267" s="28"/>
      <c r="T267" s="133"/>
    </row>
    <row r="268" spans="1:20">
      <c r="A268" s="2"/>
      <c r="B268" s="2"/>
      <c r="C268" s="28"/>
      <c r="G268" s="2"/>
      <c r="H268" s="2"/>
      <c r="I268" s="2"/>
      <c r="J268" s="2"/>
      <c r="K268" s="2"/>
      <c r="L268" s="2"/>
      <c r="M268" s="2"/>
      <c r="N268" s="2"/>
      <c r="S268" s="28"/>
      <c r="T268" s="133"/>
    </row>
    <row r="269" spans="1:20">
      <c r="A269" s="2"/>
      <c r="B269" s="2"/>
      <c r="C269" s="28"/>
      <c r="G269" s="2"/>
      <c r="H269" s="2"/>
      <c r="I269" s="2"/>
      <c r="J269" s="2"/>
      <c r="K269" s="2"/>
      <c r="L269" s="2"/>
      <c r="M269" s="2"/>
      <c r="N269" s="2"/>
      <c r="S269" s="28"/>
      <c r="T269" s="133"/>
    </row>
    <row r="270" spans="1:20">
      <c r="A270" s="2"/>
      <c r="B270" s="2"/>
      <c r="C270" s="28"/>
      <c r="G270" s="2"/>
      <c r="H270" s="2"/>
      <c r="I270" s="2"/>
      <c r="J270" s="2"/>
      <c r="K270" s="2"/>
      <c r="L270" s="2"/>
      <c r="M270" s="2"/>
      <c r="N270" s="2"/>
      <c r="S270" s="28"/>
      <c r="T270" s="133"/>
    </row>
    <row r="271" spans="1:20">
      <c r="A271" s="2"/>
      <c r="B271" s="2"/>
      <c r="C271" s="28"/>
      <c r="G271" s="2"/>
      <c r="H271" s="2"/>
      <c r="I271" s="2"/>
      <c r="J271" s="2"/>
      <c r="K271" s="2"/>
      <c r="L271" s="2"/>
      <c r="M271" s="2"/>
      <c r="N271" s="2"/>
      <c r="S271" s="28"/>
      <c r="T271" s="133"/>
    </row>
    <row r="272" spans="1:20">
      <c r="A272" s="2"/>
      <c r="B272" s="2"/>
      <c r="C272" s="28"/>
      <c r="G272" s="2"/>
      <c r="H272" s="2"/>
      <c r="I272" s="2"/>
      <c r="J272" s="2"/>
      <c r="K272" s="2"/>
      <c r="L272" s="2"/>
      <c r="M272" s="2"/>
      <c r="N272" s="2"/>
      <c r="S272" s="28"/>
      <c r="T272" s="133"/>
    </row>
    <row r="273" spans="1:20">
      <c r="A273" s="2"/>
      <c r="B273" s="2"/>
      <c r="C273" s="28"/>
      <c r="G273" s="2"/>
      <c r="H273" s="2"/>
      <c r="I273" s="2"/>
      <c r="J273" s="2"/>
      <c r="K273" s="2"/>
      <c r="L273" s="2"/>
      <c r="M273" s="2"/>
      <c r="N273" s="2"/>
      <c r="S273" s="28"/>
      <c r="T273" s="133"/>
    </row>
    <row r="274" spans="1:20">
      <c r="A274" s="2"/>
      <c r="B274" s="2"/>
      <c r="C274" s="28"/>
      <c r="G274" s="2"/>
      <c r="H274" s="2"/>
      <c r="I274" s="2"/>
      <c r="J274" s="2"/>
      <c r="K274" s="2"/>
      <c r="L274" s="2"/>
      <c r="M274" s="2"/>
      <c r="N274" s="2"/>
      <c r="S274" s="28"/>
      <c r="T274" s="133"/>
    </row>
    <row r="275" spans="1:20">
      <c r="A275" s="2"/>
      <c r="B275" s="2"/>
      <c r="C275" s="28"/>
      <c r="G275" s="2"/>
      <c r="H275" s="2"/>
      <c r="I275" s="2"/>
      <c r="J275" s="2"/>
      <c r="K275" s="2"/>
      <c r="L275" s="2"/>
      <c r="M275" s="2"/>
      <c r="N275" s="2"/>
      <c r="S275" s="28"/>
      <c r="T275" s="133"/>
    </row>
    <row r="276" spans="1:20">
      <c r="A276" s="2"/>
      <c r="B276" s="2"/>
      <c r="C276" s="28"/>
      <c r="G276" s="2"/>
      <c r="H276" s="2"/>
      <c r="I276" s="2"/>
      <c r="J276" s="2"/>
      <c r="K276" s="2"/>
      <c r="L276" s="2"/>
      <c r="M276" s="2"/>
      <c r="N276" s="2"/>
      <c r="S276" s="28"/>
      <c r="T276" s="133"/>
    </row>
    <row r="277" spans="1:20">
      <c r="A277" s="2"/>
      <c r="B277" s="2"/>
      <c r="C277" s="28"/>
      <c r="G277" s="2"/>
      <c r="H277" s="2"/>
      <c r="I277" s="2"/>
      <c r="J277" s="2"/>
      <c r="K277" s="2"/>
      <c r="L277" s="2"/>
      <c r="M277" s="2"/>
      <c r="N277" s="2"/>
      <c r="S277" s="28"/>
      <c r="T277" s="133"/>
    </row>
    <row r="278" spans="1:20">
      <c r="A278" s="2"/>
      <c r="B278" s="2"/>
      <c r="C278" s="28"/>
      <c r="G278" s="2"/>
      <c r="H278" s="2"/>
      <c r="I278" s="2"/>
      <c r="J278" s="2"/>
      <c r="K278" s="2"/>
      <c r="L278" s="2"/>
      <c r="M278" s="2"/>
      <c r="N278" s="2"/>
      <c r="S278" s="28"/>
      <c r="T278" s="133"/>
    </row>
    <row r="279" spans="1:20">
      <c r="A279" s="2"/>
      <c r="B279" s="2"/>
      <c r="C279" s="28"/>
      <c r="G279" s="2"/>
      <c r="H279" s="2"/>
      <c r="I279" s="2"/>
      <c r="J279" s="2"/>
      <c r="K279" s="2"/>
      <c r="L279" s="2"/>
      <c r="M279" s="2"/>
      <c r="N279" s="2"/>
      <c r="S279" s="28"/>
      <c r="T279" s="133"/>
    </row>
    <row r="280" spans="1:20">
      <c r="A280" s="2"/>
      <c r="B280" s="2"/>
      <c r="C280" s="28"/>
      <c r="G280" s="2"/>
      <c r="H280" s="2"/>
      <c r="I280" s="2"/>
      <c r="J280" s="2"/>
      <c r="K280" s="2"/>
      <c r="L280" s="2"/>
      <c r="M280" s="2"/>
      <c r="N280" s="2"/>
      <c r="S280" s="28"/>
      <c r="T280" s="133"/>
    </row>
    <row r="281" spans="1:20">
      <c r="A281" s="2"/>
      <c r="B281" s="2"/>
      <c r="C281" s="28"/>
      <c r="G281" s="2"/>
      <c r="H281" s="2"/>
      <c r="I281" s="2"/>
      <c r="J281" s="2"/>
      <c r="K281" s="2"/>
      <c r="L281" s="2"/>
      <c r="M281" s="2"/>
      <c r="N281" s="2"/>
      <c r="S281" s="28"/>
      <c r="T281" s="133"/>
    </row>
    <row r="282" spans="1:20">
      <c r="A282" s="2"/>
      <c r="B282" s="2"/>
      <c r="C282" s="28"/>
      <c r="G282" s="2"/>
      <c r="H282" s="2"/>
      <c r="I282" s="2"/>
      <c r="J282" s="2"/>
      <c r="K282" s="2"/>
      <c r="L282" s="2"/>
      <c r="M282" s="2"/>
      <c r="N282" s="2"/>
      <c r="S282" s="28"/>
      <c r="T282" s="133"/>
    </row>
    <row r="283" spans="1:20">
      <c r="A283" s="2"/>
      <c r="B283" s="2"/>
      <c r="C283" s="28"/>
      <c r="G283" s="2"/>
      <c r="H283" s="2"/>
      <c r="I283" s="2"/>
      <c r="J283" s="2"/>
      <c r="K283" s="2"/>
      <c r="L283" s="2"/>
      <c r="M283" s="2"/>
      <c r="N283" s="2"/>
      <c r="S283" s="28"/>
      <c r="T283" s="133"/>
    </row>
    <row r="284" spans="1:20">
      <c r="A284" s="2"/>
      <c r="B284" s="2"/>
      <c r="C284" s="28"/>
      <c r="G284" s="2"/>
      <c r="H284" s="2"/>
      <c r="I284" s="2"/>
      <c r="J284" s="2"/>
      <c r="K284" s="2"/>
      <c r="L284" s="2"/>
      <c r="M284" s="2"/>
      <c r="N284" s="2"/>
      <c r="S284" s="28"/>
      <c r="T284" s="133"/>
    </row>
    <row r="285" spans="1:20">
      <c r="A285" s="2"/>
      <c r="B285" s="2"/>
      <c r="C285" s="28"/>
      <c r="G285" s="2"/>
      <c r="H285" s="2"/>
      <c r="I285" s="2"/>
      <c r="J285" s="2"/>
      <c r="K285" s="2"/>
      <c r="L285" s="2"/>
      <c r="M285" s="2"/>
      <c r="N285" s="2"/>
      <c r="S285" s="28"/>
      <c r="T285" s="133"/>
    </row>
    <row r="286" spans="1:20">
      <c r="A286" s="2"/>
      <c r="B286" s="2"/>
      <c r="C286" s="28"/>
      <c r="G286" s="2"/>
      <c r="H286" s="2"/>
      <c r="I286" s="2"/>
      <c r="J286" s="2"/>
      <c r="K286" s="2"/>
      <c r="L286" s="2"/>
      <c r="M286" s="2"/>
      <c r="N286" s="2"/>
      <c r="S286" s="28"/>
      <c r="T286" s="133"/>
    </row>
    <row r="287" spans="1:20">
      <c r="A287" s="2"/>
      <c r="B287" s="2"/>
      <c r="C287" s="28"/>
      <c r="G287" s="2"/>
      <c r="H287" s="2"/>
      <c r="I287" s="2"/>
      <c r="J287" s="2"/>
      <c r="K287" s="2"/>
      <c r="L287" s="2"/>
      <c r="M287" s="2"/>
      <c r="N287" s="2"/>
      <c r="S287" s="28"/>
      <c r="T287" s="133"/>
    </row>
    <row r="288" spans="1:20">
      <c r="A288" s="2"/>
      <c r="B288" s="2"/>
      <c r="C288" s="28"/>
      <c r="G288" s="2"/>
      <c r="H288" s="2"/>
      <c r="I288" s="2"/>
      <c r="J288" s="2"/>
      <c r="K288" s="2"/>
      <c r="L288" s="2"/>
      <c r="M288" s="2"/>
      <c r="N288" s="2"/>
      <c r="S288" s="28"/>
      <c r="T288" s="133"/>
    </row>
    <row r="289" spans="1:20">
      <c r="A289" s="2"/>
      <c r="B289" s="2"/>
      <c r="C289" s="28"/>
      <c r="G289" s="2"/>
      <c r="H289" s="2"/>
      <c r="I289" s="2"/>
      <c r="J289" s="2"/>
      <c r="K289" s="2"/>
      <c r="L289" s="2"/>
      <c r="M289" s="2"/>
      <c r="N289" s="2"/>
      <c r="S289" s="28"/>
      <c r="T289" s="133"/>
    </row>
    <row r="290" spans="1:20">
      <c r="A290" s="2"/>
      <c r="B290" s="2"/>
      <c r="C290" s="28"/>
      <c r="G290" s="2"/>
      <c r="H290" s="2"/>
      <c r="I290" s="2"/>
      <c r="J290" s="2"/>
      <c r="K290" s="2"/>
      <c r="L290" s="2"/>
      <c r="M290" s="2"/>
      <c r="N290" s="2"/>
      <c r="S290" s="28"/>
      <c r="T290" s="133"/>
    </row>
    <row r="291" spans="1:20">
      <c r="A291" s="2"/>
      <c r="B291" s="2"/>
      <c r="C291" s="28"/>
      <c r="G291" s="2"/>
      <c r="H291" s="2"/>
      <c r="I291" s="2"/>
      <c r="J291" s="2"/>
      <c r="K291" s="2"/>
      <c r="L291" s="2"/>
      <c r="M291" s="2"/>
      <c r="N291" s="2"/>
      <c r="S291" s="28"/>
      <c r="T291" s="133"/>
    </row>
    <row r="292" spans="1:20">
      <c r="A292" s="2"/>
      <c r="B292" s="2"/>
      <c r="C292" s="28"/>
      <c r="G292" s="2"/>
      <c r="H292" s="2"/>
      <c r="I292" s="2"/>
      <c r="J292" s="2"/>
      <c r="K292" s="2"/>
      <c r="L292" s="2"/>
      <c r="M292" s="2"/>
      <c r="N292" s="2"/>
      <c r="S292" s="28"/>
      <c r="T292" s="133"/>
    </row>
    <row r="293" spans="1:20">
      <c r="A293" s="2"/>
      <c r="B293" s="2"/>
      <c r="C293" s="28"/>
      <c r="G293" s="2"/>
      <c r="H293" s="2"/>
      <c r="I293" s="2"/>
      <c r="J293" s="2"/>
      <c r="K293" s="2"/>
      <c r="L293" s="2"/>
      <c r="M293" s="2"/>
      <c r="N293" s="2"/>
      <c r="S293" s="28"/>
      <c r="T293" s="133"/>
    </row>
    <row r="294" spans="1:20">
      <c r="A294" s="2"/>
      <c r="B294" s="2"/>
      <c r="C294" s="28"/>
      <c r="G294" s="2"/>
      <c r="H294" s="2"/>
      <c r="I294" s="2"/>
      <c r="J294" s="2"/>
      <c r="K294" s="2"/>
      <c r="L294" s="2"/>
      <c r="M294" s="2"/>
      <c r="N294" s="2"/>
      <c r="S294" s="28"/>
      <c r="T294" s="133"/>
    </row>
    <row r="295" spans="1:20">
      <c r="A295" s="2"/>
      <c r="B295" s="2"/>
      <c r="C295" s="28"/>
      <c r="G295" s="2"/>
      <c r="H295" s="2"/>
      <c r="I295" s="2"/>
      <c r="J295" s="2"/>
      <c r="K295" s="2"/>
      <c r="L295" s="2"/>
      <c r="M295" s="2"/>
      <c r="N295" s="2"/>
      <c r="S295" s="28"/>
      <c r="T295" s="133"/>
    </row>
    <row r="296" spans="1:20">
      <c r="A296" s="2"/>
      <c r="B296" s="2"/>
      <c r="C296" s="28"/>
      <c r="G296" s="2"/>
      <c r="H296" s="2"/>
      <c r="I296" s="2"/>
      <c r="J296" s="2"/>
      <c r="K296" s="2"/>
      <c r="L296" s="2"/>
      <c r="M296" s="2"/>
      <c r="N296" s="2"/>
      <c r="S296" s="28"/>
      <c r="T296" s="133"/>
    </row>
    <row r="297" spans="1:20">
      <c r="A297" s="2"/>
      <c r="B297" s="2"/>
      <c r="C297" s="28"/>
      <c r="G297" s="2"/>
      <c r="H297" s="2"/>
      <c r="I297" s="2"/>
      <c r="J297" s="2"/>
      <c r="K297" s="2"/>
      <c r="L297" s="2"/>
      <c r="M297" s="2"/>
      <c r="N297" s="2"/>
      <c r="S297" s="28"/>
      <c r="T297" s="133"/>
    </row>
    <row r="298" spans="1:20">
      <c r="A298" s="2"/>
      <c r="B298" s="2"/>
      <c r="C298" s="28"/>
      <c r="G298" s="2"/>
      <c r="H298" s="2"/>
      <c r="I298" s="2"/>
      <c r="J298" s="2"/>
      <c r="K298" s="2"/>
      <c r="L298" s="2"/>
      <c r="M298" s="2"/>
      <c r="N298" s="2"/>
      <c r="S298" s="28"/>
      <c r="T298" s="133"/>
    </row>
    <row r="299" spans="1:20">
      <c r="A299" s="2"/>
      <c r="B299" s="2"/>
      <c r="C299" s="28"/>
      <c r="G299" s="2"/>
      <c r="H299" s="2"/>
      <c r="I299" s="2"/>
      <c r="J299" s="2"/>
      <c r="K299" s="2"/>
      <c r="L299" s="2"/>
      <c r="M299" s="2"/>
      <c r="N299" s="2"/>
      <c r="S299" s="28"/>
      <c r="T299" s="133"/>
    </row>
    <row r="300" spans="1:20">
      <c r="A300" s="2"/>
      <c r="B300" s="2"/>
      <c r="C300" s="28"/>
      <c r="G300" s="2"/>
      <c r="H300" s="2"/>
      <c r="I300" s="2"/>
      <c r="J300" s="2"/>
      <c r="K300" s="2"/>
      <c r="L300" s="2"/>
      <c r="M300" s="2"/>
      <c r="N300" s="2"/>
      <c r="S300" s="28"/>
      <c r="T300" s="133"/>
    </row>
    <row r="301" spans="1:20">
      <c r="A301" s="2"/>
      <c r="B301" s="2"/>
      <c r="C301" s="28"/>
      <c r="G301" s="2"/>
      <c r="H301" s="2"/>
      <c r="I301" s="2"/>
      <c r="J301" s="2"/>
      <c r="K301" s="2"/>
      <c r="L301" s="2"/>
      <c r="M301" s="2"/>
      <c r="N301" s="2"/>
      <c r="S301" s="28"/>
      <c r="T301" s="133"/>
    </row>
    <row r="302" spans="1:20">
      <c r="A302" s="2"/>
      <c r="B302" s="2"/>
      <c r="C302" s="28"/>
      <c r="G302" s="2"/>
      <c r="H302" s="2"/>
      <c r="I302" s="2"/>
      <c r="J302" s="2"/>
      <c r="K302" s="2"/>
      <c r="L302" s="2"/>
      <c r="M302" s="2"/>
      <c r="N302" s="2"/>
      <c r="S302" s="28"/>
      <c r="T302" s="133"/>
    </row>
    <row r="303" spans="1:20">
      <c r="A303" s="2"/>
      <c r="B303" s="2"/>
      <c r="C303" s="28"/>
      <c r="G303" s="2"/>
      <c r="H303" s="2"/>
      <c r="I303" s="2"/>
      <c r="J303" s="2"/>
      <c r="K303" s="2"/>
      <c r="L303" s="2"/>
      <c r="M303" s="2"/>
      <c r="N303" s="2"/>
      <c r="S303" s="28"/>
      <c r="T303" s="133"/>
    </row>
    <row r="304" spans="1:20">
      <c r="A304" s="2"/>
      <c r="B304" s="2"/>
      <c r="C304" s="28"/>
      <c r="G304" s="2"/>
      <c r="H304" s="2"/>
      <c r="I304" s="2"/>
      <c r="J304" s="2"/>
      <c r="K304" s="2"/>
      <c r="L304" s="2"/>
      <c r="M304" s="2"/>
      <c r="N304" s="2"/>
      <c r="S304" s="28"/>
      <c r="T304" s="133"/>
    </row>
    <row r="305" spans="1:20">
      <c r="A305" s="2"/>
      <c r="B305" s="2"/>
      <c r="C305" s="28"/>
      <c r="G305" s="2"/>
      <c r="H305" s="2"/>
      <c r="I305" s="2"/>
      <c r="J305" s="2"/>
      <c r="K305" s="2"/>
      <c r="L305" s="2"/>
      <c r="M305" s="2"/>
      <c r="N305" s="2"/>
      <c r="S305" s="28"/>
      <c r="T305" s="133"/>
    </row>
    <row r="306" spans="1:20">
      <c r="A306" s="2"/>
      <c r="B306" s="2"/>
      <c r="C306" s="28"/>
      <c r="G306" s="2"/>
      <c r="H306" s="2"/>
      <c r="I306" s="2"/>
      <c r="J306" s="2"/>
      <c r="K306" s="2"/>
      <c r="L306" s="2"/>
      <c r="M306" s="2"/>
      <c r="N306" s="2"/>
      <c r="S306" s="28"/>
      <c r="T306" s="133"/>
    </row>
    <row r="307" spans="1:20">
      <c r="A307" s="2"/>
      <c r="B307" s="2"/>
      <c r="C307" s="28"/>
      <c r="G307" s="2"/>
      <c r="H307" s="2"/>
      <c r="I307" s="2"/>
      <c r="J307" s="2"/>
      <c r="K307" s="2"/>
      <c r="L307" s="2"/>
      <c r="M307" s="2"/>
      <c r="N307" s="2"/>
      <c r="S307" s="28"/>
      <c r="T307" s="133"/>
    </row>
    <row r="308" spans="1:20">
      <c r="A308" s="2"/>
      <c r="B308" s="2"/>
      <c r="C308" s="28"/>
      <c r="G308" s="2"/>
      <c r="H308" s="2"/>
      <c r="I308" s="2"/>
      <c r="J308" s="2"/>
      <c r="K308" s="2"/>
      <c r="L308" s="2"/>
      <c r="M308" s="2"/>
      <c r="N308" s="2"/>
      <c r="S308" s="28"/>
      <c r="T308" s="133"/>
    </row>
    <row r="309" spans="1:20">
      <c r="A309" s="2"/>
      <c r="B309" s="2"/>
      <c r="C309" s="28"/>
      <c r="G309" s="2"/>
      <c r="H309" s="2"/>
      <c r="I309" s="2"/>
      <c r="J309" s="2"/>
      <c r="K309" s="2"/>
      <c r="L309" s="2"/>
      <c r="M309" s="2"/>
      <c r="N309" s="2"/>
      <c r="S309" s="28"/>
      <c r="T309" s="133"/>
    </row>
    <row r="310" spans="1:20">
      <c r="A310" s="2"/>
      <c r="B310" s="2"/>
      <c r="C310" s="28"/>
      <c r="G310" s="2"/>
      <c r="H310" s="2"/>
      <c r="I310" s="2"/>
      <c r="J310" s="2"/>
      <c r="K310" s="2"/>
      <c r="L310" s="2"/>
      <c r="M310" s="2"/>
      <c r="N310" s="2"/>
      <c r="S310" s="28"/>
      <c r="T310" s="133"/>
    </row>
    <row r="311" spans="1:20">
      <c r="A311" s="2"/>
      <c r="B311" s="2"/>
      <c r="C311" s="28"/>
      <c r="G311" s="2"/>
      <c r="H311" s="2"/>
      <c r="I311" s="2"/>
      <c r="J311" s="2"/>
      <c r="K311" s="2"/>
      <c r="L311" s="2"/>
      <c r="M311" s="2"/>
      <c r="N311" s="2"/>
      <c r="S311" s="28"/>
      <c r="T311" s="133"/>
    </row>
    <row r="312" spans="1:20">
      <c r="A312" s="2"/>
      <c r="B312" s="2"/>
      <c r="C312" s="28"/>
      <c r="G312" s="2"/>
      <c r="H312" s="2"/>
      <c r="I312" s="2"/>
      <c r="J312" s="2"/>
      <c r="K312" s="2"/>
      <c r="L312" s="2"/>
      <c r="M312" s="2"/>
      <c r="N312" s="2"/>
      <c r="S312" s="28"/>
      <c r="T312" s="133"/>
    </row>
    <row r="313" spans="1:20">
      <c r="A313" s="2"/>
      <c r="B313" s="2"/>
      <c r="C313" s="28"/>
      <c r="G313" s="2"/>
      <c r="H313" s="2"/>
      <c r="I313" s="2"/>
      <c r="J313" s="2"/>
      <c r="K313" s="2"/>
      <c r="L313" s="2"/>
      <c r="M313" s="2"/>
      <c r="N313" s="2"/>
      <c r="S313" s="28"/>
      <c r="T313" s="133"/>
    </row>
    <row r="314" spans="1:20">
      <c r="A314" s="2"/>
      <c r="B314" s="2"/>
      <c r="C314" s="28"/>
      <c r="G314" s="2"/>
      <c r="H314" s="2"/>
      <c r="I314" s="2"/>
      <c r="J314" s="2"/>
      <c r="K314" s="2"/>
      <c r="L314" s="2"/>
      <c r="M314" s="2"/>
      <c r="N314" s="2"/>
      <c r="S314" s="28"/>
      <c r="T314" s="133"/>
    </row>
    <row r="315" spans="1:20">
      <c r="A315" s="2"/>
      <c r="B315" s="2"/>
      <c r="C315" s="28"/>
      <c r="G315" s="2"/>
      <c r="H315" s="2"/>
      <c r="I315" s="2"/>
      <c r="J315" s="2"/>
      <c r="K315" s="2"/>
      <c r="L315" s="2"/>
      <c r="M315" s="2"/>
      <c r="N315" s="2"/>
      <c r="S315" s="28"/>
      <c r="T315" s="133"/>
    </row>
    <row r="316" spans="1:20">
      <c r="A316" s="2"/>
      <c r="B316" s="2"/>
      <c r="C316" s="28"/>
      <c r="G316" s="2"/>
      <c r="H316" s="2"/>
      <c r="I316" s="2"/>
      <c r="J316" s="2"/>
      <c r="K316" s="2"/>
      <c r="L316" s="2"/>
      <c r="M316" s="2"/>
      <c r="N316" s="2"/>
      <c r="S316" s="28"/>
      <c r="T316" s="133"/>
    </row>
    <row r="317" spans="1:20">
      <c r="A317" s="2"/>
      <c r="B317" s="2"/>
      <c r="C317" s="28"/>
      <c r="G317" s="2"/>
      <c r="H317" s="2"/>
      <c r="I317" s="2"/>
      <c r="J317" s="2"/>
      <c r="K317" s="2"/>
      <c r="L317" s="2"/>
      <c r="M317" s="2"/>
      <c r="N317" s="2"/>
      <c r="S317" s="28"/>
      <c r="T317" s="133"/>
    </row>
    <row r="318" spans="1:20">
      <c r="A318" s="2"/>
      <c r="B318" s="2"/>
      <c r="C318" s="28"/>
      <c r="G318" s="2"/>
      <c r="H318" s="2"/>
      <c r="I318" s="2"/>
      <c r="J318" s="2"/>
      <c r="K318" s="2"/>
      <c r="L318" s="2"/>
      <c r="M318" s="2"/>
      <c r="N318" s="2"/>
      <c r="S318" s="28"/>
      <c r="T318" s="133"/>
    </row>
    <row r="319" spans="1:20">
      <c r="A319" s="2"/>
      <c r="B319" s="2"/>
      <c r="C319" s="28"/>
      <c r="G319" s="2"/>
      <c r="H319" s="2"/>
      <c r="I319" s="2"/>
      <c r="J319" s="2"/>
      <c r="K319" s="2"/>
      <c r="L319" s="2"/>
      <c r="M319" s="2"/>
      <c r="N319" s="2"/>
      <c r="S319" s="28"/>
      <c r="T319" s="133"/>
    </row>
    <row r="320" spans="1:20">
      <c r="A320" s="2"/>
      <c r="B320" s="2"/>
      <c r="C320" s="28"/>
      <c r="G320" s="2"/>
      <c r="H320" s="2"/>
      <c r="I320" s="2"/>
      <c r="J320" s="2"/>
      <c r="K320" s="2"/>
      <c r="L320" s="2"/>
      <c r="M320" s="2"/>
      <c r="N320" s="2"/>
      <c r="S320" s="28"/>
      <c r="T320" s="133"/>
    </row>
    <row r="321" spans="1:20">
      <c r="A321" s="2"/>
      <c r="B321" s="2"/>
      <c r="C321" s="28"/>
      <c r="G321" s="2"/>
      <c r="H321" s="2"/>
      <c r="I321" s="2"/>
      <c r="J321" s="2"/>
      <c r="K321" s="2"/>
      <c r="L321" s="2"/>
      <c r="M321" s="2"/>
      <c r="N321" s="2"/>
      <c r="S321" s="28"/>
      <c r="T321" s="133"/>
    </row>
    <row r="322" spans="1:20">
      <c r="A322" s="2"/>
      <c r="B322" s="2"/>
      <c r="C322" s="28"/>
      <c r="G322" s="2"/>
      <c r="H322" s="2"/>
      <c r="I322" s="2"/>
      <c r="J322" s="2"/>
      <c r="K322" s="2"/>
      <c r="L322" s="2"/>
      <c r="M322" s="2"/>
      <c r="N322" s="2"/>
      <c r="S322" s="28"/>
      <c r="T322" s="133"/>
    </row>
    <row r="323" spans="1:20">
      <c r="A323" s="2"/>
      <c r="B323" s="2"/>
      <c r="C323" s="28"/>
      <c r="G323" s="2"/>
      <c r="H323" s="2"/>
      <c r="I323" s="2"/>
      <c r="J323" s="2"/>
      <c r="K323" s="2"/>
      <c r="L323" s="2"/>
      <c r="M323" s="2"/>
      <c r="N323" s="2"/>
      <c r="S323" s="28"/>
      <c r="T323" s="133"/>
    </row>
    <row r="324" spans="1:20">
      <c r="A324" s="2"/>
      <c r="B324" s="2"/>
      <c r="C324" s="28"/>
      <c r="G324" s="2"/>
      <c r="H324" s="2"/>
      <c r="I324" s="2"/>
      <c r="J324" s="2"/>
      <c r="K324" s="2"/>
      <c r="L324" s="2"/>
      <c r="M324" s="2"/>
      <c r="N324" s="2"/>
      <c r="S324" s="28"/>
      <c r="T324" s="133"/>
    </row>
    <row r="325" spans="1:20">
      <c r="A325" s="2"/>
      <c r="B325" s="2"/>
      <c r="C325" s="28"/>
      <c r="G325" s="2"/>
      <c r="H325" s="2"/>
      <c r="I325" s="2"/>
      <c r="J325" s="2"/>
      <c r="K325" s="2"/>
      <c r="L325" s="2"/>
      <c r="M325" s="2"/>
      <c r="N325" s="2"/>
      <c r="S325" s="28"/>
      <c r="T325" s="133"/>
    </row>
    <row r="326" spans="1:20">
      <c r="A326" s="2"/>
      <c r="B326" s="2"/>
      <c r="C326" s="28"/>
      <c r="G326" s="2"/>
      <c r="H326" s="2"/>
      <c r="I326" s="2"/>
      <c r="J326" s="2"/>
      <c r="K326" s="2"/>
      <c r="L326" s="2"/>
      <c r="M326" s="2"/>
      <c r="N326" s="2"/>
      <c r="S326" s="28"/>
      <c r="T326" s="133"/>
    </row>
    <row r="327" spans="1:20">
      <c r="A327" s="2"/>
      <c r="B327" s="2"/>
      <c r="C327" s="28"/>
      <c r="G327" s="2"/>
      <c r="H327" s="2"/>
      <c r="I327" s="2"/>
      <c r="J327" s="2"/>
      <c r="K327" s="2"/>
      <c r="L327" s="2"/>
      <c r="M327" s="2"/>
      <c r="N327" s="2"/>
      <c r="S327" s="28"/>
      <c r="T327" s="133"/>
    </row>
    <row r="328" spans="1:20">
      <c r="A328" s="2"/>
      <c r="B328" s="2"/>
      <c r="C328" s="28"/>
      <c r="G328" s="2"/>
      <c r="H328" s="2"/>
      <c r="I328" s="2"/>
      <c r="J328" s="2"/>
      <c r="K328" s="2"/>
      <c r="L328" s="2"/>
      <c r="M328" s="2"/>
      <c r="N328" s="2"/>
      <c r="S328" s="28"/>
      <c r="T328" s="133"/>
    </row>
    <row r="329" spans="1:20">
      <c r="A329" s="2"/>
      <c r="B329" s="2"/>
      <c r="C329" s="28"/>
      <c r="G329" s="2"/>
      <c r="H329" s="2"/>
      <c r="I329" s="2"/>
      <c r="J329" s="2"/>
      <c r="K329" s="2"/>
      <c r="L329" s="2"/>
      <c r="M329" s="2"/>
      <c r="N329" s="2"/>
      <c r="S329" s="28"/>
      <c r="T329" s="133"/>
    </row>
    <row r="330" spans="1:20">
      <c r="A330" s="2"/>
      <c r="B330" s="2"/>
      <c r="C330" s="28"/>
      <c r="G330" s="2"/>
      <c r="H330" s="2"/>
      <c r="I330" s="2"/>
      <c r="J330" s="2"/>
      <c r="K330" s="2"/>
      <c r="L330" s="2"/>
      <c r="M330" s="2"/>
      <c r="N330" s="2"/>
      <c r="S330" s="28"/>
      <c r="T330" s="133"/>
    </row>
    <row r="331" spans="1:20">
      <c r="A331" s="2"/>
      <c r="B331" s="2"/>
      <c r="C331" s="28"/>
      <c r="G331" s="2"/>
      <c r="H331" s="2"/>
      <c r="I331" s="2"/>
      <c r="J331" s="2"/>
      <c r="K331" s="2"/>
      <c r="L331" s="2"/>
      <c r="M331" s="2"/>
      <c r="N331" s="2"/>
      <c r="S331" s="28"/>
      <c r="T331" s="133"/>
    </row>
    <row r="332" spans="1:20">
      <c r="A332" s="2"/>
      <c r="B332" s="2"/>
      <c r="C332" s="28"/>
      <c r="G332" s="2"/>
      <c r="H332" s="2"/>
      <c r="I332" s="2"/>
      <c r="J332" s="2"/>
      <c r="K332" s="2"/>
      <c r="L332" s="2"/>
      <c r="M332" s="2"/>
      <c r="N332" s="2"/>
      <c r="S332" s="28"/>
      <c r="T332" s="133"/>
    </row>
    <row r="333" spans="1:20">
      <c r="A333" s="2"/>
      <c r="B333" s="2"/>
      <c r="C333" s="28"/>
      <c r="G333" s="2"/>
      <c r="H333" s="2"/>
      <c r="I333" s="2"/>
      <c r="J333" s="2"/>
      <c r="K333" s="2"/>
      <c r="L333" s="2"/>
      <c r="M333" s="2"/>
      <c r="N333" s="2"/>
      <c r="S333" s="28"/>
      <c r="T333" s="133"/>
    </row>
    <row r="334" spans="1:20">
      <c r="A334" s="2"/>
      <c r="B334" s="2"/>
      <c r="C334" s="28"/>
      <c r="G334" s="2"/>
      <c r="H334" s="2"/>
      <c r="I334" s="2"/>
      <c r="J334" s="2"/>
      <c r="K334" s="2"/>
      <c r="L334" s="2"/>
      <c r="M334" s="2"/>
      <c r="N334" s="2"/>
      <c r="S334" s="28"/>
      <c r="T334" s="133"/>
    </row>
    <row r="335" spans="1:20">
      <c r="A335" s="2"/>
      <c r="B335" s="2"/>
      <c r="C335" s="28"/>
      <c r="G335" s="2"/>
      <c r="H335" s="2"/>
      <c r="I335" s="2"/>
      <c r="J335" s="2"/>
      <c r="K335" s="2"/>
      <c r="L335" s="2"/>
      <c r="M335" s="2"/>
      <c r="N335" s="2"/>
      <c r="S335" s="28"/>
      <c r="T335" s="133"/>
    </row>
    <row r="336" spans="1:20">
      <c r="A336" s="2"/>
      <c r="B336" s="2"/>
      <c r="C336" s="28"/>
      <c r="G336" s="2"/>
      <c r="H336" s="2"/>
      <c r="I336" s="2"/>
      <c r="J336" s="2"/>
      <c r="K336" s="2"/>
      <c r="L336" s="2"/>
      <c r="M336" s="2"/>
      <c r="N336" s="2"/>
      <c r="S336" s="28"/>
      <c r="T336" s="133"/>
    </row>
    <row r="337" spans="1:20">
      <c r="A337" s="2"/>
      <c r="B337" s="2"/>
      <c r="C337" s="28"/>
      <c r="G337" s="2"/>
      <c r="H337" s="2"/>
      <c r="I337" s="2"/>
      <c r="J337" s="2"/>
      <c r="K337" s="2"/>
      <c r="L337" s="2"/>
      <c r="M337" s="2"/>
      <c r="N337" s="2"/>
      <c r="S337" s="28"/>
      <c r="T337" s="133"/>
    </row>
    <row r="338" spans="1:20">
      <c r="A338" s="2"/>
      <c r="B338" s="2"/>
      <c r="C338" s="28"/>
      <c r="G338" s="2"/>
      <c r="H338" s="2"/>
      <c r="I338" s="2"/>
      <c r="J338" s="2"/>
      <c r="K338" s="2"/>
      <c r="L338" s="2"/>
      <c r="M338" s="2"/>
      <c r="N338" s="2"/>
      <c r="S338" s="28"/>
      <c r="T338" s="133"/>
    </row>
    <row r="339" spans="1:20">
      <c r="A339" s="2"/>
      <c r="B339" s="2"/>
      <c r="C339" s="28"/>
      <c r="G339" s="2"/>
      <c r="H339" s="2"/>
      <c r="I339" s="2"/>
      <c r="J339" s="2"/>
      <c r="K339" s="2"/>
      <c r="L339" s="2"/>
      <c r="M339" s="2"/>
      <c r="N339" s="2"/>
      <c r="S339" s="28"/>
      <c r="T339" s="133"/>
    </row>
    <row r="340" spans="1:20">
      <c r="A340" s="2"/>
      <c r="B340" s="2"/>
      <c r="C340" s="28"/>
      <c r="G340" s="2"/>
      <c r="H340" s="2"/>
      <c r="I340" s="2"/>
      <c r="J340" s="2"/>
      <c r="K340" s="2"/>
      <c r="L340" s="2"/>
      <c r="M340" s="2"/>
      <c r="N340" s="2"/>
      <c r="S340" s="28"/>
      <c r="T340" s="133"/>
    </row>
    <row r="341" spans="1:20">
      <c r="A341" s="2"/>
      <c r="B341" s="2"/>
      <c r="C341" s="28"/>
      <c r="G341" s="2"/>
      <c r="H341" s="2"/>
      <c r="I341" s="2"/>
      <c r="J341" s="2"/>
      <c r="K341" s="2"/>
      <c r="L341" s="2"/>
      <c r="M341" s="2"/>
      <c r="N341" s="2"/>
      <c r="S341" s="28"/>
      <c r="T341" s="133"/>
    </row>
    <row r="342" spans="1:20">
      <c r="A342" s="2"/>
      <c r="B342" s="2"/>
      <c r="C342" s="28"/>
      <c r="G342" s="2"/>
      <c r="H342" s="2"/>
      <c r="I342" s="2"/>
      <c r="J342" s="2"/>
      <c r="K342" s="2"/>
      <c r="L342" s="2"/>
      <c r="M342" s="2"/>
      <c r="N342" s="2"/>
      <c r="S342" s="28"/>
      <c r="T342" s="133"/>
    </row>
    <row r="343" spans="1:20">
      <c r="A343" s="2"/>
      <c r="B343" s="2"/>
      <c r="C343" s="28"/>
      <c r="G343" s="2"/>
      <c r="H343" s="2"/>
      <c r="I343" s="2"/>
      <c r="J343" s="2"/>
      <c r="K343" s="2"/>
      <c r="L343" s="2"/>
      <c r="M343" s="2"/>
      <c r="N343" s="2"/>
      <c r="S343" s="28"/>
      <c r="T343" s="133"/>
    </row>
    <row r="344" spans="1:20">
      <c r="A344" s="2"/>
      <c r="B344" s="2"/>
      <c r="C344" s="28"/>
      <c r="G344" s="2"/>
      <c r="H344" s="2"/>
      <c r="I344" s="2"/>
      <c r="J344" s="2"/>
      <c r="K344" s="2"/>
      <c r="L344" s="2"/>
      <c r="M344" s="2"/>
      <c r="N344" s="2"/>
      <c r="S344" s="28"/>
      <c r="T344" s="133"/>
    </row>
    <row r="345" spans="1:20">
      <c r="A345" s="2"/>
      <c r="B345" s="2"/>
      <c r="C345" s="28"/>
      <c r="G345" s="2"/>
      <c r="H345" s="2"/>
      <c r="I345" s="2"/>
      <c r="J345" s="2"/>
      <c r="K345" s="2"/>
      <c r="L345" s="2"/>
      <c r="M345" s="2"/>
      <c r="N345" s="2"/>
      <c r="S345" s="28"/>
      <c r="T345" s="133"/>
    </row>
    <row r="346" spans="1:20">
      <c r="A346" s="2"/>
      <c r="B346" s="2"/>
      <c r="C346" s="28"/>
      <c r="G346" s="2"/>
      <c r="H346" s="2"/>
      <c r="I346" s="2"/>
      <c r="J346" s="2"/>
      <c r="K346" s="2"/>
      <c r="L346" s="2"/>
      <c r="M346" s="2"/>
      <c r="N346" s="2"/>
      <c r="S346" s="28"/>
      <c r="T346" s="133"/>
    </row>
    <row r="347" spans="1:20">
      <c r="A347" s="2"/>
      <c r="B347" s="2"/>
      <c r="C347" s="28"/>
      <c r="G347" s="2"/>
      <c r="H347" s="2"/>
      <c r="I347" s="2"/>
      <c r="J347" s="2"/>
      <c r="K347" s="2"/>
      <c r="L347" s="2"/>
      <c r="M347" s="2"/>
      <c r="N347" s="2"/>
      <c r="S347" s="28"/>
      <c r="T347" s="133"/>
    </row>
    <row r="348" spans="1:20">
      <c r="A348" s="2"/>
      <c r="B348" s="2"/>
      <c r="C348" s="28"/>
      <c r="G348" s="2"/>
      <c r="H348" s="2"/>
      <c r="I348" s="2"/>
      <c r="J348" s="2"/>
      <c r="K348" s="2"/>
      <c r="L348" s="2"/>
      <c r="M348" s="2"/>
      <c r="N348" s="2"/>
      <c r="S348" s="28"/>
      <c r="T348" s="133"/>
    </row>
    <row r="349" spans="1:20">
      <c r="A349" s="2"/>
      <c r="B349" s="2"/>
      <c r="C349" s="28"/>
      <c r="G349" s="2"/>
      <c r="H349" s="2"/>
      <c r="I349" s="2"/>
      <c r="J349" s="2"/>
      <c r="K349" s="2"/>
      <c r="L349" s="2"/>
      <c r="M349" s="2"/>
      <c r="N349" s="2"/>
      <c r="S349" s="28"/>
      <c r="T349" s="133"/>
    </row>
    <row r="350" spans="1:20">
      <c r="A350" s="2"/>
      <c r="B350" s="2"/>
      <c r="C350" s="28"/>
      <c r="G350" s="2"/>
      <c r="H350" s="2"/>
      <c r="I350" s="2"/>
      <c r="J350" s="2"/>
      <c r="K350" s="2"/>
      <c r="L350" s="2"/>
      <c r="M350" s="2"/>
      <c r="N350" s="2"/>
      <c r="S350" s="28"/>
      <c r="T350" s="133"/>
    </row>
    <row r="351" spans="1:20">
      <c r="A351" s="2"/>
      <c r="B351" s="2"/>
      <c r="C351" s="28"/>
      <c r="G351" s="2"/>
      <c r="H351" s="2"/>
      <c r="I351" s="2"/>
      <c r="J351" s="2"/>
      <c r="K351" s="2"/>
      <c r="L351" s="2"/>
      <c r="M351" s="2"/>
      <c r="N351" s="2"/>
      <c r="S351" s="28"/>
      <c r="T351" s="133"/>
    </row>
    <row r="352" spans="1:20">
      <c r="A352" s="2"/>
      <c r="B352" s="2"/>
      <c r="C352" s="28"/>
      <c r="G352" s="2"/>
      <c r="H352" s="2"/>
      <c r="I352" s="2"/>
      <c r="J352" s="2"/>
      <c r="K352" s="2"/>
      <c r="L352" s="2"/>
      <c r="M352" s="2"/>
      <c r="N352" s="2"/>
      <c r="S352" s="28"/>
      <c r="T352" s="133"/>
    </row>
    <row r="353" spans="1:20">
      <c r="A353" s="2"/>
      <c r="B353" s="2"/>
      <c r="C353" s="28"/>
      <c r="G353" s="2"/>
      <c r="H353" s="2"/>
      <c r="I353" s="2"/>
      <c r="J353" s="2"/>
      <c r="K353" s="2"/>
      <c r="L353" s="2"/>
      <c r="M353" s="2"/>
      <c r="N353" s="2"/>
      <c r="S353" s="28"/>
      <c r="T353" s="133"/>
    </row>
    <row r="354" spans="1:20">
      <c r="A354" s="2"/>
      <c r="B354" s="2"/>
      <c r="C354" s="28"/>
      <c r="G354" s="2"/>
      <c r="H354" s="2"/>
      <c r="I354" s="2"/>
      <c r="J354" s="2"/>
      <c r="K354" s="2"/>
      <c r="L354" s="2"/>
      <c r="M354" s="2"/>
      <c r="N354" s="2"/>
      <c r="S354" s="28"/>
      <c r="T354" s="133"/>
    </row>
    <row r="355" spans="1:20">
      <c r="A355" s="2"/>
      <c r="B355" s="2"/>
      <c r="C355" s="28"/>
      <c r="G355" s="2"/>
      <c r="H355" s="2"/>
      <c r="I355" s="2"/>
      <c r="J355" s="2"/>
      <c r="K355" s="2"/>
      <c r="L355" s="2"/>
      <c r="M355" s="2"/>
      <c r="N355" s="2"/>
      <c r="S355" s="28"/>
      <c r="T355" s="133"/>
    </row>
    <row r="356" spans="1:20">
      <c r="A356" s="2"/>
      <c r="B356" s="2"/>
      <c r="C356" s="28"/>
      <c r="G356" s="2"/>
      <c r="H356" s="2"/>
      <c r="I356" s="2"/>
      <c r="J356" s="2"/>
      <c r="K356" s="2"/>
      <c r="L356" s="2"/>
      <c r="M356" s="2"/>
      <c r="N356" s="2"/>
      <c r="S356" s="28"/>
      <c r="T356" s="133"/>
    </row>
    <row r="357" spans="1:20">
      <c r="A357" s="2"/>
      <c r="B357" s="2"/>
      <c r="C357" s="28"/>
      <c r="G357" s="2"/>
      <c r="H357" s="2"/>
      <c r="I357" s="2"/>
      <c r="J357" s="2"/>
      <c r="K357" s="2"/>
      <c r="L357" s="2"/>
      <c r="M357" s="2"/>
      <c r="N357" s="2"/>
      <c r="S357" s="28"/>
      <c r="T357" s="133"/>
    </row>
    <row r="358" spans="1:20">
      <c r="A358" s="2"/>
      <c r="B358" s="2"/>
      <c r="C358" s="28"/>
      <c r="G358" s="2"/>
      <c r="H358" s="2"/>
      <c r="I358" s="2"/>
      <c r="J358" s="2"/>
      <c r="K358" s="2"/>
      <c r="L358" s="2"/>
      <c r="M358" s="2"/>
      <c r="N358" s="2"/>
      <c r="S358" s="28"/>
      <c r="T358" s="133"/>
    </row>
    <row r="359" spans="1:20">
      <c r="A359" s="2"/>
      <c r="B359" s="2"/>
      <c r="C359" s="28"/>
      <c r="G359" s="2"/>
      <c r="H359" s="2"/>
      <c r="I359" s="2"/>
      <c r="J359" s="2"/>
      <c r="K359" s="2"/>
      <c r="L359" s="2"/>
      <c r="M359" s="2"/>
      <c r="N359" s="2"/>
      <c r="S359" s="28"/>
      <c r="T359" s="133"/>
    </row>
    <row r="360" spans="1:20">
      <c r="A360" s="2"/>
      <c r="B360" s="2"/>
      <c r="C360" s="28"/>
      <c r="G360" s="2"/>
      <c r="H360" s="2"/>
      <c r="I360" s="2"/>
      <c r="J360" s="2"/>
      <c r="K360" s="2"/>
      <c r="L360" s="2"/>
      <c r="M360" s="2"/>
      <c r="N360" s="2"/>
      <c r="S360" s="28"/>
      <c r="T360" s="133"/>
    </row>
    <row r="361" spans="1:20">
      <c r="A361" s="2"/>
      <c r="B361" s="2"/>
      <c r="C361" s="28"/>
      <c r="G361" s="2"/>
      <c r="H361" s="2"/>
      <c r="I361" s="2"/>
      <c r="J361" s="2"/>
      <c r="K361" s="2"/>
      <c r="L361" s="2"/>
      <c r="M361" s="2"/>
      <c r="N361" s="2"/>
      <c r="S361" s="28"/>
      <c r="T361" s="133"/>
    </row>
    <row r="362" spans="1:20">
      <c r="A362" s="2"/>
      <c r="B362" s="2"/>
      <c r="C362" s="28"/>
      <c r="G362" s="2"/>
      <c r="H362" s="2"/>
      <c r="I362" s="2"/>
      <c r="J362" s="2"/>
      <c r="K362" s="2"/>
      <c r="L362" s="2"/>
      <c r="M362" s="2"/>
      <c r="N362" s="2"/>
      <c r="S362" s="28"/>
      <c r="T362" s="133"/>
    </row>
    <row r="363" spans="1:20">
      <c r="A363" s="2"/>
      <c r="B363" s="2"/>
      <c r="C363" s="28"/>
      <c r="G363" s="2"/>
      <c r="H363" s="2"/>
      <c r="I363" s="2"/>
      <c r="J363" s="2"/>
      <c r="K363" s="2"/>
      <c r="L363" s="2"/>
      <c r="M363" s="2"/>
      <c r="N363" s="2"/>
      <c r="S363" s="28"/>
      <c r="T363" s="133"/>
    </row>
    <row r="364" spans="1:20">
      <c r="A364" s="2"/>
      <c r="B364" s="2"/>
      <c r="C364" s="28"/>
      <c r="G364" s="2"/>
      <c r="H364" s="2"/>
      <c r="I364" s="2"/>
      <c r="J364" s="2"/>
      <c r="K364" s="2"/>
      <c r="L364" s="2"/>
      <c r="M364" s="2"/>
      <c r="N364" s="2"/>
      <c r="S364" s="28"/>
      <c r="T364" s="133"/>
    </row>
    <row r="365" spans="1:20">
      <c r="A365" s="2"/>
      <c r="B365" s="2"/>
      <c r="C365" s="28"/>
      <c r="G365" s="2"/>
      <c r="H365" s="2"/>
      <c r="I365" s="2"/>
      <c r="J365" s="2"/>
      <c r="K365" s="2"/>
      <c r="L365" s="2"/>
      <c r="M365" s="2"/>
      <c r="N365" s="2"/>
      <c r="S365" s="28"/>
      <c r="T365" s="133"/>
    </row>
    <row r="366" spans="1:20">
      <c r="A366" s="2"/>
      <c r="B366" s="2"/>
      <c r="C366" s="28"/>
      <c r="G366" s="2"/>
      <c r="H366" s="2"/>
      <c r="I366" s="2"/>
      <c r="J366" s="2"/>
      <c r="K366" s="2"/>
      <c r="L366" s="2"/>
      <c r="M366" s="2"/>
      <c r="N366" s="2"/>
      <c r="S366" s="28"/>
      <c r="T366" s="133"/>
    </row>
    <row r="367" spans="1:20">
      <c r="A367" s="2"/>
      <c r="B367" s="2"/>
      <c r="C367" s="28"/>
      <c r="G367" s="2"/>
      <c r="H367" s="2"/>
      <c r="I367" s="2"/>
      <c r="J367" s="2"/>
      <c r="K367" s="2"/>
      <c r="L367" s="2"/>
      <c r="M367" s="2"/>
      <c r="N367" s="2"/>
      <c r="S367" s="28"/>
      <c r="T367" s="133"/>
    </row>
    <row r="368" spans="1:20">
      <c r="A368" s="2"/>
      <c r="B368" s="2"/>
      <c r="C368" s="28"/>
      <c r="G368" s="2"/>
      <c r="H368" s="2"/>
      <c r="I368" s="2"/>
      <c r="J368" s="2"/>
      <c r="K368" s="2"/>
      <c r="L368" s="2"/>
      <c r="M368" s="2"/>
      <c r="N368" s="2"/>
      <c r="S368" s="28"/>
      <c r="T368" s="133"/>
    </row>
    <row r="369" spans="1:20">
      <c r="A369" s="2"/>
      <c r="B369" s="2"/>
      <c r="C369" s="28"/>
      <c r="G369" s="2"/>
      <c r="H369" s="2"/>
      <c r="I369" s="2"/>
      <c r="J369" s="2"/>
      <c r="K369" s="2"/>
      <c r="L369" s="2"/>
      <c r="M369" s="2"/>
      <c r="N369" s="2"/>
      <c r="S369" s="28"/>
      <c r="T369" s="133"/>
    </row>
    <row r="370" spans="1:20">
      <c r="A370" s="2"/>
      <c r="B370" s="2"/>
      <c r="C370" s="28"/>
      <c r="G370" s="2"/>
      <c r="H370" s="2"/>
      <c r="I370" s="2"/>
      <c r="J370" s="2"/>
      <c r="K370" s="2"/>
      <c r="L370" s="2"/>
      <c r="M370" s="2"/>
      <c r="N370" s="2"/>
      <c r="S370" s="28"/>
      <c r="T370" s="133"/>
    </row>
    <row r="371" spans="1:20">
      <c r="A371" s="2"/>
      <c r="B371" s="2"/>
      <c r="C371" s="28"/>
      <c r="G371" s="2"/>
      <c r="H371" s="2"/>
      <c r="I371" s="2"/>
      <c r="J371" s="2"/>
      <c r="K371" s="2"/>
      <c r="L371" s="2"/>
      <c r="M371" s="2"/>
      <c r="N371" s="2"/>
      <c r="S371" s="28"/>
      <c r="T371" s="133"/>
    </row>
    <row r="372" spans="1:20">
      <c r="A372" s="2"/>
      <c r="B372" s="2"/>
      <c r="C372" s="28"/>
      <c r="G372" s="2"/>
      <c r="H372" s="2"/>
      <c r="I372" s="2"/>
      <c r="J372" s="2"/>
      <c r="K372" s="2"/>
      <c r="L372" s="2"/>
      <c r="M372" s="2"/>
      <c r="N372" s="2"/>
      <c r="S372" s="28"/>
      <c r="T372" s="133"/>
    </row>
    <row r="373" spans="1:20">
      <c r="A373" s="2"/>
      <c r="B373" s="2"/>
      <c r="C373" s="28"/>
      <c r="G373" s="2"/>
      <c r="H373" s="2"/>
      <c r="I373" s="2"/>
      <c r="J373" s="2"/>
      <c r="K373" s="2"/>
      <c r="L373" s="2"/>
      <c r="M373" s="2"/>
      <c r="N373" s="2"/>
      <c r="S373" s="28"/>
      <c r="T373" s="133"/>
    </row>
    <row r="374" spans="1:20">
      <c r="A374" s="2"/>
      <c r="B374" s="2"/>
      <c r="C374" s="28"/>
      <c r="G374" s="2"/>
      <c r="H374" s="2"/>
      <c r="I374" s="2"/>
      <c r="J374" s="2"/>
      <c r="K374" s="2"/>
      <c r="L374" s="2"/>
      <c r="M374" s="2"/>
      <c r="N374" s="2"/>
      <c r="S374" s="28"/>
      <c r="T374" s="133"/>
    </row>
    <row r="375" spans="1:20">
      <c r="A375" s="2"/>
      <c r="B375" s="2"/>
      <c r="C375" s="28"/>
      <c r="G375" s="2"/>
      <c r="H375" s="2"/>
      <c r="I375" s="2"/>
      <c r="J375" s="2"/>
      <c r="K375" s="2"/>
      <c r="L375" s="2"/>
      <c r="M375" s="2"/>
      <c r="N375" s="2"/>
      <c r="S375" s="28"/>
      <c r="T375" s="133"/>
    </row>
    <row r="376" spans="1:20">
      <c r="A376" s="2"/>
      <c r="B376" s="2"/>
      <c r="C376" s="28"/>
      <c r="G376" s="2"/>
      <c r="H376" s="2"/>
      <c r="I376" s="2"/>
      <c r="J376" s="2"/>
      <c r="K376" s="2"/>
      <c r="L376" s="2"/>
      <c r="M376" s="2"/>
      <c r="N376" s="2"/>
      <c r="S376" s="28"/>
      <c r="T376" s="133"/>
    </row>
    <row r="377" spans="1:20">
      <c r="A377" s="2"/>
      <c r="B377" s="2"/>
      <c r="C377" s="28"/>
      <c r="G377" s="2"/>
      <c r="H377" s="2"/>
      <c r="I377" s="2"/>
      <c r="J377" s="2"/>
      <c r="K377" s="2"/>
      <c r="L377" s="2"/>
      <c r="M377" s="2"/>
      <c r="N377" s="2"/>
      <c r="S377" s="28"/>
      <c r="T377" s="133"/>
    </row>
    <row r="378" spans="1:20">
      <c r="A378" s="2"/>
      <c r="B378" s="2"/>
      <c r="C378" s="28"/>
      <c r="G378" s="2"/>
      <c r="H378" s="2"/>
      <c r="I378" s="2"/>
      <c r="J378" s="2"/>
      <c r="K378" s="2"/>
      <c r="L378" s="2"/>
      <c r="M378" s="2"/>
      <c r="N378" s="2"/>
      <c r="S378" s="28"/>
      <c r="T378" s="133"/>
    </row>
    <row r="379" spans="1:20">
      <c r="A379" s="2"/>
      <c r="B379" s="2"/>
      <c r="C379" s="28"/>
      <c r="G379" s="2"/>
      <c r="H379" s="2"/>
      <c r="I379" s="2"/>
      <c r="J379" s="2"/>
      <c r="K379" s="2"/>
      <c r="L379" s="2"/>
      <c r="M379" s="2"/>
      <c r="N379" s="2"/>
      <c r="S379" s="28"/>
      <c r="T379" s="133"/>
    </row>
    <row r="380" spans="1:20">
      <c r="A380" s="2"/>
      <c r="B380" s="2"/>
      <c r="C380" s="28"/>
      <c r="G380" s="2"/>
      <c r="H380" s="2"/>
      <c r="I380" s="2"/>
      <c r="J380" s="2"/>
      <c r="K380" s="2"/>
      <c r="L380" s="2"/>
      <c r="M380" s="2"/>
      <c r="N380" s="2"/>
      <c r="S380" s="28"/>
      <c r="T380" s="133"/>
    </row>
    <row r="381" spans="1:20">
      <c r="A381" s="2"/>
      <c r="B381" s="2"/>
      <c r="C381" s="28"/>
      <c r="G381" s="2"/>
      <c r="H381" s="2"/>
      <c r="I381" s="2"/>
      <c r="J381" s="2"/>
      <c r="K381" s="2"/>
      <c r="L381" s="2"/>
      <c r="M381" s="2"/>
      <c r="N381" s="2"/>
      <c r="S381" s="28"/>
      <c r="T381" s="133"/>
    </row>
    <row r="382" spans="1:20">
      <c r="A382" s="2"/>
      <c r="B382" s="2"/>
      <c r="C382" s="28"/>
      <c r="G382" s="2"/>
      <c r="H382" s="2"/>
      <c r="I382" s="2"/>
      <c r="J382" s="2"/>
      <c r="K382" s="2"/>
      <c r="L382" s="2"/>
      <c r="M382" s="2"/>
      <c r="N382" s="2"/>
      <c r="S382" s="28"/>
      <c r="T382" s="133"/>
    </row>
    <row r="383" spans="1:20">
      <c r="A383" s="2"/>
      <c r="B383" s="2"/>
      <c r="C383" s="28"/>
      <c r="G383" s="2"/>
      <c r="H383" s="2"/>
      <c r="I383" s="2"/>
      <c r="J383" s="2"/>
      <c r="K383" s="2"/>
      <c r="L383" s="2"/>
      <c r="M383" s="2"/>
      <c r="N383" s="2"/>
      <c r="S383" s="28"/>
      <c r="T383" s="133"/>
    </row>
    <row r="384" spans="1:20">
      <c r="A384" s="2"/>
      <c r="B384" s="2"/>
      <c r="C384" s="28"/>
      <c r="G384" s="2"/>
      <c r="H384" s="2"/>
      <c r="I384" s="2"/>
      <c r="J384" s="2"/>
      <c r="K384" s="2"/>
      <c r="L384" s="2"/>
      <c r="M384" s="2"/>
      <c r="N384" s="2"/>
      <c r="S384" s="28"/>
      <c r="T384" s="133"/>
    </row>
    <row r="385" spans="1:20">
      <c r="A385" s="2"/>
      <c r="B385" s="2"/>
      <c r="C385" s="28"/>
      <c r="G385" s="2"/>
      <c r="H385" s="2"/>
      <c r="I385" s="2"/>
      <c r="J385" s="2"/>
      <c r="K385" s="2"/>
      <c r="L385" s="2"/>
      <c r="M385" s="2"/>
      <c r="N385" s="2"/>
      <c r="S385" s="28"/>
      <c r="T385" s="133"/>
    </row>
    <row r="386" spans="1:20">
      <c r="A386" s="2"/>
      <c r="B386" s="2"/>
      <c r="C386" s="28"/>
      <c r="G386" s="2"/>
      <c r="H386" s="2"/>
      <c r="I386" s="2"/>
      <c r="J386" s="2"/>
      <c r="K386" s="2"/>
      <c r="L386" s="2"/>
      <c r="M386" s="2"/>
      <c r="N386" s="2"/>
      <c r="S386" s="28"/>
      <c r="T386" s="133"/>
    </row>
    <row r="387" spans="1:20">
      <c r="A387" s="2"/>
      <c r="B387" s="2"/>
      <c r="C387" s="28"/>
      <c r="G387" s="2"/>
      <c r="H387" s="2"/>
      <c r="I387" s="2"/>
      <c r="J387" s="2"/>
      <c r="K387" s="2"/>
      <c r="L387" s="2"/>
      <c r="M387" s="2"/>
      <c r="N387" s="2"/>
      <c r="S387" s="28"/>
      <c r="T387" s="133"/>
    </row>
    <row r="388" spans="1:20">
      <c r="A388" s="2"/>
      <c r="B388" s="2"/>
      <c r="C388" s="28"/>
      <c r="G388" s="2"/>
      <c r="H388" s="2"/>
      <c r="I388" s="2"/>
      <c r="J388" s="2"/>
      <c r="K388" s="2"/>
      <c r="L388" s="2"/>
      <c r="M388" s="2"/>
      <c r="N388" s="2"/>
      <c r="S388" s="28"/>
      <c r="T388" s="133"/>
    </row>
    <row r="389" spans="1:20">
      <c r="A389" s="2"/>
      <c r="B389" s="2"/>
      <c r="C389" s="28"/>
      <c r="G389" s="2"/>
      <c r="H389" s="2"/>
      <c r="I389" s="2"/>
      <c r="J389" s="2"/>
      <c r="K389" s="2"/>
      <c r="L389" s="2"/>
      <c r="M389" s="2"/>
      <c r="N389" s="2"/>
      <c r="S389" s="28"/>
      <c r="T389" s="133"/>
    </row>
    <row r="390" spans="1:20">
      <c r="A390" s="2"/>
      <c r="B390" s="2"/>
      <c r="C390" s="28"/>
      <c r="G390" s="2"/>
      <c r="H390" s="2"/>
      <c r="I390" s="2"/>
      <c r="J390" s="2"/>
      <c r="K390" s="2"/>
      <c r="L390" s="2"/>
      <c r="M390" s="2"/>
      <c r="N390" s="2"/>
      <c r="S390" s="28"/>
      <c r="T390" s="133"/>
    </row>
    <row r="391" spans="1:20">
      <c r="A391" s="2"/>
      <c r="B391" s="2"/>
      <c r="C391" s="28"/>
      <c r="G391" s="2"/>
      <c r="H391" s="2"/>
      <c r="I391" s="2"/>
      <c r="J391" s="2"/>
      <c r="K391" s="2"/>
      <c r="L391" s="2"/>
      <c r="M391" s="2"/>
      <c r="N391" s="2"/>
      <c r="S391" s="28"/>
      <c r="T391" s="133"/>
    </row>
    <row r="392" spans="1:20">
      <c r="A392" s="2"/>
      <c r="B392" s="2"/>
      <c r="C392" s="28"/>
      <c r="G392" s="2"/>
      <c r="H392" s="2"/>
      <c r="I392" s="2"/>
      <c r="J392" s="2"/>
      <c r="K392" s="2"/>
      <c r="L392" s="2"/>
      <c r="M392" s="2"/>
      <c r="N392" s="2"/>
      <c r="S392" s="28"/>
      <c r="T392" s="133"/>
    </row>
    <row r="393" spans="1:20">
      <c r="A393" s="2"/>
      <c r="B393" s="2"/>
      <c r="C393" s="28"/>
      <c r="G393" s="2"/>
      <c r="H393" s="2"/>
      <c r="I393" s="2"/>
      <c r="J393" s="2"/>
      <c r="K393" s="2"/>
      <c r="L393" s="2"/>
      <c r="M393" s="2"/>
      <c r="N393" s="2"/>
      <c r="S393" s="28"/>
      <c r="T393" s="133"/>
    </row>
    <row r="394" spans="1:20">
      <c r="A394" s="2"/>
      <c r="B394" s="2"/>
      <c r="C394" s="28"/>
      <c r="G394" s="2"/>
      <c r="H394" s="2"/>
      <c r="I394" s="2"/>
      <c r="J394" s="2"/>
      <c r="K394" s="2"/>
      <c r="L394" s="2"/>
      <c r="M394" s="2"/>
      <c r="N394" s="2"/>
      <c r="S394" s="28"/>
      <c r="T394" s="133"/>
    </row>
    <row r="395" spans="1:20">
      <c r="A395" s="2"/>
      <c r="B395" s="2"/>
      <c r="C395" s="28"/>
      <c r="G395" s="2"/>
      <c r="H395" s="2"/>
      <c r="I395" s="2"/>
      <c r="J395" s="2"/>
      <c r="K395" s="2"/>
      <c r="L395" s="2"/>
      <c r="M395" s="2"/>
      <c r="N395" s="2"/>
      <c r="S395" s="28"/>
      <c r="T395" s="133"/>
    </row>
    <row r="396" spans="1:20">
      <c r="A396" s="2"/>
      <c r="B396" s="2"/>
      <c r="C396" s="28"/>
      <c r="G396" s="2"/>
      <c r="H396" s="2"/>
      <c r="I396" s="2"/>
      <c r="J396" s="2"/>
      <c r="K396" s="2"/>
      <c r="L396" s="2"/>
      <c r="M396" s="2"/>
      <c r="N396" s="2"/>
      <c r="S396" s="28"/>
      <c r="T396" s="133"/>
    </row>
    <row r="397" spans="1:20">
      <c r="A397" s="2"/>
      <c r="B397" s="2"/>
      <c r="C397" s="28"/>
      <c r="G397" s="2"/>
      <c r="H397" s="2"/>
      <c r="I397" s="2"/>
      <c r="J397" s="2"/>
      <c r="K397" s="2"/>
      <c r="L397" s="2"/>
      <c r="M397" s="2"/>
      <c r="N397" s="2"/>
      <c r="S397" s="28"/>
      <c r="T397" s="133"/>
    </row>
    <row r="398" spans="1:20">
      <c r="A398" s="2"/>
      <c r="B398" s="2"/>
      <c r="C398" s="28"/>
      <c r="G398" s="2"/>
      <c r="H398" s="2"/>
      <c r="I398" s="2"/>
      <c r="J398" s="2"/>
      <c r="K398" s="2"/>
      <c r="L398" s="2"/>
      <c r="M398" s="2"/>
      <c r="N398" s="2"/>
      <c r="S398" s="28"/>
      <c r="T398" s="133"/>
    </row>
    <row r="399" spans="1:20">
      <c r="A399" s="2"/>
      <c r="B399" s="2"/>
      <c r="C399" s="28"/>
      <c r="G399" s="2"/>
      <c r="H399" s="2"/>
      <c r="I399" s="2"/>
      <c r="J399" s="2"/>
      <c r="K399" s="2"/>
      <c r="L399" s="2"/>
      <c r="M399" s="2"/>
      <c r="N399" s="2"/>
      <c r="S399" s="28"/>
      <c r="T399" s="133"/>
    </row>
    <row r="400" spans="1:20">
      <c r="A400" s="2"/>
      <c r="B400" s="2"/>
      <c r="C400" s="28"/>
      <c r="G400" s="2"/>
      <c r="H400" s="2"/>
      <c r="I400" s="2"/>
      <c r="J400" s="2"/>
      <c r="K400" s="2"/>
      <c r="L400" s="2"/>
      <c r="M400" s="2"/>
      <c r="N400" s="2"/>
      <c r="S400" s="28"/>
      <c r="T400" s="133"/>
    </row>
    <row r="401" spans="1:20">
      <c r="A401" s="2"/>
      <c r="B401" s="2"/>
      <c r="C401" s="28"/>
      <c r="G401" s="2"/>
      <c r="H401" s="2"/>
      <c r="I401" s="2"/>
      <c r="J401" s="2"/>
      <c r="K401" s="2"/>
      <c r="L401" s="2"/>
      <c r="M401" s="2"/>
      <c r="N401" s="2"/>
      <c r="S401" s="28"/>
      <c r="T401" s="133"/>
    </row>
    <row r="402" spans="1:20">
      <c r="A402" s="2"/>
      <c r="B402" s="2"/>
      <c r="C402" s="28"/>
      <c r="G402" s="2"/>
      <c r="H402" s="2"/>
      <c r="I402" s="2"/>
      <c r="J402" s="2"/>
      <c r="K402" s="2"/>
      <c r="L402" s="2"/>
      <c r="M402" s="2"/>
      <c r="N402" s="2"/>
      <c r="S402" s="28"/>
      <c r="T402" s="133"/>
    </row>
    <row r="403" spans="1:20">
      <c r="A403" s="2"/>
      <c r="B403" s="2"/>
      <c r="C403" s="28"/>
      <c r="G403" s="2"/>
      <c r="H403" s="2"/>
      <c r="I403" s="2"/>
      <c r="J403" s="2"/>
      <c r="K403" s="2"/>
      <c r="L403" s="2"/>
      <c r="M403" s="2"/>
      <c r="N403" s="2"/>
    </row>
    <row r="404" spans="1:20">
      <c r="A404" s="2"/>
      <c r="B404" s="2"/>
      <c r="C404" s="28"/>
      <c r="G404" s="2"/>
      <c r="H404" s="2"/>
      <c r="I404" s="2"/>
      <c r="J404" s="2"/>
      <c r="K404" s="2"/>
      <c r="L404" s="2"/>
      <c r="M404" s="2"/>
      <c r="N404" s="2"/>
    </row>
    <row r="405" spans="1:20">
      <c r="A405" s="2"/>
      <c r="B405" s="2"/>
      <c r="C405" s="28"/>
      <c r="G405" s="2"/>
      <c r="H405" s="2"/>
      <c r="I405" s="2"/>
      <c r="J405" s="2"/>
      <c r="K405" s="2"/>
      <c r="L405" s="2"/>
      <c r="M405" s="2"/>
      <c r="N405" s="2"/>
    </row>
    <row r="406" spans="1:20">
      <c r="A406" s="2"/>
      <c r="B406" s="2"/>
      <c r="C406" s="28"/>
      <c r="G406" s="2"/>
      <c r="H406" s="2"/>
      <c r="I406" s="2"/>
      <c r="J406" s="2"/>
      <c r="K406" s="2"/>
      <c r="L406" s="2"/>
      <c r="M406" s="2"/>
      <c r="N406" s="2"/>
    </row>
    <row r="407" spans="1:20">
      <c r="A407" s="2"/>
      <c r="B407" s="2"/>
      <c r="C407" s="28"/>
      <c r="G407" s="2"/>
      <c r="H407" s="2"/>
      <c r="I407" s="2"/>
      <c r="J407" s="2"/>
      <c r="K407" s="2"/>
      <c r="L407" s="2"/>
      <c r="M407" s="2"/>
      <c r="N407" s="2"/>
    </row>
    <row r="408" spans="1:20">
      <c r="A408" s="2"/>
      <c r="B408" s="2"/>
      <c r="C408" s="28"/>
      <c r="G408" s="2"/>
      <c r="H408" s="2"/>
      <c r="I408" s="2"/>
      <c r="J408" s="2"/>
      <c r="K408" s="2"/>
      <c r="L408" s="2"/>
      <c r="M408" s="2"/>
      <c r="N408" s="2"/>
    </row>
    <row r="409" spans="1:20">
      <c r="A409" s="2"/>
      <c r="B409" s="2"/>
      <c r="C409" s="28"/>
      <c r="G409" s="2"/>
      <c r="H409" s="2"/>
      <c r="I409" s="2"/>
      <c r="J409" s="2"/>
      <c r="K409" s="2"/>
      <c r="L409" s="2"/>
      <c r="M409" s="2"/>
      <c r="N409" s="2"/>
    </row>
    <row r="410" spans="1:20">
      <c r="A410" s="2"/>
      <c r="B410" s="2"/>
      <c r="C410" s="28"/>
      <c r="G410" s="2"/>
      <c r="H410" s="2"/>
      <c r="I410" s="2"/>
      <c r="J410" s="2"/>
      <c r="K410" s="2"/>
      <c r="L410" s="2"/>
      <c r="M410" s="2"/>
      <c r="N410" s="2"/>
    </row>
    <row r="411" spans="1:20">
      <c r="A411" s="2"/>
      <c r="B411" s="2"/>
      <c r="C411" s="28"/>
      <c r="G411" s="2"/>
      <c r="H411" s="2"/>
      <c r="I411" s="2"/>
      <c r="J411" s="2"/>
      <c r="K411" s="2"/>
      <c r="L411" s="2"/>
      <c r="M411" s="2"/>
      <c r="N411" s="2"/>
    </row>
    <row r="412" spans="1:20">
      <c r="A412" s="2"/>
      <c r="B412" s="2"/>
      <c r="C412" s="28"/>
      <c r="G412" s="2"/>
      <c r="H412" s="2"/>
      <c r="I412" s="2"/>
      <c r="J412" s="2"/>
      <c r="K412" s="2"/>
      <c r="L412" s="2"/>
      <c r="M412" s="2"/>
      <c r="N412" s="2"/>
    </row>
    <row r="413" spans="1:20">
      <c r="A413" s="2"/>
      <c r="B413" s="2"/>
      <c r="C413" s="28"/>
      <c r="G413" s="2"/>
      <c r="H413" s="2"/>
      <c r="I413" s="2"/>
      <c r="J413" s="2"/>
      <c r="K413" s="2"/>
      <c r="L413" s="2"/>
      <c r="M413" s="2"/>
      <c r="N413" s="2"/>
    </row>
    <row r="414" spans="1:20">
      <c r="A414" s="2"/>
      <c r="B414" s="2"/>
      <c r="C414" s="28"/>
      <c r="G414" s="2"/>
      <c r="H414" s="2"/>
      <c r="I414" s="2"/>
      <c r="J414" s="2"/>
      <c r="K414" s="2"/>
      <c r="L414" s="2"/>
      <c r="M414" s="2"/>
      <c r="N414" s="2"/>
    </row>
    <row r="415" spans="1:20">
      <c r="A415" s="2"/>
      <c r="B415" s="2"/>
      <c r="C415" s="28"/>
      <c r="G415" s="2"/>
      <c r="H415" s="2"/>
      <c r="I415" s="2"/>
      <c r="J415" s="2"/>
      <c r="K415" s="2"/>
      <c r="L415" s="2"/>
      <c r="M415" s="2"/>
      <c r="N415" s="2"/>
    </row>
    <row r="416" spans="1:20">
      <c r="A416" s="2"/>
      <c r="B416" s="2"/>
      <c r="C416" s="28"/>
      <c r="G416" s="2"/>
      <c r="H416" s="2"/>
      <c r="I416" s="2"/>
      <c r="J416" s="2"/>
      <c r="K416" s="2"/>
      <c r="L416" s="2"/>
      <c r="M416" s="2"/>
      <c r="N416" s="2"/>
    </row>
    <row r="417" spans="7:14">
      <c r="G417" s="2"/>
      <c r="H417" s="2"/>
      <c r="I417" s="2"/>
      <c r="J417" s="2"/>
      <c r="K417" s="2"/>
      <c r="L417" s="2"/>
      <c r="M417" s="2"/>
      <c r="N417" s="2"/>
    </row>
    <row r="418" spans="7:14">
      <c r="G418" s="2"/>
      <c r="H418" s="2"/>
      <c r="I418" s="2"/>
      <c r="J418" s="2"/>
      <c r="K418" s="2"/>
      <c r="L418" s="2"/>
      <c r="M418" s="2"/>
      <c r="N418" s="2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58"/>
  <sheetViews>
    <sheetView showGridLines="0" topLeftCell="A31" workbookViewId="0">
      <selection activeCell="E5" sqref="E5"/>
    </sheetView>
  </sheetViews>
  <sheetFormatPr defaultRowHeight="12.75"/>
  <cols>
    <col min="1" max="1" width="3.42578125" customWidth="1"/>
    <col min="2" max="2" width="11.140625" style="1" customWidth="1"/>
    <col min="3" max="3" width="7.42578125" style="1" customWidth="1"/>
    <col min="4" max="4" width="13" style="1" customWidth="1"/>
    <col min="5" max="5" width="14" style="133" customWidth="1"/>
    <col min="6" max="8" width="9.140625" style="1"/>
    <col min="9" max="9" width="12.42578125" style="1" bestFit="1" customWidth="1"/>
    <col min="10" max="10" width="12.140625" style="1" customWidth="1"/>
    <col min="11" max="14" width="9.140625" style="1"/>
  </cols>
  <sheetData>
    <row r="1" spans="1:5" ht="18.75">
      <c r="A1" s="54" t="str">
        <f>PlantByAcctByCounty!A1</f>
        <v>Peoples Gas System 2015 Property Tax Return</v>
      </c>
    </row>
    <row r="2" spans="1:5" ht="18.75">
      <c r="A2" s="87" t="s">
        <v>1146</v>
      </c>
    </row>
    <row r="4" spans="1:5">
      <c r="B4" s="176" t="s">
        <v>1145</v>
      </c>
    </row>
    <row r="5" spans="1:5">
      <c r="B5" s="2" t="s">
        <v>443</v>
      </c>
      <c r="C5" s="1" t="s">
        <v>216</v>
      </c>
      <c r="D5" s="1" t="s">
        <v>322</v>
      </c>
      <c r="E5" s="201">
        <f>PlantByAcctByCounty!C217</f>
        <v>548927.72</v>
      </c>
    </row>
    <row r="6" spans="1:5">
      <c r="B6" s="2" t="s">
        <v>443</v>
      </c>
      <c r="C6" s="1" t="s">
        <v>216</v>
      </c>
      <c r="D6" s="1" t="s">
        <v>243</v>
      </c>
      <c r="E6" s="201">
        <f>PlantByAcctByCounty!C218</f>
        <v>57839393.549999997</v>
      </c>
    </row>
    <row r="7" spans="1:5">
      <c r="B7" s="2" t="s">
        <v>443</v>
      </c>
      <c r="C7" s="1" t="s">
        <v>216</v>
      </c>
      <c r="D7" s="1" t="s">
        <v>512</v>
      </c>
      <c r="E7" s="201">
        <f>PlantByAcctByCounty!C219</f>
        <v>307882.8</v>
      </c>
    </row>
    <row r="8" spans="1:5">
      <c r="B8" s="2" t="s">
        <v>443</v>
      </c>
      <c r="C8" s="1" t="s">
        <v>216</v>
      </c>
      <c r="D8" s="1" t="s">
        <v>594</v>
      </c>
      <c r="E8" s="201">
        <f>PlantByAcctByCounty!C220</f>
        <v>22700.59</v>
      </c>
    </row>
    <row r="9" spans="1:5">
      <c r="B9" s="2" t="s">
        <v>666</v>
      </c>
      <c r="C9" s="1" t="s">
        <v>216</v>
      </c>
      <c r="E9" s="201">
        <v>0</v>
      </c>
    </row>
    <row r="10" spans="1:5" ht="13.5" thickBot="1">
      <c r="D10" s="202" t="s">
        <v>667</v>
      </c>
      <c r="E10" s="268">
        <f>SUM(E5:E9)</f>
        <v>58718904.659999996</v>
      </c>
    </row>
    <row r="11" spans="1:5" ht="13.5" thickTop="1"/>
    <row r="12" spans="1:5">
      <c r="B12" s="176" t="s">
        <v>668</v>
      </c>
    </row>
    <row r="14" spans="1:5">
      <c r="D14" s="180" t="s">
        <v>669</v>
      </c>
      <c r="E14" s="269" t="s">
        <v>670</v>
      </c>
    </row>
    <row r="15" spans="1:5">
      <c r="A15" s="345"/>
      <c r="B15" s="270" t="s">
        <v>306</v>
      </c>
      <c r="C15" s="270" t="s">
        <v>671</v>
      </c>
      <c r="D15" s="270" t="s">
        <v>672</v>
      </c>
      <c r="E15" s="271" t="s">
        <v>14</v>
      </c>
    </row>
    <row r="16" spans="1:5">
      <c r="A16" s="345" t="s">
        <v>103</v>
      </c>
      <c r="B16" s="1" t="s">
        <v>161</v>
      </c>
      <c r="C16" s="272">
        <f>Bills!C7</f>
        <v>25</v>
      </c>
      <c r="D16" s="273">
        <f t="shared" ref="D16:D56" si="0">C16/$C$57</f>
        <v>7.2717330285022844E-5</v>
      </c>
      <c r="E16" s="133">
        <f>D16*$E$10</f>
        <v>4269.8819841359864</v>
      </c>
    </row>
    <row r="17" spans="1:5">
      <c r="A17" s="345" t="s">
        <v>104</v>
      </c>
      <c r="B17" s="1" t="s">
        <v>141</v>
      </c>
      <c r="C17" s="272">
        <f>Bills!C8</f>
        <v>17096</v>
      </c>
      <c r="D17" s="273">
        <f t="shared" si="0"/>
        <v>4.9727019142110022E-2</v>
      </c>
      <c r="E17" s="133">
        <f t="shared" ref="E17:E56" si="1">D17*$E$10</f>
        <v>2919916.0960315531</v>
      </c>
    </row>
    <row r="18" spans="1:5">
      <c r="A18" s="345" t="s">
        <v>105</v>
      </c>
      <c r="B18" s="1" t="s">
        <v>142</v>
      </c>
      <c r="C18" s="272">
        <f>Bills!C9</f>
        <v>1</v>
      </c>
      <c r="D18" s="273">
        <f t="shared" si="0"/>
        <v>2.9086932114009141E-6</v>
      </c>
      <c r="E18" s="133">
        <f t="shared" si="1"/>
        <v>170.79527936543948</v>
      </c>
    </row>
    <row r="19" spans="1:5">
      <c r="A19" s="345" t="s">
        <v>106</v>
      </c>
      <c r="B19" s="1" t="s">
        <v>162</v>
      </c>
      <c r="C19" s="272">
        <f>Bills!C10</f>
        <v>29590</v>
      </c>
      <c r="D19" s="273">
        <f t="shared" si="0"/>
        <v>8.6068232125353042E-2</v>
      </c>
      <c r="E19" s="133">
        <f t="shared" si="1"/>
        <v>5053832.3164233537</v>
      </c>
    </row>
    <row r="20" spans="1:5">
      <c r="A20" s="345" t="s">
        <v>107</v>
      </c>
      <c r="B20" s="1" t="s">
        <v>143</v>
      </c>
      <c r="C20" s="272">
        <f>Bills!C11</f>
        <v>895</v>
      </c>
      <c r="D20" s="273">
        <f t="shared" si="0"/>
        <v>2.6032804242038178E-3</v>
      </c>
      <c r="E20" s="133">
        <f t="shared" si="1"/>
        <v>152861.77503206831</v>
      </c>
    </row>
    <row r="21" spans="1:5">
      <c r="A21" s="345" t="s">
        <v>108</v>
      </c>
      <c r="B21" s="1" t="s">
        <v>2</v>
      </c>
      <c r="C21" s="272">
        <f>Bills!C12</f>
        <v>183</v>
      </c>
      <c r="D21" s="273">
        <f t="shared" si="0"/>
        <v>5.3229085768636728E-4</v>
      </c>
      <c r="E21" s="133">
        <f t="shared" si="1"/>
        <v>31255.536123875427</v>
      </c>
    </row>
    <row r="22" spans="1:5">
      <c r="A22" s="345" t="s">
        <v>109</v>
      </c>
      <c r="B22" s="1" t="s">
        <v>3</v>
      </c>
      <c r="C22" s="272">
        <f>Bills!C13</f>
        <v>3983</v>
      </c>
      <c r="D22" s="273">
        <f t="shared" si="0"/>
        <v>1.158532506100984E-2</v>
      </c>
      <c r="E22" s="133">
        <f t="shared" si="1"/>
        <v>680277.59771254542</v>
      </c>
    </row>
    <row r="23" spans="1:5">
      <c r="A23" s="345" t="s">
        <v>110</v>
      </c>
      <c r="B23" s="1" t="s">
        <v>0</v>
      </c>
      <c r="C23" s="272">
        <f>Bills!C14</f>
        <v>3</v>
      </c>
      <c r="D23" s="273">
        <f t="shared" si="0"/>
        <v>8.7260796342027414E-6</v>
      </c>
      <c r="E23" s="133">
        <f t="shared" si="1"/>
        <v>512.38583809631837</v>
      </c>
    </row>
    <row r="24" spans="1:5">
      <c r="A24" s="345" t="s">
        <v>111</v>
      </c>
      <c r="B24" s="1" t="s">
        <v>163</v>
      </c>
      <c r="C24" s="272">
        <f>Bills!C15</f>
        <v>30167</v>
      </c>
      <c r="D24" s="273">
        <f t="shared" si="0"/>
        <v>8.7746548108331365E-2</v>
      </c>
      <c r="E24" s="133">
        <f t="shared" si="1"/>
        <v>5152381.1926172124</v>
      </c>
    </row>
    <row r="25" spans="1:5">
      <c r="A25" s="345" t="s">
        <v>112</v>
      </c>
      <c r="B25" s="1" t="s">
        <v>164</v>
      </c>
      <c r="C25" s="272">
        <f>Bills!C16</f>
        <v>16275</v>
      </c>
      <c r="D25" s="273">
        <f t="shared" si="0"/>
        <v>4.7338982015549876E-2</v>
      </c>
      <c r="E25" s="133">
        <f t="shared" si="1"/>
        <v>2779693.1716725277</v>
      </c>
    </row>
    <row r="26" spans="1:5">
      <c r="A26" s="345" t="s">
        <v>113</v>
      </c>
      <c r="B26" s="1" t="s">
        <v>144</v>
      </c>
      <c r="C26" s="272">
        <f>Bills!C17</f>
        <v>192</v>
      </c>
      <c r="D26" s="273">
        <f t="shared" si="0"/>
        <v>5.5846909658897545E-4</v>
      </c>
      <c r="E26" s="133">
        <f t="shared" si="1"/>
        <v>32792.693638164375</v>
      </c>
    </row>
    <row r="27" spans="1:5">
      <c r="A27" s="345" t="s">
        <v>114</v>
      </c>
      <c r="B27" s="1" t="s">
        <v>4</v>
      </c>
      <c r="C27" s="272">
        <f>Bills!C18</f>
        <v>1</v>
      </c>
      <c r="D27" s="273">
        <f t="shared" si="0"/>
        <v>2.9086932114009141E-6</v>
      </c>
      <c r="E27" s="133">
        <f t="shared" si="1"/>
        <v>170.79527936543948</v>
      </c>
    </row>
    <row r="28" spans="1:5">
      <c r="A28" s="345" t="s">
        <v>115</v>
      </c>
      <c r="B28" s="1" t="s">
        <v>5</v>
      </c>
      <c r="C28" s="272">
        <f>Bills!C19</f>
        <v>1040</v>
      </c>
      <c r="D28" s="273">
        <f t="shared" si="0"/>
        <v>3.0250409398569506E-3</v>
      </c>
      <c r="E28" s="133">
        <f t="shared" si="1"/>
        <v>177627.09054005708</v>
      </c>
    </row>
    <row r="29" spans="1:5">
      <c r="A29" s="345" t="s">
        <v>116</v>
      </c>
      <c r="B29" s="1" t="s">
        <v>165</v>
      </c>
      <c r="C29" s="272">
        <f>Bills!C20</f>
        <v>405</v>
      </c>
      <c r="D29" s="273">
        <f t="shared" si="0"/>
        <v>1.1780207506173702E-3</v>
      </c>
      <c r="E29" s="133">
        <f t="shared" si="1"/>
        <v>69172.088143002999</v>
      </c>
    </row>
    <row r="30" spans="1:5">
      <c r="A30" s="345" t="s">
        <v>117</v>
      </c>
      <c r="B30" s="1" t="s">
        <v>166</v>
      </c>
      <c r="C30" s="272">
        <f>Bills!C21</f>
        <v>54093</v>
      </c>
      <c r="D30" s="273">
        <f t="shared" si="0"/>
        <v>0.15733994188430964</v>
      </c>
      <c r="E30" s="133">
        <f t="shared" si="1"/>
        <v>9238829.0467147175</v>
      </c>
    </row>
    <row r="31" spans="1:5">
      <c r="A31" s="345" t="s">
        <v>118</v>
      </c>
      <c r="B31" s="1" t="s">
        <v>207</v>
      </c>
      <c r="C31" s="272">
        <f>Bills!C22</f>
        <v>1</v>
      </c>
      <c r="D31" s="273">
        <f t="shared" si="0"/>
        <v>2.9086932114009141E-6</v>
      </c>
      <c r="E31" s="133">
        <f t="shared" si="1"/>
        <v>170.79527936543948</v>
      </c>
    </row>
    <row r="32" spans="1:5">
      <c r="A32" s="345" t="s">
        <v>119</v>
      </c>
      <c r="B32" s="1" t="s">
        <v>8</v>
      </c>
      <c r="C32" s="272">
        <f>Bills!C23</f>
        <v>1</v>
      </c>
      <c r="D32" s="273">
        <f t="shared" si="0"/>
        <v>2.9086932114009141E-6</v>
      </c>
      <c r="E32" s="133">
        <f t="shared" si="1"/>
        <v>170.79527936543948</v>
      </c>
    </row>
    <row r="33" spans="1:5">
      <c r="A33" s="345" t="s">
        <v>120</v>
      </c>
      <c r="B33" s="1" t="s">
        <v>145</v>
      </c>
      <c r="C33" s="272">
        <f>Bills!C24</f>
        <v>7757</v>
      </c>
      <c r="D33" s="273">
        <f t="shared" si="0"/>
        <v>2.256273324083689E-2</v>
      </c>
      <c r="E33" s="133">
        <f t="shared" si="1"/>
        <v>1324858.982037714</v>
      </c>
    </row>
    <row r="34" spans="1:5">
      <c r="A34" s="345" t="s">
        <v>121</v>
      </c>
      <c r="B34" s="1" t="s">
        <v>9</v>
      </c>
      <c r="C34" s="272">
        <f>Bills!C25</f>
        <v>4715</v>
      </c>
      <c r="D34" s="273">
        <f t="shared" si="0"/>
        <v>1.3714488491755309E-2</v>
      </c>
      <c r="E34" s="133">
        <f t="shared" si="1"/>
        <v>805299.74220804707</v>
      </c>
    </row>
    <row r="35" spans="1:5">
      <c r="A35" s="345" t="s">
        <v>122</v>
      </c>
      <c r="B35" s="1" t="s">
        <v>146</v>
      </c>
      <c r="C35" s="272">
        <v>0</v>
      </c>
      <c r="D35" s="273">
        <f t="shared" si="0"/>
        <v>0</v>
      </c>
      <c r="E35" s="133">
        <f t="shared" si="1"/>
        <v>0</v>
      </c>
    </row>
    <row r="36" spans="1:5">
      <c r="A36" s="345" t="s">
        <v>123</v>
      </c>
      <c r="B36" s="1" t="s">
        <v>147</v>
      </c>
      <c r="C36" s="272">
        <f>Bills!C27</f>
        <v>3</v>
      </c>
      <c r="D36" s="273">
        <f t="shared" si="0"/>
        <v>8.7260796342027414E-6</v>
      </c>
      <c r="E36" s="133">
        <f t="shared" si="1"/>
        <v>512.38583809631837</v>
      </c>
    </row>
    <row r="37" spans="1:5">
      <c r="A37" s="345" t="s">
        <v>124</v>
      </c>
      <c r="B37" s="1" t="s">
        <v>148</v>
      </c>
      <c r="C37" s="272">
        <f>Bills!C28</f>
        <v>1</v>
      </c>
      <c r="D37" s="273">
        <f t="shared" si="0"/>
        <v>2.9086932114009141E-6</v>
      </c>
      <c r="E37" s="133">
        <f t="shared" si="1"/>
        <v>170.79527936543948</v>
      </c>
    </row>
    <row r="38" spans="1:5">
      <c r="A38" s="345" t="s">
        <v>125</v>
      </c>
      <c r="B38" s="1" t="s">
        <v>167</v>
      </c>
      <c r="C38" s="272">
        <f>Bills!C29</f>
        <v>19053</v>
      </c>
      <c r="D38" s="273">
        <f t="shared" si="0"/>
        <v>5.5419331756821615E-2</v>
      </c>
      <c r="E38" s="133">
        <f t="shared" si="1"/>
        <v>3254162.4577497183</v>
      </c>
    </row>
    <row r="39" spans="1:5">
      <c r="A39" s="345" t="s">
        <v>126</v>
      </c>
      <c r="B39" s="1" t="s">
        <v>168</v>
      </c>
      <c r="C39" s="272">
        <f>Bills!C30</f>
        <v>20683</v>
      </c>
      <c r="D39" s="273">
        <f t="shared" si="0"/>
        <v>6.0160501691405105E-2</v>
      </c>
      <c r="E39" s="133">
        <f t="shared" si="1"/>
        <v>3532558.7631153851</v>
      </c>
    </row>
    <row r="40" spans="1:5">
      <c r="A40" s="345" t="s">
        <v>127</v>
      </c>
      <c r="B40" s="1" t="s">
        <v>10</v>
      </c>
      <c r="C40" s="272">
        <f>Bills!C31</f>
        <v>471</v>
      </c>
      <c r="D40" s="273">
        <f t="shared" si="0"/>
        <v>1.3699945025698304E-3</v>
      </c>
      <c r="E40" s="133">
        <f t="shared" si="1"/>
        <v>80444.57658112199</v>
      </c>
    </row>
    <row r="41" spans="1:5">
      <c r="A41" s="345" t="s">
        <v>128</v>
      </c>
      <c r="B41" s="1" t="s">
        <v>11</v>
      </c>
      <c r="C41" s="272">
        <f>Bills!C32</f>
        <v>4</v>
      </c>
      <c r="D41" s="273">
        <f t="shared" si="0"/>
        <v>1.1634772845603656E-5</v>
      </c>
      <c r="E41" s="133">
        <f t="shared" si="1"/>
        <v>683.18111746175794</v>
      </c>
    </row>
    <row r="42" spans="1:5">
      <c r="A42" s="345" t="s">
        <v>129</v>
      </c>
      <c r="B42" s="1" t="s">
        <v>6</v>
      </c>
      <c r="C42" s="272">
        <f>Bills!C33</f>
        <v>32366</v>
      </c>
      <c r="D42" s="273">
        <f t="shared" si="0"/>
        <v>9.4142764480201979E-2</v>
      </c>
      <c r="E42" s="133">
        <f t="shared" si="1"/>
        <v>5527960.0119418139</v>
      </c>
    </row>
    <row r="43" spans="1:5">
      <c r="A43" s="345" t="s">
        <v>130</v>
      </c>
      <c r="B43" s="1" t="s">
        <v>169</v>
      </c>
      <c r="C43" s="272">
        <f>Bills!C34</f>
        <v>7449</v>
      </c>
      <c r="D43" s="273">
        <f t="shared" si="0"/>
        <v>2.1666855731725408E-2</v>
      </c>
      <c r="E43" s="133">
        <f t="shared" si="1"/>
        <v>1272254.0359931588</v>
      </c>
    </row>
    <row r="44" spans="1:5">
      <c r="A44" s="345" t="s">
        <v>131</v>
      </c>
      <c r="B44" s="1" t="s">
        <v>170</v>
      </c>
      <c r="C44" s="272">
        <f>Bills!C35</f>
        <v>11058</v>
      </c>
      <c r="D44" s="273">
        <f t="shared" si="0"/>
        <v>3.2164329531671303E-2</v>
      </c>
      <c r="E44" s="133">
        <f t="shared" si="1"/>
        <v>1888654.1992230297</v>
      </c>
    </row>
    <row r="45" spans="1:5">
      <c r="A45" s="345" t="s">
        <v>132</v>
      </c>
      <c r="B45" s="1" t="s">
        <v>171</v>
      </c>
      <c r="C45" s="272">
        <f>Bills!C36</f>
        <v>9606</v>
      </c>
      <c r="D45" s="273">
        <f t="shared" si="0"/>
        <v>2.7940906988717179E-2</v>
      </c>
      <c r="E45" s="133">
        <f t="shared" si="1"/>
        <v>1640659.4535844116</v>
      </c>
    </row>
    <row r="46" spans="1:5">
      <c r="A46" s="345" t="s">
        <v>133</v>
      </c>
      <c r="B46" s="1" t="s">
        <v>172</v>
      </c>
      <c r="C46" s="272">
        <f>Bills!C37</f>
        <v>22575</v>
      </c>
      <c r="D46" s="273">
        <f t="shared" si="0"/>
        <v>6.5663749247375627E-2</v>
      </c>
      <c r="E46" s="133">
        <f t="shared" si="1"/>
        <v>3855703.4316747962</v>
      </c>
    </row>
    <row r="47" spans="1:5">
      <c r="A47" s="345" t="s">
        <v>134</v>
      </c>
      <c r="B47" s="1" t="s">
        <v>173</v>
      </c>
      <c r="C47" s="272">
        <f>Bills!C38</f>
        <v>5837</v>
      </c>
      <c r="D47" s="273">
        <f t="shared" si="0"/>
        <v>1.6978042274947133E-2</v>
      </c>
      <c r="E47" s="133">
        <f t="shared" si="1"/>
        <v>996932.04565607011</v>
      </c>
    </row>
    <row r="48" spans="1:5">
      <c r="A48" s="345" t="s">
        <v>135</v>
      </c>
      <c r="B48" s="1" t="s">
        <v>149</v>
      </c>
      <c r="C48" s="272">
        <f>Bills!C39</f>
        <v>3</v>
      </c>
      <c r="D48" s="273">
        <f t="shared" si="0"/>
        <v>8.7260796342027414E-6</v>
      </c>
      <c r="E48" s="133">
        <f t="shared" si="1"/>
        <v>512.38583809631837</v>
      </c>
    </row>
    <row r="49" spans="1:5">
      <c r="A49" s="345" t="s">
        <v>154</v>
      </c>
      <c r="B49" s="1" t="s">
        <v>137</v>
      </c>
      <c r="C49" s="272">
        <f>Bills!C40</f>
        <v>10789</v>
      </c>
      <c r="D49" s="273">
        <f t="shared" si="0"/>
        <v>3.1381891057804458E-2</v>
      </c>
      <c r="E49" s="133">
        <f t="shared" si="1"/>
        <v>1842710.2690737264</v>
      </c>
    </row>
    <row r="50" spans="1:5">
      <c r="A50" s="345" t="s">
        <v>155</v>
      </c>
      <c r="B50" s="1" t="s">
        <v>7</v>
      </c>
      <c r="C50" s="272">
        <f>Bills!C41</f>
        <v>7713</v>
      </c>
      <c r="D50" s="273">
        <f t="shared" si="0"/>
        <v>2.2434750739535249E-2</v>
      </c>
      <c r="E50" s="133">
        <f t="shared" si="1"/>
        <v>1317343.9897456346</v>
      </c>
    </row>
    <row r="51" spans="1:5">
      <c r="A51" s="345" t="s">
        <v>156</v>
      </c>
      <c r="B51" s="1" t="s">
        <v>1</v>
      </c>
      <c r="C51" s="272">
        <f>Bills!C42</f>
        <v>3929</v>
      </c>
      <c r="D51" s="273">
        <f t="shared" si="0"/>
        <v>1.142825562759419E-2</v>
      </c>
      <c r="E51" s="133">
        <f t="shared" si="1"/>
        <v>671054.65262681164</v>
      </c>
    </row>
    <row r="52" spans="1:5">
      <c r="A52" s="345" t="s">
        <v>157</v>
      </c>
      <c r="B52" s="1" t="s">
        <v>150</v>
      </c>
      <c r="C52" s="272">
        <f>Bills!C43</f>
        <v>2</v>
      </c>
      <c r="D52" s="273">
        <f t="shared" si="0"/>
        <v>5.8173864228018281E-6</v>
      </c>
      <c r="E52" s="133">
        <f t="shared" si="1"/>
        <v>341.59055873087897</v>
      </c>
    </row>
    <row r="53" spans="1:5">
      <c r="A53" s="345" t="s">
        <v>158</v>
      </c>
      <c r="B53" s="1" t="s">
        <v>12</v>
      </c>
      <c r="C53" s="272">
        <f>Bills!C44</f>
        <v>18587</v>
      </c>
      <c r="D53" s="273">
        <f t="shared" si="0"/>
        <v>5.4063880720308786E-2</v>
      </c>
      <c r="E53" s="133">
        <f t="shared" si="1"/>
        <v>3174571.8575654235</v>
      </c>
    </row>
    <row r="54" spans="1:5">
      <c r="A54" s="345" t="s">
        <v>159</v>
      </c>
      <c r="B54" s="1" t="s">
        <v>151</v>
      </c>
      <c r="C54" s="272">
        <v>0</v>
      </c>
      <c r="D54" s="273">
        <f t="shared" si="0"/>
        <v>0</v>
      </c>
      <c r="E54" s="133">
        <f t="shared" si="1"/>
        <v>0</v>
      </c>
    </row>
    <row r="55" spans="1:5">
      <c r="A55" s="345" t="s">
        <v>160</v>
      </c>
      <c r="B55" s="1" t="s">
        <v>152</v>
      </c>
      <c r="C55" s="272">
        <f>Bills!C45</f>
        <v>7242</v>
      </c>
      <c r="D55" s="273">
        <f t="shared" si="0"/>
        <v>2.106475623696542E-2</v>
      </c>
      <c r="E55" s="133">
        <f t="shared" si="1"/>
        <v>1236899.4131645127</v>
      </c>
    </row>
    <row r="56" spans="1:5">
      <c r="A56" s="345" t="s">
        <v>206</v>
      </c>
      <c r="B56" s="1" t="s">
        <v>153</v>
      </c>
      <c r="C56" s="272">
        <f>Bills!C46</f>
        <v>3</v>
      </c>
      <c r="D56" s="273">
        <f t="shared" si="0"/>
        <v>8.7260796342027414E-6</v>
      </c>
      <c r="E56" s="133">
        <f t="shared" si="1"/>
        <v>512.38583809631837</v>
      </c>
    </row>
    <row r="57" spans="1:5" ht="13.5" thickBot="1">
      <c r="C57" s="274">
        <f>SUM(C16:C56)</f>
        <v>343797</v>
      </c>
      <c r="D57" s="227">
        <f>SUM(D16:D56)</f>
        <v>1</v>
      </c>
      <c r="E57" s="268">
        <f>SUM(E16:E56)</f>
        <v>58718904.659999982</v>
      </c>
    </row>
    <row r="58" spans="1:5" ht="13.5" thickTop="1">
      <c r="E58" s="133">
        <f>E57-E10</f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B0D18"/>
  </sheetPr>
  <dimension ref="A1:S388"/>
  <sheetViews>
    <sheetView showGridLines="0" topLeftCell="A34" workbookViewId="0">
      <selection activeCell="C96" sqref="C96"/>
    </sheetView>
  </sheetViews>
  <sheetFormatPr defaultRowHeight="12.75"/>
  <cols>
    <col min="1" max="1" width="6.5703125" customWidth="1"/>
    <col min="2" max="2" width="19.5703125" customWidth="1"/>
    <col min="4" max="4" width="11.5703125" customWidth="1"/>
    <col min="6" max="6" width="12" customWidth="1"/>
    <col min="12" max="12" width="24.7109375" customWidth="1"/>
    <col min="15" max="15" width="21.7109375" customWidth="1"/>
  </cols>
  <sheetData>
    <row r="1" spans="1:19">
      <c r="A1" s="1"/>
      <c r="B1" s="1"/>
      <c r="C1" s="280"/>
      <c r="D1" s="1"/>
      <c r="E1" s="1"/>
      <c r="F1" s="1"/>
      <c r="G1" s="1"/>
      <c r="H1" s="1"/>
      <c r="I1" s="133"/>
      <c r="J1" s="1"/>
      <c r="K1" s="1"/>
      <c r="L1" s="1"/>
      <c r="M1" s="1"/>
      <c r="N1" s="1"/>
      <c r="O1" s="1"/>
      <c r="P1" s="281"/>
      <c r="Q1" s="282"/>
      <c r="R1" s="1"/>
      <c r="S1" s="1"/>
    </row>
    <row r="2" spans="1:19" ht="15.75">
      <c r="A2" s="1"/>
      <c r="B2" s="93" t="s">
        <v>680</v>
      </c>
      <c r="C2" s="280"/>
      <c r="D2" s="1"/>
      <c r="E2" s="1"/>
      <c r="F2" s="1"/>
      <c r="G2" s="1"/>
      <c r="H2" s="93" t="s">
        <v>633</v>
      </c>
      <c r="I2" s="133"/>
      <c r="J2" s="1"/>
      <c r="K2" s="1"/>
      <c r="L2" s="1"/>
      <c r="M2" s="1"/>
      <c r="N2" s="1"/>
      <c r="O2" s="1"/>
      <c r="P2" s="282"/>
      <c r="Q2" s="282"/>
      <c r="R2" s="1"/>
      <c r="S2" s="1"/>
    </row>
    <row r="3" spans="1:19" ht="15.75">
      <c r="A3" s="1"/>
      <c r="B3" s="283"/>
      <c r="C3" s="280"/>
      <c r="D3" s="176"/>
      <c r="E3" s="176"/>
      <c r="F3" s="1"/>
      <c r="G3" s="1"/>
      <c r="H3" s="283"/>
      <c r="I3" s="133"/>
      <c r="J3" s="1"/>
      <c r="K3" s="1"/>
      <c r="L3" s="1"/>
      <c r="M3" s="1"/>
      <c r="N3" s="1"/>
      <c r="O3" s="1"/>
      <c r="P3" s="1"/>
      <c r="Q3" s="282"/>
      <c r="R3" s="1"/>
      <c r="S3" s="1"/>
    </row>
    <row r="4" spans="1:19">
      <c r="A4" s="1"/>
      <c r="B4" s="284" t="s">
        <v>1110</v>
      </c>
      <c r="C4" s="285"/>
      <c r="D4" s="286"/>
      <c r="E4" s="286"/>
      <c r="F4" s="1"/>
      <c r="G4" s="1"/>
      <c r="H4" s="284" t="s">
        <v>636</v>
      </c>
      <c r="I4" s="216"/>
      <c r="J4" s="217"/>
      <c r="K4" s="286"/>
      <c r="L4" s="1"/>
      <c r="M4" s="1"/>
      <c r="N4" s="1"/>
      <c r="O4" s="1"/>
      <c r="P4" s="1"/>
      <c r="Q4" s="282"/>
      <c r="R4" s="1"/>
      <c r="S4" s="1"/>
    </row>
    <row r="5" spans="1:19">
      <c r="A5" s="1"/>
      <c r="B5" s="1"/>
      <c r="C5" s="280"/>
      <c r="D5" s="1"/>
      <c r="E5" s="1"/>
      <c r="F5" s="1"/>
      <c r="G5" s="1"/>
      <c r="H5" s="1"/>
      <c r="I5" s="133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287" t="s">
        <v>671</v>
      </c>
      <c r="D6" s="1"/>
      <c r="E6" s="1"/>
      <c r="F6" s="1"/>
      <c r="G6" s="1"/>
      <c r="H6" s="288" t="s">
        <v>639</v>
      </c>
      <c r="I6" s="133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">
      <c r="A7" s="190" t="s">
        <v>103</v>
      </c>
      <c r="B7" s="37" t="s">
        <v>161</v>
      </c>
      <c r="C7" s="289">
        <f>C224</f>
        <v>25</v>
      </c>
      <c r="D7" s="1"/>
      <c r="E7" s="1"/>
      <c r="F7" s="1"/>
      <c r="G7" s="1"/>
      <c r="H7" s="1" t="s">
        <v>641</v>
      </c>
      <c r="I7" s="133">
        <f>C10</f>
        <v>29590</v>
      </c>
      <c r="J7" s="225">
        <f>I7/I9</f>
        <v>0.49517211372726205</v>
      </c>
      <c r="K7" s="1"/>
      <c r="L7" s="1"/>
      <c r="M7" s="1"/>
      <c r="N7" s="290"/>
      <c r="O7" s="272"/>
      <c r="P7" s="1"/>
      <c r="Q7" s="1"/>
      <c r="R7" s="1"/>
      <c r="S7" s="1"/>
    </row>
    <row r="8" spans="1:19" ht="15">
      <c r="A8" s="190" t="s">
        <v>104</v>
      </c>
      <c r="B8" s="37" t="s">
        <v>141</v>
      </c>
      <c r="C8" s="289">
        <f>C328</f>
        <v>17096</v>
      </c>
      <c r="D8" s="1"/>
      <c r="E8" s="1"/>
      <c r="F8" s="1"/>
      <c r="G8" s="1"/>
      <c r="H8" s="1" t="s">
        <v>163</v>
      </c>
      <c r="I8" s="133">
        <f>C15</f>
        <v>30167</v>
      </c>
      <c r="J8" s="225">
        <f>I8/I9</f>
        <v>0.50482788627273789</v>
      </c>
      <c r="K8" s="1"/>
      <c r="L8" s="1"/>
      <c r="M8" s="1"/>
      <c r="N8" s="290"/>
      <c r="O8" s="272"/>
      <c r="P8" s="1"/>
      <c r="Q8" s="1"/>
      <c r="R8" s="1"/>
      <c r="S8" s="1"/>
    </row>
    <row r="9" spans="1:19" ht="13.5" thickBot="1">
      <c r="A9" s="190" t="s">
        <v>105</v>
      </c>
      <c r="B9" s="1" t="s">
        <v>142</v>
      </c>
      <c r="C9" s="353">
        <f>C236</f>
        <v>1</v>
      </c>
      <c r="D9" s="1"/>
      <c r="E9" s="1"/>
      <c r="F9" s="1"/>
      <c r="G9" s="1"/>
      <c r="H9" s="1"/>
      <c r="I9" s="226">
        <f>SUM(I7:I8)</f>
        <v>59757</v>
      </c>
      <c r="J9" s="227">
        <f>SUM(J7:J8)</f>
        <v>1</v>
      </c>
      <c r="K9" s="1"/>
      <c r="L9" s="1"/>
      <c r="M9" s="1"/>
      <c r="N9" s="290"/>
      <c r="O9" s="272"/>
      <c r="P9" s="1"/>
      <c r="Q9" s="1"/>
      <c r="R9" s="1"/>
      <c r="S9" s="1"/>
    </row>
    <row r="10" spans="1:19" ht="15.75" thickTop="1">
      <c r="A10" s="190" t="s">
        <v>106</v>
      </c>
      <c r="B10" s="291" t="s">
        <v>162</v>
      </c>
      <c r="C10" s="289">
        <f>C83</f>
        <v>29590</v>
      </c>
      <c r="D10" s="1"/>
      <c r="E10" s="1"/>
      <c r="F10" s="1"/>
      <c r="G10" s="1"/>
      <c r="H10" s="1"/>
      <c r="I10" s="133"/>
      <c r="J10" s="1"/>
      <c r="K10" s="1"/>
      <c r="L10" s="1"/>
      <c r="M10" s="1"/>
      <c r="N10" s="290"/>
      <c r="O10" s="272"/>
      <c r="P10" s="1"/>
      <c r="Q10" s="1"/>
      <c r="R10" s="1"/>
      <c r="S10" s="1"/>
    </row>
    <row r="11" spans="1:19" ht="15">
      <c r="A11" s="190" t="s">
        <v>107</v>
      </c>
      <c r="B11" s="37" t="s">
        <v>143</v>
      </c>
      <c r="C11" s="289">
        <f>C369+C296</f>
        <v>895</v>
      </c>
      <c r="D11" s="1"/>
      <c r="E11" s="1"/>
      <c r="F11" s="1"/>
      <c r="G11" s="1"/>
      <c r="H11" s="292" t="s">
        <v>642</v>
      </c>
      <c r="I11" s="133"/>
      <c r="J11" s="1"/>
      <c r="K11" s="1"/>
      <c r="L11" s="1"/>
      <c r="M11" s="1"/>
      <c r="N11" s="290"/>
      <c r="O11" s="272"/>
      <c r="P11" s="1"/>
      <c r="Q11" s="1"/>
      <c r="R11" s="1"/>
      <c r="S11" s="1"/>
    </row>
    <row r="12" spans="1:19" ht="15">
      <c r="A12" s="190" t="s">
        <v>108</v>
      </c>
      <c r="B12" s="37" t="s">
        <v>2</v>
      </c>
      <c r="C12" s="289">
        <f>C208</f>
        <v>183</v>
      </c>
      <c r="D12" s="1"/>
      <c r="E12" s="1"/>
      <c r="F12" s="1"/>
      <c r="G12" s="1"/>
      <c r="H12" s="1" t="s">
        <v>643</v>
      </c>
      <c r="I12" s="133">
        <f>C19</f>
        <v>1040</v>
      </c>
      <c r="J12" s="225">
        <f>I12/I15</f>
        <v>3.130549953342765E-2</v>
      </c>
      <c r="K12" s="1"/>
      <c r="L12" s="1"/>
      <c r="M12" s="1"/>
      <c r="N12" s="290"/>
      <c r="O12" s="272"/>
      <c r="P12" s="1"/>
      <c r="Q12" s="1"/>
      <c r="R12" s="1"/>
      <c r="S12" s="1"/>
    </row>
    <row r="13" spans="1:19" ht="15">
      <c r="A13" s="190" t="s">
        <v>109</v>
      </c>
      <c r="B13" s="37" t="s">
        <v>3</v>
      </c>
      <c r="C13" s="289">
        <f>C380</f>
        <v>3983</v>
      </c>
      <c r="D13" s="1"/>
      <c r="E13" s="1"/>
      <c r="F13" s="1"/>
      <c r="G13" s="1"/>
      <c r="H13" s="1" t="s">
        <v>171</v>
      </c>
      <c r="I13" s="133">
        <f>C36</f>
        <v>9606</v>
      </c>
      <c r="J13" s="225">
        <f>I13/I15</f>
        <v>0.28915445049817884</v>
      </c>
      <c r="K13" s="1"/>
      <c r="L13" s="1"/>
      <c r="M13" s="1"/>
      <c r="N13" s="290"/>
      <c r="O13" s="272"/>
      <c r="P13" s="1"/>
      <c r="Q13" s="1"/>
      <c r="R13" s="1"/>
      <c r="S13" s="1"/>
    </row>
    <row r="14" spans="1:19" ht="15">
      <c r="A14" s="190" t="s">
        <v>110</v>
      </c>
      <c r="B14" s="37" t="s">
        <v>0</v>
      </c>
      <c r="C14" s="289">
        <f>C227</f>
        <v>3</v>
      </c>
      <c r="D14" s="1"/>
      <c r="E14" s="1"/>
      <c r="F14" s="1"/>
      <c r="G14" s="1"/>
      <c r="H14" s="1" t="s">
        <v>172</v>
      </c>
      <c r="I14" s="133">
        <f>C37</f>
        <v>22575</v>
      </c>
      <c r="J14" s="225">
        <f>I14/I15</f>
        <v>0.67954004996839346</v>
      </c>
      <c r="K14" s="1"/>
      <c r="L14" s="1"/>
      <c r="M14" s="1"/>
      <c r="N14" s="290"/>
      <c r="O14" s="272"/>
      <c r="P14" s="1"/>
      <c r="Q14" s="1"/>
      <c r="R14" s="1"/>
      <c r="S14" s="1"/>
    </row>
    <row r="15" spans="1:19" ht="15.75" thickBot="1">
      <c r="A15" s="190" t="s">
        <v>111</v>
      </c>
      <c r="B15" s="37" t="s">
        <v>163</v>
      </c>
      <c r="C15" s="289">
        <f>C103</f>
        <v>30167</v>
      </c>
      <c r="D15" s="1"/>
      <c r="E15" s="1"/>
      <c r="F15" s="1"/>
      <c r="G15" s="1"/>
      <c r="H15" s="1"/>
      <c r="I15" s="226">
        <f>SUM(I12:I14)</f>
        <v>33221</v>
      </c>
      <c r="J15" s="227">
        <f>SUM(J12:J14)</f>
        <v>1</v>
      </c>
      <c r="K15" s="1"/>
      <c r="L15" s="1"/>
      <c r="M15" s="1"/>
      <c r="N15" s="290"/>
      <c r="O15" s="272"/>
      <c r="P15" s="1"/>
      <c r="Q15" s="1"/>
      <c r="R15" s="1"/>
      <c r="S15" s="1"/>
    </row>
    <row r="16" spans="1:19" ht="15.75" thickTop="1">
      <c r="A16" s="190" t="s">
        <v>112</v>
      </c>
      <c r="B16" s="37" t="s">
        <v>164</v>
      </c>
      <c r="C16" s="289">
        <f>C215</f>
        <v>16275</v>
      </c>
      <c r="D16" s="1"/>
      <c r="E16" s="1"/>
      <c r="F16" s="1"/>
      <c r="G16" s="1"/>
      <c r="H16" s="1"/>
      <c r="I16" s="133"/>
      <c r="J16" s="1"/>
      <c r="K16" s="1"/>
      <c r="L16" s="1"/>
      <c r="M16" s="1"/>
      <c r="N16" s="290"/>
      <c r="O16" s="272"/>
      <c r="P16" s="1"/>
      <c r="Q16" s="1"/>
      <c r="R16" s="1"/>
      <c r="S16" s="1"/>
    </row>
    <row r="17" spans="1:19" ht="15">
      <c r="A17" s="190" t="s">
        <v>113</v>
      </c>
      <c r="B17" s="37" t="s">
        <v>144</v>
      </c>
      <c r="C17" s="289">
        <f>C264</f>
        <v>192</v>
      </c>
      <c r="D17" s="1"/>
      <c r="E17" s="1"/>
      <c r="F17" s="1"/>
      <c r="G17" s="1"/>
      <c r="H17" s="293" t="s">
        <v>644</v>
      </c>
      <c r="I17" s="133"/>
      <c r="J17" s="1"/>
      <c r="K17" s="1"/>
      <c r="L17" s="1"/>
      <c r="M17" s="1"/>
      <c r="N17" s="290"/>
      <c r="O17" s="272"/>
      <c r="P17" s="1"/>
      <c r="Q17" s="1"/>
      <c r="R17" s="1"/>
      <c r="S17" s="1"/>
    </row>
    <row r="18" spans="1:19" ht="15">
      <c r="A18" s="190" t="s">
        <v>114</v>
      </c>
      <c r="B18" s="37" t="s">
        <v>4</v>
      </c>
      <c r="C18" s="289">
        <f>C245</f>
        <v>1</v>
      </c>
      <c r="D18" s="1"/>
      <c r="E18" s="1"/>
      <c r="F18" s="1"/>
      <c r="G18" s="1"/>
      <c r="H18" s="1" t="s">
        <v>6</v>
      </c>
      <c r="I18" s="133">
        <f>C33</f>
        <v>32366</v>
      </c>
      <c r="J18" s="225">
        <f>I18/I21</f>
        <v>0.68098804914997479</v>
      </c>
      <c r="K18" s="1"/>
      <c r="L18" s="1"/>
      <c r="M18" s="1"/>
      <c r="N18" s="290"/>
      <c r="O18" s="272"/>
      <c r="P18" s="1"/>
      <c r="Q18" s="1"/>
      <c r="R18" s="1"/>
      <c r="S18" s="1"/>
    </row>
    <row r="19" spans="1:19" ht="15">
      <c r="A19" s="190" t="s">
        <v>115</v>
      </c>
      <c r="B19" s="37" t="s">
        <v>5</v>
      </c>
      <c r="C19" s="289">
        <f>C148</f>
        <v>1040</v>
      </c>
      <c r="D19" s="1"/>
      <c r="E19" s="1"/>
      <c r="F19" s="1"/>
      <c r="G19" s="1"/>
      <c r="H19" s="1" t="s">
        <v>169</v>
      </c>
      <c r="I19" s="133">
        <f>C34</f>
        <v>7449</v>
      </c>
      <c r="J19" s="225">
        <f>I19/I21</f>
        <v>0.15672866520787745</v>
      </c>
      <c r="K19" s="1"/>
      <c r="L19" s="1"/>
      <c r="M19" s="1"/>
      <c r="N19" s="290"/>
      <c r="O19" s="272"/>
      <c r="P19" s="1"/>
      <c r="Q19" s="1"/>
      <c r="R19" s="1"/>
      <c r="S19" s="1"/>
    </row>
    <row r="20" spans="1:19" ht="15">
      <c r="A20" s="190" t="s">
        <v>116</v>
      </c>
      <c r="B20" s="37" t="s">
        <v>165</v>
      </c>
      <c r="C20" s="289">
        <f>C271</f>
        <v>405</v>
      </c>
      <c r="D20" s="1"/>
      <c r="E20" s="1"/>
      <c r="F20" s="1"/>
      <c r="G20" s="1"/>
      <c r="H20" s="1" t="s">
        <v>7</v>
      </c>
      <c r="I20" s="133">
        <f>C41</f>
        <v>7713</v>
      </c>
      <c r="J20" s="225">
        <f>I20/I21</f>
        <v>0.16228328564214778</v>
      </c>
      <c r="K20" s="1"/>
      <c r="L20" s="1"/>
      <c r="M20" s="1"/>
      <c r="N20" s="290"/>
      <c r="O20" s="272"/>
      <c r="P20" s="1"/>
      <c r="Q20" s="1"/>
      <c r="R20" s="1"/>
      <c r="S20" s="1"/>
    </row>
    <row r="21" spans="1:19" ht="15.75" thickBot="1">
      <c r="A21" s="190" t="s">
        <v>117</v>
      </c>
      <c r="B21" s="37" t="s">
        <v>166</v>
      </c>
      <c r="C21" s="289">
        <f>C113+C299+C246</f>
        <v>54093</v>
      </c>
      <c r="D21" s="1"/>
      <c r="E21" s="1"/>
      <c r="F21" s="1"/>
      <c r="G21" s="1"/>
      <c r="H21" s="1"/>
      <c r="I21" s="226">
        <f>SUM(I18:I20)</f>
        <v>47528</v>
      </c>
      <c r="J21" s="227">
        <f>SUM(J18:J20)</f>
        <v>1</v>
      </c>
      <c r="K21" s="1"/>
      <c r="L21" s="1"/>
      <c r="M21" s="1"/>
      <c r="N21" s="290"/>
      <c r="O21" s="272"/>
      <c r="P21" s="1"/>
      <c r="Q21" s="1"/>
      <c r="R21" s="1"/>
      <c r="S21" s="1"/>
    </row>
    <row r="22" spans="1:19" ht="15.75" thickTop="1">
      <c r="A22" s="190" t="s">
        <v>118</v>
      </c>
      <c r="B22" s="37" t="s">
        <v>207</v>
      </c>
      <c r="C22" s="289">
        <f>C337</f>
        <v>1</v>
      </c>
      <c r="D22" s="1"/>
      <c r="E22" s="1"/>
      <c r="F22" s="1"/>
      <c r="G22" s="1"/>
      <c r="H22" s="1"/>
      <c r="I22" s="133"/>
      <c r="J22" s="1"/>
      <c r="K22" s="1"/>
      <c r="L22" s="1"/>
      <c r="M22" s="1"/>
      <c r="N22" s="290"/>
      <c r="O22" s="272"/>
      <c r="P22" s="1"/>
      <c r="Q22" s="1"/>
      <c r="R22" s="1"/>
      <c r="S22" s="1"/>
    </row>
    <row r="23" spans="1:19" ht="15">
      <c r="A23" s="190" t="s">
        <v>119</v>
      </c>
      <c r="B23" s="37" t="s">
        <v>8</v>
      </c>
      <c r="C23" s="289">
        <f>C356</f>
        <v>1</v>
      </c>
      <c r="D23" s="1"/>
      <c r="E23" s="1"/>
      <c r="F23" s="1"/>
      <c r="G23" s="1"/>
      <c r="H23" s="294" t="s">
        <v>646</v>
      </c>
      <c r="I23" s="133"/>
      <c r="J23" s="1"/>
      <c r="K23" s="1"/>
      <c r="L23" s="1"/>
      <c r="M23" s="1"/>
      <c r="N23" s="290"/>
      <c r="O23" s="272"/>
      <c r="P23" s="1"/>
      <c r="Q23" s="1"/>
      <c r="R23" s="1"/>
      <c r="S23" s="1"/>
    </row>
    <row r="24" spans="1:19" ht="15">
      <c r="A24" s="190" t="s">
        <v>120</v>
      </c>
      <c r="B24" s="37" t="s">
        <v>145</v>
      </c>
      <c r="C24" s="289">
        <f>C181+C198+C360</f>
        <v>7757</v>
      </c>
      <c r="D24" s="1"/>
      <c r="E24" s="1"/>
      <c r="F24" s="1"/>
      <c r="G24" s="1"/>
      <c r="H24" s="1" t="s">
        <v>164</v>
      </c>
      <c r="I24" s="133">
        <f>C16</f>
        <v>16275</v>
      </c>
      <c r="J24" s="295">
        <f>I24/I29</f>
        <v>0.80425973512551885</v>
      </c>
      <c r="K24" s="1"/>
      <c r="L24" s="1"/>
      <c r="M24" s="1"/>
      <c r="N24" s="290"/>
      <c r="O24" s="272"/>
      <c r="P24" s="1"/>
      <c r="Q24" s="1"/>
      <c r="R24" s="1"/>
      <c r="S24" s="1"/>
    </row>
    <row r="25" spans="1:19" ht="15">
      <c r="A25" s="190" t="s">
        <v>121</v>
      </c>
      <c r="B25" s="37" t="s">
        <v>9</v>
      </c>
      <c r="C25" s="289">
        <f>C376</f>
        <v>4715</v>
      </c>
      <c r="D25" s="1"/>
      <c r="E25" s="1"/>
      <c r="F25" s="1"/>
      <c r="G25" s="1"/>
      <c r="H25" s="1" t="s">
        <v>648</v>
      </c>
      <c r="I25" s="133">
        <f>C32</f>
        <v>4</v>
      </c>
      <c r="J25" s="295">
        <f>I25/I29</f>
        <v>1.9766752322593399E-4</v>
      </c>
      <c r="K25" s="1"/>
      <c r="L25" s="1"/>
      <c r="M25" s="1"/>
      <c r="N25" s="290"/>
      <c r="O25" s="272"/>
      <c r="P25" s="1"/>
      <c r="Q25" s="1"/>
      <c r="R25" s="1"/>
      <c r="S25" s="1"/>
    </row>
    <row r="26" spans="1:19" ht="15">
      <c r="A26" s="190" t="s">
        <v>122</v>
      </c>
      <c r="B26" s="37" t="s">
        <v>146</v>
      </c>
      <c r="C26" s="289">
        <v>0</v>
      </c>
      <c r="D26" s="1"/>
      <c r="E26" s="1"/>
      <c r="F26" s="1"/>
      <c r="G26" s="1"/>
      <c r="H26" s="1" t="s">
        <v>1</v>
      </c>
      <c r="I26" s="133">
        <f>C42</f>
        <v>3929</v>
      </c>
      <c r="J26" s="295">
        <f>I26/I29</f>
        <v>0.19415892468867366</v>
      </c>
      <c r="K26" s="1"/>
      <c r="L26" s="1"/>
      <c r="M26" s="1"/>
      <c r="N26" s="290"/>
      <c r="O26" s="272"/>
      <c r="P26" s="1"/>
      <c r="Q26" s="1"/>
      <c r="R26" s="1"/>
      <c r="S26" s="1"/>
    </row>
    <row r="27" spans="1:19" ht="15">
      <c r="A27" s="190" t="s">
        <v>123</v>
      </c>
      <c r="B27" s="37" t="s">
        <v>147</v>
      </c>
      <c r="C27" s="289">
        <f>C353</f>
        <v>3</v>
      </c>
      <c r="D27" s="1"/>
      <c r="E27" s="1"/>
      <c r="F27" s="1"/>
      <c r="G27" s="1"/>
      <c r="H27" s="1" t="s">
        <v>0</v>
      </c>
      <c r="I27" s="133">
        <f>C14</f>
        <v>3</v>
      </c>
      <c r="J27" s="295">
        <f>I27/I29</f>
        <v>1.4825064241945048E-4</v>
      </c>
      <c r="K27" s="1"/>
      <c r="L27" s="1"/>
      <c r="M27" s="1"/>
      <c r="N27" s="290"/>
      <c r="O27" s="272"/>
      <c r="P27" s="1"/>
      <c r="Q27" s="1"/>
      <c r="R27" s="1"/>
      <c r="S27" s="1"/>
    </row>
    <row r="28" spans="1:19" ht="15">
      <c r="A28" s="190" t="s">
        <v>124</v>
      </c>
      <c r="B28" s="37" t="s">
        <v>148</v>
      </c>
      <c r="C28" s="289">
        <f>+C331</f>
        <v>1</v>
      </c>
      <c r="D28" s="1"/>
      <c r="E28" s="1"/>
      <c r="F28" s="1"/>
      <c r="G28" s="1"/>
      <c r="H28" s="1" t="s">
        <v>649</v>
      </c>
      <c r="I28" s="133">
        <f>C7</f>
        <v>25</v>
      </c>
      <c r="J28" s="295">
        <f>I28/I29</f>
        <v>1.2354220201620874E-3</v>
      </c>
      <c r="K28" s="1"/>
      <c r="L28" s="1"/>
      <c r="M28" s="1"/>
      <c r="N28" s="290"/>
      <c r="O28" s="272"/>
      <c r="P28" s="1"/>
      <c r="Q28" s="1"/>
      <c r="R28" s="1"/>
      <c r="S28" s="1"/>
    </row>
    <row r="29" spans="1:19" ht="15.75" thickBot="1">
      <c r="A29" s="190" t="s">
        <v>125</v>
      </c>
      <c r="B29" s="37" t="s">
        <v>167</v>
      </c>
      <c r="C29" s="289">
        <f>C293</f>
        <v>19053</v>
      </c>
      <c r="D29" s="1"/>
      <c r="E29" s="1"/>
      <c r="F29" s="1"/>
      <c r="G29" s="1"/>
      <c r="H29" s="1"/>
      <c r="I29" s="226">
        <f>SUM(I24:I28)</f>
        <v>20236</v>
      </c>
      <c r="J29" s="238">
        <f>SUM(J24:J28)</f>
        <v>1</v>
      </c>
      <c r="K29" s="1"/>
      <c r="L29" s="1"/>
      <c r="M29" s="1"/>
      <c r="N29" s="290"/>
      <c r="O29" s="272"/>
      <c r="P29" s="1"/>
      <c r="Q29" s="1"/>
      <c r="R29" s="1"/>
      <c r="S29" s="1"/>
    </row>
    <row r="30" spans="1:19" ht="15.75" thickTop="1">
      <c r="A30" s="190" t="s">
        <v>126</v>
      </c>
      <c r="B30" s="37" t="s">
        <v>168</v>
      </c>
      <c r="C30" s="289">
        <f>C346</f>
        <v>20683</v>
      </c>
      <c r="D30" s="1"/>
      <c r="E30" s="1"/>
      <c r="F30" s="1"/>
      <c r="G30" s="1"/>
      <c r="H30" s="1"/>
      <c r="I30" s="133"/>
      <c r="J30" s="1"/>
      <c r="K30" s="1"/>
      <c r="L30" s="1"/>
      <c r="M30" s="1"/>
      <c r="N30" s="290"/>
      <c r="O30" s="272"/>
      <c r="P30" s="1"/>
      <c r="Q30" s="1"/>
      <c r="R30" s="1"/>
      <c r="S30" s="1"/>
    </row>
    <row r="31" spans="1:19" ht="15">
      <c r="A31" s="190" t="s">
        <v>127</v>
      </c>
      <c r="B31" s="37" t="s">
        <v>10</v>
      </c>
      <c r="C31" s="289">
        <f>C306</f>
        <v>471</v>
      </c>
      <c r="D31" s="1"/>
      <c r="E31" s="1"/>
      <c r="F31" s="1"/>
      <c r="G31" s="1"/>
      <c r="H31" s="296" t="s">
        <v>650</v>
      </c>
      <c r="I31" s="133"/>
      <c r="J31" s="1"/>
      <c r="K31" s="1"/>
      <c r="L31" s="1"/>
      <c r="M31" s="1"/>
      <c r="N31" s="290"/>
      <c r="O31" s="272"/>
      <c r="P31" s="1"/>
      <c r="Q31" s="1"/>
      <c r="R31" s="1"/>
      <c r="S31" s="1"/>
    </row>
    <row r="32" spans="1:19" ht="15">
      <c r="A32" s="190" t="s">
        <v>128</v>
      </c>
      <c r="B32" s="37" t="s">
        <v>11</v>
      </c>
      <c r="C32" s="289">
        <f>C230</f>
        <v>4</v>
      </c>
      <c r="D32" s="1"/>
      <c r="E32" s="1"/>
      <c r="F32" s="1"/>
      <c r="G32" s="1"/>
      <c r="H32" s="1" t="s">
        <v>137</v>
      </c>
      <c r="I32" s="133">
        <f>C40</f>
        <v>10789</v>
      </c>
      <c r="J32" s="225">
        <f>I32/I34</f>
        <v>0.36153743046712689</v>
      </c>
      <c r="K32" s="1"/>
      <c r="L32" s="1"/>
      <c r="M32" s="1"/>
      <c r="N32" s="290"/>
      <c r="O32" s="272"/>
      <c r="P32" s="1"/>
      <c r="Q32" s="1"/>
      <c r="R32" s="1"/>
      <c r="S32" s="1"/>
    </row>
    <row r="33" spans="1:19" ht="15">
      <c r="A33" s="190" t="s">
        <v>129</v>
      </c>
      <c r="B33" s="37" t="s">
        <v>6</v>
      </c>
      <c r="C33" s="289">
        <f>C170+C201</f>
        <v>32366</v>
      </c>
      <c r="D33" s="1"/>
      <c r="E33" s="1"/>
      <c r="F33" s="1"/>
      <c r="G33" s="1"/>
      <c r="H33" s="1" t="s">
        <v>167</v>
      </c>
      <c r="I33" s="133">
        <f>C29</f>
        <v>19053</v>
      </c>
      <c r="J33" s="225">
        <f>I33/I34</f>
        <v>0.63846256953287317</v>
      </c>
      <c r="K33" s="1"/>
      <c r="L33" s="1"/>
      <c r="M33" s="1"/>
      <c r="N33" s="290"/>
      <c r="O33" s="272"/>
      <c r="P33" s="1"/>
      <c r="Q33" s="1"/>
      <c r="R33" s="1"/>
      <c r="S33" s="1"/>
    </row>
    <row r="34" spans="1:19" ht="15.75" thickBot="1">
      <c r="A34" s="190" t="s">
        <v>130</v>
      </c>
      <c r="B34" s="37" t="s">
        <v>169</v>
      </c>
      <c r="C34" s="289">
        <f>C175</f>
        <v>7449</v>
      </c>
      <c r="D34" s="1"/>
      <c r="E34" s="1"/>
      <c r="F34" s="1"/>
      <c r="G34" s="1"/>
      <c r="H34" s="1"/>
      <c r="I34" s="226">
        <f>SUM(I32:I33)</f>
        <v>29842</v>
      </c>
      <c r="J34" s="227">
        <f>SUM(J32:J33)</f>
        <v>1</v>
      </c>
      <c r="K34" s="1"/>
      <c r="L34" s="1"/>
      <c r="M34" s="1"/>
      <c r="N34" s="290"/>
      <c r="O34" s="272"/>
      <c r="P34" s="1"/>
      <c r="Q34" s="1"/>
      <c r="R34" s="1"/>
      <c r="S34" s="1"/>
    </row>
    <row r="35" spans="1:19" ht="15.75" thickTop="1">
      <c r="A35" s="190" t="s">
        <v>131</v>
      </c>
      <c r="B35" s="37" t="s">
        <v>170</v>
      </c>
      <c r="C35" s="289">
        <f>C312</f>
        <v>11058</v>
      </c>
      <c r="D35" s="1"/>
      <c r="E35" s="1"/>
      <c r="F35" s="1"/>
      <c r="G35" s="1"/>
      <c r="H35" s="1"/>
      <c r="I35" s="133"/>
      <c r="J35" s="1"/>
      <c r="K35" s="1"/>
      <c r="L35" s="1"/>
      <c r="M35" s="1"/>
      <c r="N35" s="290"/>
      <c r="O35" s="272"/>
      <c r="P35" s="1"/>
      <c r="Q35" s="1"/>
      <c r="R35" s="1"/>
      <c r="S35" s="1"/>
    </row>
    <row r="36" spans="1:19" ht="15">
      <c r="A36" s="190" t="s">
        <v>132</v>
      </c>
      <c r="B36" s="37" t="s">
        <v>171</v>
      </c>
      <c r="C36" s="289">
        <f>C122+C144</f>
        <v>9606</v>
      </c>
      <c r="D36" s="1"/>
      <c r="E36" s="1"/>
      <c r="F36" s="1"/>
      <c r="G36" s="1"/>
      <c r="H36" s="297" t="s">
        <v>651</v>
      </c>
      <c r="I36" s="133"/>
      <c r="J36" s="1"/>
      <c r="K36" s="1"/>
      <c r="L36" s="1"/>
      <c r="M36" s="1"/>
      <c r="N36" s="290"/>
      <c r="O36" s="272"/>
      <c r="P36" s="1"/>
      <c r="Q36" s="1"/>
      <c r="R36" s="1"/>
      <c r="S36" s="1"/>
    </row>
    <row r="37" spans="1:19" ht="15">
      <c r="A37" s="190" t="s">
        <v>133</v>
      </c>
      <c r="B37" s="37" t="s">
        <v>172</v>
      </c>
      <c r="C37" s="289">
        <f>C141</f>
        <v>22575</v>
      </c>
      <c r="D37" s="1"/>
      <c r="E37" s="1"/>
      <c r="F37" s="1"/>
      <c r="G37" s="1"/>
      <c r="H37" s="1" t="s">
        <v>168</v>
      </c>
      <c r="I37" s="133">
        <f>C30</f>
        <v>20683</v>
      </c>
      <c r="J37" s="225">
        <f>I37/I41</f>
        <v>0.52663339613993987</v>
      </c>
      <c r="K37" s="1"/>
      <c r="L37" s="1"/>
      <c r="M37" s="1"/>
      <c r="N37" s="290"/>
      <c r="O37" s="272"/>
      <c r="P37" s="1"/>
      <c r="Q37" s="1"/>
      <c r="R37" s="1"/>
      <c r="S37" s="1"/>
    </row>
    <row r="38" spans="1:19" ht="15">
      <c r="A38" s="190" t="s">
        <v>134</v>
      </c>
      <c r="B38" s="37" t="s">
        <v>173</v>
      </c>
      <c r="C38" s="289">
        <f>C178+C244+C275</f>
        <v>5837</v>
      </c>
      <c r="D38" s="1"/>
      <c r="E38" s="1"/>
      <c r="F38" s="1"/>
      <c r="G38" s="1"/>
      <c r="H38" s="1" t="s">
        <v>12</v>
      </c>
      <c r="I38" s="133">
        <f>C44</f>
        <v>18587</v>
      </c>
      <c r="J38" s="225">
        <f>I38/I41</f>
        <v>0.47326475530885576</v>
      </c>
      <c r="K38" s="1"/>
      <c r="L38" s="1"/>
      <c r="M38" s="1"/>
      <c r="N38" s="290"/>
      <c r="O38" s="272"/>
      <c r="P38" s="1"/>
      <c r="Q38" s="1"/>
      <c r="R38" s="1"/>
      <c r="S38" s="1"/>
    </row>
    <row r="39" spans="1:19" ht="15">
      <c r="A39" s="190" t="s">
        <v>135</v>
      </c>
      <c r="B39" s="37" t="s">
        <v>149</v>
      </c>
      <c r="C39" s="289">
        <f>C233</f>
        <v>3</v>
      </c>
      <c r="D39" s="1"/>
      <c r="E39" s="1"/>
      <c r="F39" s="1"/>
      <c r="G39" s="1"/>
      <c r="H39" s="1" t="s">
        <v>8</v>
      </c>
      <c r="I39" s="133">
        <f>C23</f>
        <v>1</v>
      </c>
      <c r="J39" s="225">
        <f>I39/I41</f>
        <v>2.5462137801089781E-5</v>
      </c>
      <c r="K39" s="1"/>
      <c r="L39" s="1"/>
      <c r="M39" s="1"/>
      <c r="N39" s="290"/>
      <c r="O39" s="272"/>
      <c r="P39" s="1"/>
      <c r="Q39" s="1"/>
      <c r="R39" s="1"/>
      <c r="S39" s="1"/>
    </row>
    <row r="40" spans="1:19" ht="15">
      <c r="A40" s="190" t="s">
        <v>154</v>
      </c>
      <c r="B40" s="37" t="s">
        <v>137</v>
      </c>
      <c r="C40" s="289">
        <f>C285</f>
        <v>10789</v>
      </c>
      <c r="D40" s="1"/>
      <c r="E40" s="1"/>
      <c r="F40" s="1"/>
      <c r="G40" s="1"/>
      <c r="H40" s="1" t="s">
        <v>147</v>
      </c>
      <c r="I40" s="133">
        <f>C27</f>
        <v>3</v>
      </c>
      <c r="J40" s="225">
        <f>I40/I41</f>
        <v>7.6386413403269337E-5</v>
      </c>
      <c r="K40" s="1"/>
      <c r="L40" s="1"/>
      <c r="M40" s="1"/>
      <c r="N40" s="1"/>
      <c r="O40" s="272"/>
      <c r="P40" s="1"/>
      <c r="Q40" s="1"/>
      <c r="R40" s="1"/>
      <c r="S40" s="1"/>
    </row>
    <row r="41" spans="1:19" ht="15.75" thickBot="1">
      <c r="A41" s="190" t="s">
        <v>155</v>
      </c>
      <c r="B41" s="37" t="s">
        <v>7</v>
      </c>
      <c r="C41" s="289">
        <f>C160</f>
        <v>7713</v>
      </c>
      <c r="D41" s="1"/>
      <c r="E41" s="1"/>
      <c r="F41" s="1"/>
      <c r="G41" s="1"/>
      <c r="H41" s="1"/>
      <c r="I41" s="226">
        <f>SUM(I37:I40)</f>
        <v>39274</v>
      </c>
      <c r="J41" s="227">
        <f>SUM(J37:J40)</f>
        <v>1</v>
      </c>
      <c r="K41" s="1"/>
      <c r="L41" s="1"/>
      <c r="M41" s="1"/>
      <c r="N41" s="290"/>
      <c r="O41" s="272"/>
      <c r="P41" s="1"/>
      <c r="Q41" s="1"/>
      <c r="R41" s="1"/>
      <c r="S41" s="1"/>
    </row>
    <row r="42" spans="1:19" ht="15.75" thickTop="1">
      <c r="A42" s="190" t="s">
        <v>156</v>
      </c>
      <c r="B42" s="37" t="s">
        <v>1</v>
      </c>
      <c r="C42" s="289">
        <f>C220</f>
        <v>3929</v>
      </c>
      <c r="D42" s="1"/>
      <c r="E42" s="1"/>
      <c r="F42" s="1"/>
      <c r="G42" s="1"/>
      <c r="H42" s="1"/>
      <c r="I42" s="133"/>
      <c r="J42" s="1"/>
      <c r="K42" s="1"/>
      <c r="L42" s="1"/>
      <c r="M42" s="1"/>
      <c r="N42" s="290"/>
      <c r="O42" s="272"/>
      <c r="P42" s="1"/>
      <c r="Q42" s="1"/>
      <c r="R42" s="1"/>
      <c r="S42" s="1"/>
    </row>
    <row r="43" spans="1:19" ht="15">
      <c r="A43" s="190" t="s">
        <v>157</v>
      </c>
      <c r="B43" s="37" t="s">
        <v>150</v>
      </c>
      <c r="C43" s="289">
        <f>C315</f>
        <v>2</v>
      </c>
      <c r="D43" s="1"/>
      <c r="E43" s="1"/>
      <c r="F43" s="1"/>
      <c r="G43" s="1"/>
      <c r="H43" s="298" t="s">
        <v>656</v>
      </c>
      <c r="I43" s="133"/>
      <c r="J43" s="1"/>
      <c r="K43" s="1"/>
      <c r="L43" s="1"/>
      <c r="M43" s="1"/>
      <c r="N43" s="299"/>
      <c r="O43" s="272"/>
      <c r="P43" s="1"/>
      <c r="Q43" s="1"/>
      <c r="R43" s="1"/>
      <c r="S43" s="1"/>
    </row>
    <row r="44" spans="1:19" ht="15">
      <c r="A44" s="190" t="s">
        <v>158</v>
      </c>
      <c r="B44" s="37" t="s">
        <v>12</v>
      </c>
      <c r="C44" s="289">
        <f>C350</f>
        <v>18587</v>
      </c>
      <c r="D44" s="1"/>
      <c r="E44" s="1"/>
      <c r="F44" s="1"/>
      <c r="G44" s="1"/>
      <c r="H44" s="1" t="s">
        <v>657</v>
      </c>
      <c r="I44" s="133">
        <f>C13</f>
        <v>3983</v>
      </c>
      <c r="J44" s="225">
        <f>I44/I46</f>
        <v>0.45792136123246724</v>
      </c>
      <c r="K44" s="1"/>
      <c r="L44" s="1"/>
      <c r="M44" s="1"/>
      <c r="N44" s="1"/>
      <c r="O44" s="1"/>
      <c r="P44" s="1"/>
      <c r="Q44" s="1"/>
      <c r="R44" s="1"/>
      <c r="S44" s="1"/>
    </row>
    <row r="45" spans="1:19" ht="15">
      <c r="A45" s="190" t="s">
        <v>159</v>
      </c>
      <c r="B45" s="37" t="s">
        <v>660</v>
      </c>
      <c r="C45" s="289">
        <f>C258</f>
        <v>7242</v>
      </c>
      <c r="D45" s="1"/>
      <c r="E45" s="1"/>
      <c r="F45" s="1"/>
      <c r="G45" s="1"/>
      <c r="H45" s="1" t="s">
        <v>9</v>
      </c>
      <c r="I45" s="133">
        <f>C25</f>
        <v>4715</v>
      </c>
      <c r="J45" s="225">
        <f>I45/I46</f>
        <v>0.54207863876753282</v>
      </c>
      <c r="K45" s="1"/>
      <c r="L45" s="1"/>
      <c r="M45" s="1"/>
      <c r="N45" s="1"/>
      <c r="O45" s="1"/>
      <c r="P45" s="1"/>
      <c r="Q45" s="1"/>
      <c r="R45" s="1"/>
      <c r="S45" s="1"/>
    </row>
    <row r="46" spans="1:19" ht="15.75" thickBot="1">
      <c r="A46" s="190" t="s">
        <v>160</v>
      </c>
      <c r="B46" s="37" t="s">
        <v>153</v>
      </c>
      <c r="C46" s="289">
        <f>C334</f>
        <v>3</v>
      </c>
      <c r="D46" s="1"/>
      <c r="E46" s="1"/>
      <c r="F46" s="1"/>
      <c r="G46" s="1"/>
      <c r="H46" s="1"/>
      <c r="I46" s="226">
        <f>SUM(I44:I45)</f>
        <v>8698</v>
      </c>
      <c r="J46" s="227">
        <f>SUM(J44:J45)</f>
        <v>1</v>
      </c>
      <c r="K46" s="1"/>
      <c r="L46" s="1"/>
      <c r="M46" s="1"/>
      <c r="N46" s="1"/>
      <c r="O46" s="1"/>
      <c r="P46" s="1"/>
      <c r="Q46" s="1"/>
      <c r="R46" s="1"/>
      <c r="S46" s="1"/>
    </row>
    <row r="47" spans="1:19" ht="14.25" thickTop="1" thickBot="1">
      <c r="A47" s="1"/>
      <c r="B47" s="1"/>
      <c r="C47" s="300">
        <f>SUM(C7:C46)</f>
        <v>343797</v>
      </c>
      <c r="D47" s="1"/>
      <c r="E47" s="1"/>
      <c r="F47" s="1"/>
      <c r="G47" s="1"/>
      <c r="H47" s="1"/>
      <c r="I47" s="133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3.5" thickTop="1">
      <c r="A48" s="1"/>
      <c r="B48" s="1"/>
      <c r="C48" s="289">
        <f>C47-M238</f>
        <v>0</v>
      </c>
      <c r="D48" s="1"/>
      <c r="E48" s="1"/>
      <c r="F48" s="1"/>
      <c r="G48" s="1"/>
      <c r="H48" s="248" t="s">
        <v>658</v>
      </c>
      <c r="I48" s="133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280"/>
      <c r="D49" s="1"/>
      <c r="E49" s="1"/>
      <c r="F49" s="1"/>
      <c r="G49" s="1"/>
      <c r="H49" s="1" t="s">
        <v>141</v>
      </c>
      <c r="I49" s="133">
        <f>C8</f>
        <v>17096</v>
      </c>
      <c r="J49" s="225">
        <f>I49/I52</f>
        <v>0.99976608187134508</v>
      </c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280"/>
      <c r="D50" s="1"/>
      <c r="E50" s="1"/>
      <c r="F50" s="1"/>
      <c r="G50" s="1"/>
      <c r="H50" s="1" t="s">
        <v>148</v>
      </c>
      <c r="I50" s="133">
        <f>C28</f>
        <v>1</v>
      </c>
      <c r="J50" s="225">
        <f>I50/I52</f>
        <v>5.8479532163742693E-5</v>
      </c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280"/>
      <c r="D51" s="1"/>
      <c r="E51" s="1"/>
      <c r="F51" s="1"/>
      <c r="G51" s="1"/>
      <c r="H51" s="1" t="s">
        <v>153</v>
      </c>
      <c r="I51" s="133">
        <f>C46</f>
        <v>3</v>
      </c>
      <c r="J51" s="225">
        <f>I51/I52</f>
        <v>1.7543859649122806E-4</v>
      </c>
      <c r="K51" s="1"/>
      <c r="L51" s="1"/>
      <c r="M51" s="1"/>
      <c r="N51" s="1"/>
      <c r="O51" s="1"/>
      <c r="P51" s="1"/>
      <c r="Q51" s="1"/>
      <c r="R51" s="1"/>
      <c r="S51" s="1"/>
    </row>
    <row r="52" spans="1:19" ht="13.5" thickBot="1">
      <c r="A52" s="1"/>
      <c r="B52" s="1"/>
      <c r="C52" s="280"/>
      <c r="D52" s="1"/>
      <c r="E52" s="1"/>
      <c r="F52" s="1"/>
      <c r="G52" s="1"/>
      <c r="H52" s="1"/>
      <c r="I52" s="226">
        <f>SUM(I49:I51)</f>
        <v>17100</v>
      </c>
      <c r="J52" s="227">
        <f>SUM(J49:J51)</f>
        <v>1</v>
      </c>
      <c r="K52" s="1"/>
      <c r="L52" s="1"/>
      <c r="M52" s="1"/>
      <c r="N52" s="1"/>
      <c r="O52" s="1"/>
      <c r="P52" s="1"/>
      <c r="Q52" s="1"/>
      <c r="R52" s="1"/>
      <c r="S52" s="1"/>
    </row>
    <row r="53" spans="1:19" ht="13.5" thickTop="1">
      <c r="A53" s="1"/>
      <c r="B53" s="1"/>
      <c r="C53" s="280"/>
      <c r="D53" s="1"/>
      <c r="E53" s="1"/>
      <c r="F53" s="1"/>
      <c r="G53" s="1"/>
      <c r="H53" s="1"/>
      <c r="I53" s="133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280"/>
      <c r="D54" s="2" t="s">
        <v>681</v>
      </c>
      <c r="E54" s="1"/>
      <c r="F54" s="2" t="s">
        <v>13</v>
      </c>
      <c r="G54" s="2"/>
      <c r="H54" s="248" t="s">
        <v>659</v>
      </c>
      <c r="I54" s="133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280"/>
      <c r="D55" s="32" t="s">
        <v>682</v>
      </c>
      <c r="E55" s="1"/>
      <c r="F55" s="32" t="s">
        <v>306</v>
      </c>
      <c r="G55" s="32"/>
      <c r="H55" s="1" t="s">
        <v>660</v>
      </c>
      <c r="I55" s="133">
        <f>C45</f>
        <v>7242</v>
      </c>
      <c r="J55" s="225">
        <f>I55/I57</f>
        <v>0.97417271993543175</v>
      </c>
      <c r="K55" s="1"/>
      <c r="L55" s="1"/>
      <c r="M55" s="1"/>
      <c r="N55" s="1"/>
      <c r="O55" s="1"/>
      <c r="P55" s="1"/>
      <c r="Q55" s="1"/>
      <c r="R55" s="1"/>
      <c r="S55" s="1"/>
    </row>
    <row r="56" spans="1:19" ht="13.5">
      <c r="A56" s="1"/>
      <c r="B56" s="301" t="s">
        <v>639</v>
      </c>
      <c r="C56" s="280"/>
      <c r="D56" s="1"/>
      <c r="E56" s="1"/>
      <c r="F56" s="1"/>
      <c r="G56" s="1"/>
      <c r="H56" s="1" t="s">
        <v>661</v>
      </c>
      <c r="I56" s="133">
        <f>C17</f>
        <v>192</v>
      </c>
      <c r="J56" s="225">
        <f>I56/I57</f>
        <v>2.5827280064568199E-2</v>
      </c>
      <c r="K56" s="1"/>
      <c r="L56" s="1"/>
      <c r="M56" s="1"/>
      <c r="N56" s="1"/>
      <c r="O56" s="1"/>
      <c r="P56" s="1"/>
      <c r="Q56" s="1"/>
      <c r="R56" s="1"/>
      <c r="S56" s="1"/>
    </row>
    <row r="57" spans="1:19" ht="13.5" thickBot="1">
      <c r="A57" s="1"/>
      <c r="B57" s="1" t="s">
        <v>306</v>
      </c>
      <c r="C57" s="302">
        <f>M59</f>
        <v>1698</v>
      </c>
      <c r="D57" s="242">
        <f t="shared" ref="D57:D82" si="0">C57/$C$105</f>
        <v>2.8415081078367387E-2</v>
      </c>
      <c r="E57" s="1"/>
      <c r="F57" s="242">
        <f t="shared" ref="F57:F82" si="1">C57/$C$83</f>
        <v>5.7384251436296045E-2</v>
      </c>
      <c r="G57" s="242"/>
      <c r="H57" s="1"/>
      <c r="I57" s="226">
        <f>SUM(I55:I56)</f>
        <v>7434</v>
      </c>
      <c r="J57" s="227">
        <f>SUM(J54:J56)</f>
        <v>1</v>
      </c>
      <c r="K57" s="242"/>
      <c r="L57" s="1"/>
      <c r="M57" s="1"/>
      <c r="N57" s="1"/>
      <c r="O57" s="1"/>
      <c r="P57" s="1"/>
      <c r="Q57" s="1"/>
      <c r="R57" s="1"/>
      <c r="S57" s="1"/>
    </row>
    <row r="58" spans="1:19" ht="13.5" thickTop="1">
      <c r="A58" s="1"/>
      <c r="B58" s="1" t="s">
        <v>683</v>
      </c>
      <c r="C58" s="302">
        <f>M90</f>
        <v>45</v>
      </c>
      <c r="D58" s="242">
        <f t="shared" si="0"/>
        <v>7.5304985190019578E-4</v>
      </c>
      <c r="E58" s="1"/>
      <c r="F58" s="242">
        <f t="shared" si="1"/>
        <v>1.5207840486650896E-3</v>
      </c>
      <c r="G58" s="242"/>
      <c r="H58" s="1"/>
      <c r="I58" s="133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1"/>
      <c r="B59" s="1" t="s">
        <v>684</v>
      </c>
      <c r="C59" s="302">
        <f t="shared" ref="C59:C60" si="2">M91</f>
        <v>24</v>
      </c>
      <c r="D59" s="242">
        <f t="shared" si="0"/>
        <v>4.0162658768010443E-4</v>
      </c>
      <c r="E59" s="1"/>
      <c r="F59" s="242">
        <f t="shared" si="1"/>
        <v>8.1108482595471446E-4</v>
      </c>
      <c r="G59" s="242"/>
      <c r="H59" s="1"/>
      <c r="I59" s="1"/>
      <c r="J59" s="1"/>
      <c r="K59" s="1"/>
      <c r="L59" s="303" t="s">
        <v>687</v>
      </c>
      <c r="M59" s="304">
        <v>1698</v>
      </c>
      <c r="N59" s="1"/>
      <c r="O59" s="1"/>
      <c r="P59" s="1"/>
      <c r="Q59" s="1"/>
      <c r="R59" s="1"/>
      <c r="S59" s="1"/>
    </row>
    <row r="60" spans="1:19">
      <c r="A60" s="1"/>
      <c r="B60" s="1" t="s">
        <v>685</v>
      </c>
      <c r="C60" s="302">
        <f t="shared" si="2"/>
        <v>139</v>
      </c>
      <c r="D60" s="242">
        <f t="shared" si="0"/>
        <v>2.3260873203139383E-3</v>
      </c>
      <c r="E60" s="1"/>
      <c r="F60" s="242">
        <f t="shared" si="1"/>
        <v>4.6975329503210544E-3</v>
      </c>
      <c r="G60" s="242"/>
      <c r="H60" s="1"/>
      <c r="I60" s="133"/>
      <c r="J60" s="1"/>
      <c r="K60" s="1"/>
      <c r="L60" s="303" t="s">
        <v>689</v>
      </c>
      <c r="M60" s="304">
        <v>2005</v>
      </c>
      <c r="N60" s="1"/>
      <c r="O60" s="1"/>
      <c r="P60" s="1"/>
      <c r="Q60" s="1"/>
      <c r="R60" s="1"/>
      <c r="S60" s="1"/>
    </row>
    <row r="61" spans="1:19">
      <c r="A61" s="1"/>
      <c r="B61" s="1" t="s">
        <v>686</v>
      </c>
      <c r="C61" s="302">
        <f>M64</f>
        <v>314</v>
      </c>
      <c r="D61" s="242">
        <f t="shared" si="0"/>
        <v>5.2546145221480326E-3</v>
      </c>
      <c r="E61" s="1"/>
      <c r="F61" s="242">
        <f t="shared" si="1"/>
        <v>1.0611693139574181E-2</v>
      </c>
      <c r="G61" s="242"/>
      <c r="H61" s="1"/>
      <c r="I61" s="133"/>
      <c r="J61" s="1"/>
      <c r="K61" s="1"/>
      <c r="L61" s="303" t="s">
        <v>691</v>
      </c>
      <c r="M61" s="304">
        <v>160</v>
      </c>
      <c r="N61" s="1"/>
      <c r="O61" s="1"/>
      <c r="P61" s="1"/>
      <c r="Q61" s="1"/>
      <c r="R61" s="1"/>
      <c r="S61" s="1"/>
    </row>
    <row r="62" spans="1:19">
      <c r="A62" s="1"/>
      <c r="B62" s="1" t="s">
        <v>688</v>
      </c>
      <c r="C62" s="302">
        <f>M65</f>
        <v>192</v>
      </c>
      <c r="D62" s="242">
        <f t="shared" si="0"/>
        <v>3.2130127014408354E-3</v>
      </c>
      <c r="E62" s="1"/>
      <c r="F62" s="242">
        <f t="shared" si="1"/>
        <v>6.4886786076377156E-3</v>
      </c>
      <c r="G62" s="242"/>
      <c r="H62" s="1"/>
      <c r="I62" s="133"/>
      <c r="J62" s="1"/>
      <c r="K62" s="1"/>
      <c r="L62" s="303" t="s">
        <v>693</v>
      </c>
      <c r="M62" s="304">
        <v>720</v>
      </c>
      <c r="N62" s="1"/>
      <c r="O62" s="1"/>
      <c r="P62" s="1"/>
      <c r="Q62" s="1"/>
      <c r="R62" s="1"/>
      <c r="S62" s="1"/>
    </row>
    <row r="63" spans="1:19">
      <c r="A63" s="1"/>
      <c r="B63" s="1" t="s">
        <v>690</v>
      </c>
      <c r="C63" s="302">
        <f>M93</f>
        <v>114</v>
      </c>
      <c r="D63" s="242">
        <f t="shared" si="0"/>
        <v>1.907726291480496E-3</v>
      </c>
      <c r="E63" s="1"/>
      <c r="F63" s="242">
        <f t="shared" si="1"/>
        <v>3.8526529232848937E-3</v>
      </c>
      <c r="G63" s="242"/>
      <c r="H63" s="1"/>
      <c r="I63" s="133"/>
      <c r="J63" s="1"/>
      <c r="K63" s="1"/>
      <c r="L63" s="303" t="s">
        <v>695</v>
      </c>
      <c r="M63" s="304">
        <v>254</v>
      </c>
      <c r="N63" s="1"/>
      <c r="O63" s="1"/>
      <c r="P63" s="1"/>
      <c r="Q63" s="1"/>
      <c r="R63" s="1"/>
      <c r="S63" s="1"/>
    </row>
    <row r="64" spans="1:19">
      <c r="A64" s="1"/>
      <c r="B64" s="1" t="s">
        <v>692</v>
      </c>
      <c r="C64" s="302">
        <f>M67</f>
        <v>6896</v>
      </c>
      <c r="D64" s="242">
        <f t="shared" si="0"/>
        <v>0.11540070619341668</v>
      </c>
      <c r="E64" s="1"/>
      <c r="F64" s="242">
        <f t="shared" si="1"/>
        <v>0.23305170665765462</v>
      </c>
      <c r="G64" s="242"/>
      <c r="H64" s="1"/>
      <c r="I64" s="133"/>
      <c r="J64" s="1"/>
      <c r="K64" s="1"/>
      <c r="L64" s="303" t="s">
        <v>697</v>
      </c>
      <c r="M64" s="304">
        <v>314</v>
      </c>
      <c r="N64" s="1"/>
      <c r="O64" s="1"/>
      <c r="P64" s="1"/>
      <c r="Q64" s="1"/>
      <c r="R64" s="1"/>
      <c r="S64" s="1"/>
    </row>
    <row r="65" spans="1:19">
      <c r="A65" s="1"/>
      <c r="B65" s="1" t="s">
        <v>694</v>
      </c>
      <c r="C65" s="302">
        <f>M69</f>
        <v>713</v>
      </c>
      <c r="D65" s="242">
        <f t="shared" si="0"/>
        <v>1.1931656542329768E-2</v>
      </c>
      <c r="E65" s="1"/>
      <c r="F65" s="242">
        <f t="shared" si="1"/>
        <v>2.4095978371071306E-2</v>
      </c>
      <c r="G65" s="242"/>
      <c r="H65" s="1"/>
      <c r="I65" s="133"/>
      <c r="J65" s="1"/>
      <c r="K65" s="1"/>
      <c r="L65" s="303" t="s">
        <v>699</v>
      </c>
      <c r="M65" s="304">
        <v>192</v>
      </c>
      <c r="N65" s="1"/>
      <c r="O65" s="1"/>
      <c r="P65" s="1"/>
      <c r="Q65" s="1"/>
      <c r="R65" s="1"/>
      <c r="S65" s="1"/>
    </row>
    <row r="66" spans="1:19">
      <c r="A66" s="1"/>
      <c r="B66" s="1" t="s">
        <v>696</v>
      </c>
      <c r="C66" s="302">
        <f>M70</f>
        <v>7596</v>
      </c>
      <c r="D66" s="242">
        <f t="shared" si="0"/>
        <v>0.12711481500075306</v>
      </c>
      <c r="E66" s="1"/>
      <c r="F66" s="242">
        <f t="shared" si="1"/>
        <v>0.25670834741466714</v>
      </c>
      <c r="G66" s="242"/>
      <c r="H66" s="1"/>
      <c r="I66" s="133"/>
      <c r="J66" s="1"/>
      <c r="K66" s="1"/>
      <c r="L66" s="303" t="s">
        <v>701</v>
      </c>
      <c r="M66" s="304">
        <v>56</v>
      </c>
      <c r="N66" s="1"/>
      <c r="O66" s="1"/>
      <c r="P66" s="1"/>
      <c r="Q66" s="1"/>
      <c r="R66" s="1"/>
      <c r="S66" s="1"/>
    </row>
    <row r="67" spans="1:19">
      <c r="A67" s="1"/>
      <c r="B67" s="1" t="s">
        <v>698</v>
      </c>
      <c r="C67" s="302">
        <f>M73</f>
        <v>18</v>
      </c>
      <c r="D67" s="242">
        <f t="shared" si="0"/>
        <v>3.0121994076007832E-4</v>
      </c>
      <c r="E67" s="1"/>
      <c r="F67" s="242">
        <f t="shared" si="1"/>
        <v>6.0831361946603584E-4</v>
      </c>
      <c r="G67" s="242"/>
      <c r="H67" s="1"/>
      <c r="I67" s="133"/>
      <c r="J67" s="1"/>
      <c r="K67" s="1"/>
      <c r="L67" s="303" t="s">
        <v>703</v>
      </c>
      <c r="M67" s="304">
        <v>6896</v>
      </c>
      <c r="N67" s="1"/>
      <c r="O67" s="1"/>
      <c r="P67" s="1"/>
      <c r="Q67" s="1"/>
      <c r="R67" s="1"/>
      <c r="S67" s="1"/>
    </row>
    <row r="68" spans="1:19">
      <c r="A68" s="1"/>
      <c r="B68" s="1" t="s">
        <v>700</v>
      </c>
      <c r="C68" s="302">
        <f>M72</f>
        <v>264</v>
      </c>
      <c r="D68" s="242">
        <f t="shared" si="0"/>
        <v>4.4178924644811485E-3</v>
      </c>
      <c r="E68" s="1"/>
      <c r="F68" s="242">
        <f t="shared" si="1"/>
        <v>8.921933085501859E-3</v>
      </c>
      <c r="G68" s="242"/>
      <c r="H68" s="1"/>
      <c r="I68" s="133"/>
      <c r="J68" s="1"/>
      <c r="K68" s="1"/>
      <c r="L68" s="303" t="s">
        <v>705</v>
      </c>
      <c r="M68" s="304">
        <v>190</v>
      </c>
      <c r="N68" s="1"/>
      <c r="O68" s="1"/>
      <c r="P68" s="1"/>
      <c r="Q68" s="1"/>
      <c r="R68" s="1"/>
      <c r="S68" s="1"/>
    </row>
    <row r="69" spans="1:19">
      <c r="A69" s="1"/>
      <c r="B69" s="1" t="s">
        <v>702</v>
      </c>
      <c r="C69" s="302">
        <f>M95</f>
        <v>146</v>
      </c>
      <c r="D69" s="242">
        <f t="shared" si="0"/>
        <v>2.4432284083873018E-3</v>
      </c>
      <c r="E69" s="1"/>
      <c r="F69" s="242">
        <f t="shared" si="1"/>
        <v>4.9340993578911793E-3</v>
      </c>
      <c r="G69" s="242"/>
      <c r="H69" s="1"/>
      <c r="I69" s="133"/>
      <c r="J69" s="1"/>
      <c r="K69" s="1"/>
      <c r="L69" s="303" t="s">
        <v>707</v>
      </c>
      <c r="M69" s="304">
        <v>713</v>
      </c>
      <c r="N69" s="1"/>
      <c r="O69" s="1"/>
      <c r="P69" s="1"/>
      <c r="Q69" s="1"/>
      <c r="R69" s="1"/>
      <c r="S69" s="1"/>
    </row>
    <row r="70" spans="1:19">
      <c r="A70" s="1"/>
      <c r="B70" s="1" t="s">
        <v>704</v>
      </c>
      <c r="C70" s="302">
        <f>M74</f>
        <v>22</v>
      </c>
      <c r="D70" s="242">
        <f t="shared" si="0"/>
        <v>3.6815770537342908E-4</v>
      </c>
      <c r="E70" s="1"/>
      <c r="F70" s="242">
        <f t="shared" si="1"/>
        <v>7.4349442379182155E-4</v>
      </c>
      <c r="G70" s="242"/>
      <c r="H70" s="1"/>
      <c r="I70" s="133"/>
      <c r="J70" s="1"/>
      <c r="K70" s="1"/>
      <c r="L70" s="303" t="s">
        <v>709</v>
      </c>
      <c r="M70" s="304">
        <v>7596</v>
      </c>
      <c r="N70" s="1"/>
      <c r="O70" s="1"/>
      <c r="P70" s="1"/>
      <c r="Q70" s="1"/>
      <c r="R70" s="1"/>
      <c r="S70" s="1"/>
    </row>
    <row r="71" spans="1:19">
      <c r="A71" s="1"/>
      <c r="B71" s="1" t="s">
        <v>706</v>
      </c>
      <c r="C71" s="302">
        <f>M75</f>
        <v>673</v>
      </c>
      <c r="D71" s="242">
        <f t="shared" si="0"/>
        <v>1.1262278896196262E-2</v>
      </c>
      <c r="E71" s="1"/>
      <c r="F71" s="242">
        <f t="shared" si="1"/>
        <v>2.2744170327813451E-2</v>
      </c>
      <c r="G71" s="242"/>
      <c r="H71" s="1"/>
      <c r="I71" s="133"/>
      <c r="J71" s="1"/>
      <c r="K71" s="1"/>
      <c r="L71" s="303" t="s">
        <v>711</v>
      </c>
      <c r="M71" s="304">
        <v>26</v>
      </c>
      <c r="N71" s="1"/>
      <c r="O71" s="1"/>
      <c r="P71" s="1"/>
      <c r="Q71" s="1"/>
      <c r="R71" s="1"/>
      <c r="S71" s="1"/>
    </row>
    <row r="72" spans="1:19">
      <c r="A72" s="1"/>
      <c r="B72" s="1" t="s">
        <v>708</v>
      </c>
      <c r="C72" s="302">
        <v>0</v>
      </c>
      <c r="D72" s="242">
        <f t="shared" si="0"/>
        <v>0</v>
      </c>
      <c r="E72" s="1"/>
      <c r="F72" s="242">
        <f t="shared" si="1"/>
        <v>0</v>
      </c>
      <c r="G72" s="242"/>
      <c r="H72" s="1"/>
      <c r="I72" s="133"/>
      <c r="J72" s="1"/>
      <c r="K72" s="1"/>
      <c r="L72" s="303" t="s">
        <v>713</v>
      </c>
      <c r="M72" s="304">
        <v>264</v>
      </c>
      <c r="N72" s="1"/>
      <c r="O72" s="1"/>
      <c r="P72" s="1"/>
      <c r="Q72" s="1"/>
      <c r="R72" s="1"/>
      <c r="S72" s="1"/>
    </row>
    <row r="73" spans="1:19">
      <c r="A73" s="1"/>
      <c r="B73" s="1" t="s">
        <v>710</v>
      </c>
      <c r="C73" s="302">
        <f>M94</f>
        <v>3</v>
      </c>
      <c r="D73" s="242">
        <f t="shared" si="0"/>
        <v>5.0203323460013054E-5</v>
      </c>
      <c r="E73" s="1"/>
      <c r="F73" s="242">
        <f t="shared" si="1"/>
        <v>1.0138560324433931E-4</v>
      </c>
      <c r="G73" s="242"/>
      <c r="H73" s="1"/>
      <c r="I73" s="133"/>
      <c r="J73" s="1"/>
      <c r="K73" s="1"/>
      <c r="L73" s="303" t="s">
        <v>715</v>
      </c>
      <c r="M73" s="304">
        <v>18</v>
      </c>
      <c r="N73" s="1"/>
      <c r="O73" s="1"/>
      <c r="P73" s="1"/>
      <c r="Q73" s="1"/>
      <c r="R73" s="1"/>
      <c r="S73" s="1"/>
    </row>
    <row r="74" spans="1:19">
      <c r="A74" s="1"/>
      <c r="B74" s="1" t="s">
        <v>712</v>
      </c>
      <c r="C74" s="302">
        <f>M82</f>
        <v>701</v>
      </c>
      <c r="D74" s="242">
        <f t="shared" si="0"/>
        <v>1.1730843248489716E-2</v>
      </c>
      <c r="E74" s="1"/>
      <c r="F74" s="242">
        <f t="shared" si="1"/>
        <v>2.3690435958093951E-2</v>
      </c>
      <c r="G74" s="242"/>
      <c r="H74" s="1"/>
      <c r="I74" s="133"/>
      <c r="J74" s="1"/>
      <c r="K74" s="1"/>
      <c r="L74" s="303" t="s">
        <v>717</v>
      </c>
      <c r="M74" s="304">
        <v>22</v>
      </c>
      <c r="N74" s="1"/>
      <c r="O74" s="1"/>
      <c r="P74" s="1"/>
      <c r="Q74" s="1"/>
      <c r="R74" s="1"/>
      <c r="S74" s="1"/>
    </row>
    <row r="75" spans="1:19">
      <c r="A75" s="1"/>
      <c r="B75" s="1" t="s">
        <v>714</v>
      </c>
      <c r="C75" s="302">
        <f t="shared" ref="C75" si="3">M83</f>
        <v>112</v>
      </c>
      <c r="D75" s="242">
        <f t="shared" si="0"/>
        <v>1.8742574091738207E-3</v>
      </c>
      <c r="E75" s="1"/>
      <c r="F75" s="242">
        <f t="shared" si="1"/>
        <v>3.7850625211220006E-3</v>
      </c>
      <c r="G75" s="242"/>
      <c r="H75" s="1"/>
      <c r="I75" s="133"/>
      <c r="J75" s="1"/>
      <c r="K75" s="1"/>
      <c r="L75" s="303" t="s">
        <v>719</v>
      </c>
      <c r="M75" s="304">
        <v>673</v>
      </c>
      <c r="N75" s="1"/>
      <c r="O75" s="1"/>
      <c r="P75" s="1"/>
      <c r="Q75" s="1"/>
      <c r="R75" s="1"/>
      <c r="S75" s="1"/>
    </row>
    <row r="76" spans="1:19">
      <c r="A76" s="1"/>
      <c r="B76" s="1" t="s">
        <v>716</v>
      </c>
      <c r="C76" s="302">
        <v>0</v>
      </c>
      <c r="D76" s="242">
        <f t="shared" si="0"/>
        <v>0</v>
      </c>
      <c r="E76" s="1"/>
      <c r="F76" s="242">
        <f t="shared" si="1"/>
        <v>0</v>
      </c>
      <c r="G76" s="242"/>
      <c r="H76" s="1"/>
      <c r="I76" s="133"/>
      <c r="J76" s="1"/>
      <c r="K76" s="1"/>
      <c r="L76" s="303" t="s">
        <v>721</v>
      </c>
      <c r="M76" s="304">
        <v>32</v>
      </c>
      <c r="N76" s="1"/>
      <c r="O76" s="1"/>
      <c r="P76" s="1"/>
      <c r="Q76" s="1"/>
      <c r="R76" s="1"/>
      <c r="S76" s="1"/>
    </row>
    <row r="77" spans="1:19">
      <c r="A77" s="1"/>
      <c r="B77" s="1" t="s">
        <v>718</v>
      </c>
      <c r="C77" s="302">
        <v>5000</v>
      </c>
      <c r="D77" s="242">
        <f t="shared" si="0"/>
        <v>8.3672205766688421E-2</v>
      </c>
      <c r="E77" s="1"/>
      <c r="F77" s="242">
        <f t="shared" si="1"/>
        <v>0.16897600540723218</v>
      </c>
      <c r="G77" s="242"/>
      <c r="H77" s="1"/>
      <c r="I77" s="133"/>
      <c r="J77" s="1"/>
      <c r="K77" s="1"/>
      <c r="L77" s="303" t="s">
        <v>723</v>
      </c>
      <c r="M77" s="304">
        <v>13678</v>
      </c>
      <c r="N77" s="1"/>
      <c r="O77" s="1"/>
      <c r="P77" s="1"/>
      <c r="Q77" s="1"/>
      <c r="R77" s="1"/>
      <c r="S77" s="1"/>
    </row>
    <row r="78" spans="1:19">
      <c r="A78" s="1"/>
      <c r="B78" s="1" t="s">
        <v>720</v>
      </c>
      <c r="C78" s="302">
        <f>M85</f>
        <v>1252</v>
      </c>
      <c r="D78" s="242">
        <f t="shared" si="0"/>
        <v>2.0951520323978779E-2</v>
      </c>
      <c r="E78" s="1"/>
      <c r="F78" s="242">
        <f t="shared" si="1"/>
        <v>4.2311591753970937E-2</v>
      </c>
      <c r="G78" s="242"/>
      <c r="H78" s="1"/>
      <c r="I78" s="133"/>
      <c r="J78" s="1"/>
      <c r="K78" s="1"/>
      <c r="L78" s="303" t="s">
        <v>725</v>
      </c>
      <c r="M78" s="304">
        <v>536</v>
      </c>
      <c r="N78" s="1"/>
      <c r="O78" s="1"/>
      <c r="P78" s="1"/>
      <c r="Q78" s="1"/>
      <c r="R78" s="1"/>
      <c r="S78" s="1"/>
    </row>
    <row r="79" spans="1:19">
      <c r="A79" s="1"/>
      <c r="B79" s="1" t="s">
        <v>722</v>
      </c>
      <c r="C79" s="302">
        <f>M86</f>
        <v>3601</v>
      </c>
      <c r="D79" s="242">
        <f t="shared" si="0"/>
        <v>6.0260722593169003E-2</v>
      </c>
      <c r="E79" s="1"/>
      <c r="F79" s="242">
        <f t="shared" si="1"/>
        <v>0.12169651909428861</v>
      </c>
      <c r="G79" s="242"/>
      <c r="H79" s="1"/>
      <c r="I79" s="133"/>
      <c r="J79" s="1"/>
      <c r="K79" s="1"/>
      <c r="L79" s="303" t="s">
        <v>727</v>
      </c>
      <c r="M79" s="304">
        <v>322</v>
      </c>
      <c r="N79" s="1"/>
      <c r="O79" s="1"/>
      <c r="P79" s="1"/>
      <c r="Q79" s="1"/>
      <c r="R79" s="1"/>
      <c r="S79" s="1"/>
    </row>
    <row r="80" spans="1:19">
      <c r="A80" s="1"/>
      <c r="B80" s="1" t="s">
        <v>724</v>
      </c>
      <c r="C80" s="302">
        <f>M88</f>
        <v>1</v>
      </c>
      <c r="D80" s="242">
        <f t="shared" si="0"/>
        <v>1.6734441153337686E-5</v>
      </c>
      <c r="E80" s="1"/>
      <c r="F80" s="242">
        <f t="shared" si="1"/>
        <v>3.3795201081446433E-5</v>
      </c>
      <c r="G80" s="242"/>
      <c r="H80" s="1"/>
      <c r="I80" s="133"/>
      <c r="J80" s="1"/>
      <c r="K80" s="1"/>
      <c r="L80" s="303" t="s">
        <v>729</v>
      </c>
      <c r="M80" s="304">
        <v>1420</v>
      </c>
      <c r="N80" s="1"/>
      <c r="O80" s="1"/>
      <c r="P80" s="1"/>
      <c r="Q80" s="1"/>
      <c r="R80" s="1"/>
      <c r="S80" s="1"/>
    </row>
    <row r="81" spans="1:19">
      <c r="A81" s="1"/>
      <c r="B81" s="1" t="s">
        <v>726</v>
      </c>
      <c r="C81" s="302">
        <f>M89</f>
        <v>13</v>
      </c>
      <c r="D81" s="242">
        <f t="shared" si="0"/>
        <v>2.1754773499338989E-4</v>
      </c>
      <c r="E81" s="1"/>
      <c r="F81" s="242">
        <f t="shared" si="1"/>
        <v>4.3933761405880363E-4</v>
      </c>
      <c r="G81" s="242"/>
      <c r="H81" s="1"/>
      <c r="I81" s="133"/>
      <c r="J81" s="1"/>
      <c r="K81" s="1"/>
      <c r="L81" s="303" t="s">
        <v>731</v>
      </c>
      <c r="M81" s="304">
        <v>1178</v>
      </c>
      <c r="N81" s="1"/>
      <c r="O81" s="1"/>
      <c r="P81" s="1"/>
      <c r="Q81" s="1"/>
      <c r="R81" s="1"/>
      <c r="S81" s="1"/>
    </row>
    <row r="82" spans="1:19">
      <c r="A82" s="1"/>
      <c r="B82" s="1" t="s">
        <v>728</v>
      </c>
      <c r="C82" s="302">
        <f>M98</f>
        <v>53</v>
      </c>
      <c r="D82" s="242">
        <f t="shared" si="0"/>
        <v>8.8692538112689729E-4</v>
      </c>
      <c r="E82" s="1"/>
      <c r="F82" s="242">
        <f t="shared" si="1"/>
        <v>1.791145657316661E-3</v>
      </c>
      <c r="G82" s="242"/>
      <c r="H82" s="1"/>
      <c r="I82" s="133"/>
      <c r="J82" s="1"/>
      <c r="K82" s="1"/>
      <c r="L82" s="303" t="s">
        <v>732</v>
      </c>
      <c r="M82" s="304">
        <v>701</v>
      </c>
      <c r="N82" s="1"/>
      <c r="O82" s="1"/>
      <c r="P82" s="1"/>
      <c r="Q82" s="1"/>
      <c r="R82" s="1"/>
      <c r="S82" s="1"/>
    </row>
    <row r="83" spans="1:19" ht="13.5" thickBot="1">
      <c r="A83" s="1"/>
      <c r="B83" s="202" t="s">
        <v>730</v>
      </c>
      <c r="C83" s="306">
        <f>SUM(C57:C82)</f>
        <v>29590</v>
      </c>
      <c r="D83" s="307">
        <f>SUM(D57:D82)</f>
        <v>0.49517211372726211</v>
      </c>
      <c r="E83" s="1"/>
      <c r="F83" s="308">
        <f>SUM(F57:F82)</f>
        <v>0.99999999999999989</v>
      </c>
      <c r="G83" s="309"/>
      <c r="H83" s="1"/>
      <c r="I83" s="133"/>
      <c r="J83" s="1"/>
      <c r="K83" s="1"/>
      <c r="L83" s="303" t="s">
        <v>734</v>
      </c>
      <c r="M83" s="304">
        <v>112</v>
      </c>
      <c r="N83" s="1"/>
      <c r="O83" s="1"/>
      <c r="P83" s="1"/>
      <c r="Q83" s="1"/>
      <c r="R83" s="1"/>
      <c r="S83" s="1"/>
    </row>
    <row r="84" spans="1:19" ht="13.5" thickTop="1">
      <c r="A84" s="1"/>
      <c r="B84" s="1"/>
      <c r="C84" s="302"/>
      <c r="D84" s="1"/>
      <c r="E84" s="1"/>
      <c r="F84" s="1"/>
      <c r="G84" s="1"/>
      <c r="H84" s="1"/>
      <c r="I84" s="133"/>
      <c r="J84" s="1"/>
      <c r="K84" s="1"/>
      <c r="L84" s="303" t="s">
        <v>736</v>
      </c>
      <c r="M84" s="304">
        <v>5000</v>
      </c>
      <c r="N84" s="1"/>
      <c r="O84" s="1"/>
      <c r="P84" s="1"/>
      <c r="Q84" s="1"/>
      <c r="R84" s="1"/>
      <c r="S84" s="1"/>
    </row>
    <row r="85" spans="1:19">
      <c r="A85" s="1"/>
      <c r="B85" s="1" t="s">
        <v>733</v>
      </c>
      <c r="C85" s="302">
        <f>M96</f>
        <v>257</v>
      </c>
      <c r="D85" s="242">
        <f t="shared" ref="D85:D102" si="4">C85/$C$105</f>
        <v>4.3007513764077845E-3</v>
      </c>
      <c r="E85" s="1"/>
      <c r="F85" s="242">
        <f t="shared" ref="F85:F102" si="5">C85/$C$103</f>
        <v>8.5192428812941295E-3</v>
      </c>
      <c r="G85" s="242"/>
      <c r="H85" s="1"/>
      <c r="I85" s="133"/>
      <c r="J85" s="1"/>
      <c r="K85" s="1"/>
      <c r="L85" s="303" t="s">
        <v>738</v>
      </c>
      <c r="M85" s="304">
        <v>1252</v>
      </c>
      <c r="N85" s="1"/>
      <c r="O85" s="1"/>
      <c r="P85" s="1"/>
      <c r="Q85" s="1"/>
      <c r="R85" s="1"/>
      <c r="S85" s="1"/>
    </row>
    <row r="86" spans="1:19">
      <c r="A86" s="1"/>
      <c r="B86" s="1" t="s">
        <v>735</v>
      </c>
      <c r="C86" s="302">
        <f>M61</f>
        <v>160</v>
      </c>
      <c r="D86" s="242">
        <f t="shared" si="4"/>
        <v>2.6775105845340294E-3</v>
      </c>
      <c r="E86" s="1"/>
      <c r="F86" s="242">
        <f t="shared" si="5"/>
        <v>5.3038087976928433E-3</v>
      </c>
      <c r="G86" s="242"/>
      <c r="H86" s="1"/>
      <c r="I86" s="133"/>
      <c r="J86" s="1"/>
      <c r="K86" s="1"/>
      <c r="L86" s="303" t="s">
        <v>740</v>
      </c>
      <c r="M86" s="304">
        <v>3601</v>
      </c>
      <c r="N86" s="1"/>
      <c r="O86" s="1"/>
      <c r="P86" s="1"/>
      <c r="Q86" s="1"/>
      <c r="R86" s="1"/>
      <c r="S86" s="1"/>
    </row>
    <row r="87" spans="1:19">
      <c r="A87" s="1"/>
      <c r="B87" s="1" t="s">
        <v>737</v>
      </c>
      <c r="C87" s="302">
        <f t="shared" ref="C87:C88" si="6">M62</f>
        <v>720</v>
      </c>
      <c r="D87" s="242">
        <f t="shared" si="4"/>
        <v>1.2048797630403132E-2</v>
      </c>
      <c r="E87" s="1"/>
      <c r="F87" s="242">
        <f t="shared" si="5"/>
        <v>2.3867139589617795E-2</v>
      </c>
      <c r="G87" s="242"/>
      <c r="H87" s="1"/>
      <c r="I87" s="133"/>
      <c r="J87" s="1"/>
      <c r="K87" s="1"/>
      <c r="L87" s="303" t="s">
        <v>741</v>
      </c>
      <c r="M87" s="304">
        <v>730</v>
      </c>
      <c r="N87" s="1"/>
      <c r="O87" s="1"/>
      <c r="P87" s="1"/>
      <c r="Q87" s="1"/>
      <c r="R87" s="1"/>
      <c r="S87" s="1"/>
    </row>
    <row r="88" spans="1:19">
      <c r="A88" s="1"/>
      <c r="B88" s="1" t="s">
        <v>739</v>
      </c>
      <c r="C88" s="302">
        <f t="shared" si="6"/>
        <v>254</v>
      </c>
      <c r="D88" s="242">
        <f t="shared" si="4"/>
        <v>4.2505480529477719E-3</v>
      </c>
      <c r="E88" s="1"/>
      <c r="F88" s="242">
        <f t="shared" si="5"/>
        <v>8.4197964663373891E-3</v>
      </c>
      <c r="G88" s="242"/>
      <c r="H88" s="1"/>
      <c r="I88" s="133"/>
      <c r="J88" s="1"/>
      <c r="K88" s="1"/>
      <c r="L88" s="303" t="s">
        <v>743</v>
      </c>
      <c r="M88" s="304">
        <v>1</v>
      </c>
      <c r="N88" s="1"/>
      <c r="O88" s="1"/>
      <c r="P88" s="1"/>
      <c r="Q88" s="1"/>
      <c r="R88" s="1"/>
      <c r="S88" s="1"/>
    </row>
    <row r="89" spans="1:19">
      <c r="A89" s="1"/>
      <c r="B89" s="1" t="s">
        <v>306</v>
      </c>
      <c r="C89" s="302">
        <f>M99</f>
        <v>88</v>
      </c>
      <c r="D89" s="242">
        <f t="shared" si="4"/>
        <v>1.4726308214937163E-3</v>
      </c>
      <c r="E89" s="1"/>
      <c r="F89" s="242">
        <f t="shared" si="5"/>
        <v>2.9170948387310636E-3</v>
      </c>
      <c r="G89" s="242"/>
      <c r="H89" s="1"/>
      <c r="I89" s="133"/>
      <c r="J89" s="1"/>
      <c r="K89" s="1"/>
      <c r="L89" s="303" t="s">
        <v>745</v>
      </c>
      <c r="M89" s="304">
        <v>13</v>
      </c>
      <c r="N89" s="1"/>
      <c r="O89" s="1"/>
      <c r="P89" s="1"/>
      <c r="Q89" s="1"/>
      <c r="R89" s="1"/>
      <c r="S89" s="1"/>
    </row>
    <row r="90" spans="1:19">
      <c r="A90" s="1"/>
      <c r="B90" s="1" t="s">
        <v>742</v>
      </c>
      <c r="C90" s="302">
        <f>M66</f>
        <v>56</v>
      </c>
      <c r="D90" s="242">
        <f t="shared" si="4"/>
        <v>9.3712870458691037E-4</v>
      </c>
      <c r="E90" s="1"/>
      <c r="F90" s="242">
        <f t="shared" si="5"/>
        <v>1.8563330791924952E-3</v>
      </c>
      <c r="G90" s="242"/>
      <c r="H90" s="1"/>
      <c r="I90" s="133"/>
      <c r="J90" s="1"/>
      <c r="K90" s="1"/>
      <c r="L90" s="303" t="s">
        <v>747</v>
      </c>
      <c r="M90" s="304">
        <v>45</v>
      </c>
      <c r="N90" s="1"/>
      <c r="O90" s="1"/>
      <c r="P90" s="1"/>
      <c r="Q90" s="1"/>
      <c r="R90" s="1"/>
      <c r="S90" s="1"/>
    </row>
    <row r="91" spans="1:19">
      <c r="A91" s="1"/>
      <c r="B91" s="1" t="s">
        <v>744</v>
      </c>
      <c r="C91" s="302">
        <f>M68</f>
        <v>190</v>
      </c>
      <c r="D91" s="242">
        <f t="shared" si="4"/>
        <v>3.1795438191341602E-3</v>
      </c>
      <c r="E91" s="1"/>
      <c r="F91" s="242">
        <f t="shared" si="5"/>
        <v>6.2982729472602509E-3</v>
      </c>
      <c r="G91" s="242"/>
      <c r="H91" s="1"/>
      <c r="I91" s="133"/>
      <c r="J91" s="1"/>
      <c r="K91" s="1"/>
      <c r="L91" s="303" t="s">
        <v>749</v>
      </c>
      <c r="M91" s="304">
        <v>24</v>
      </c>
      <c r="N91" s="1"/>
      <c r="O91" s="1"/>
      <c r="P91" s="1"/>
      <c r="Q91" s="1"/>
      <c r="R91" s="1"/>
      <c r="S91" s="1"/>
    </row>
    <row r="92" spans="1:19">
      <c r="A92" s="1"/>
      <c r="B92" s="1" t="s">
        <v>746</v>
      </c>
      <c r="C92" s="302">
        <f>M71</f>
        <v>26</v>
      </c>
      <c r="D92" s="242">
        <f t="shared" si="4"/>
        <v>4.3509546998677978E-4</v>
      </c>
      <c r="E92" s="1"/>
      <c r="F92" s="242">
        <f t="shared" si="5"/>
        <v>8.6186892962508699E-4</v>
      </c>
      <c r="G92" s="242"/>
      <c r="H92" s="1"/>
      <c r="I92" s="133"/>
      <c r="J92" s="1"/>
      <c r="K92" s="1"/>
      <c r="L92" s="303" t="s">
        <v>750</v>
      </c>
      <c r="M92" s="304">
        <v>139</v>
      </c>
      <c r="N92" s="1"/>
      <c r="O92" s="1"/>
      <c r="P92" s="1"/>
      <c r="Q92" s="1"/>
      <c r="R92" s="1"/>
      <c r="S92" s="1"/>
    </row>
    <row r="93" spans="1:19">
      <c r="A93" s="1"/>
      <c r="B93" s="310" t="s">
        <v>748</v>
      </c>
      <c r="C93" s="302">
        <f>M76</f>
        <v>32</v>
      </c>
      <c r="D93" s="242">
        <f t="shared" si="4"/>
        <v>5.3550211690680594E-4</v>
      </c>
      <c r="E93" s="1"/>
      <c r="F93" s="242">
        <f t="shared" si="5"/>
        <v>1.0607617595385687E-3</v>
      </c>
      <c r="G93" s="242"/>
      <c r="H93" s="1"/>
      <c r="I93" s="133"/>
      <c r="J93" s="1"/>
      <c r="K93" s="1"/>
      <c r="L93" s="303" t="s">
        <v>752</v>
      </c>
      <c r="M93" s="304">
        <v>114</v>
      </c>
      <c r="N93" s="1"/>
      <c r="O93" s="1"/>
      <c r="P93" s="1"/>
      <c r="Q93" s="1"/>
      <c r="R93" s="1"/>
      <c r="S93" s="1"/>
    </row>
    <row r="94" spans="1:19">
      <c r="A94" s="1"/>
      <c r="B94" s="310" t="s">
        <v>748</v>
      </c>
      <c r="C94" s="302">
        <f>M100</f>
        <v>8304</v>
      </c>
      <c r="D94" s="242">
        <f t="shared" si="4"/>
        <v>0.13896279933731612</v>
      </c>
      <c r="E94" s="1"/>
      <c r="F94" s="242">
        <f t="shared" si="5"/>
        <v>0.27526767660025858</v>
      </c>
      <c r="G94" s="242"/>
      <c r="H94" s="1"/>
      <c r="I94" s="133"/>
      <c r="J94" s="1"/>
      <c r="K94" s="1"/>
      <c r="L94" s="303" t="s">
        <v>754</v>
      </c>
      <c r="M94" s="304">
        <v>3</v>
      </c>
      <c r="N94" s="1"/>
      <c r="O94" s="1"/>
      <c r="P94" s="1"/>
      <c r="Q94" s="1"/>
      <c r="R94" s="1"/>
      <c r="S94" s="1"/>
    </row>
    <row r="95" spans="1:19">
      <c r="A95" s="1"/>
      <c r="B95" s="310" t="s">
        <v>751</v>
      </c>
      <c r="C95" s="302">
        <f>M60</f>
        <v>2005</v>
      </c>
      <c r="D95" s="242">
        <f t="shared" si="4"/>
        <v>3.3552554512442059E-2</v>
      </c>
      <c r="E95" s="1"/>
      <c r="F95" s="242">
        <f t="shared" si="5"/>
        <v>6.6463353996088437E-2</v>
      </c>
      <c r="G95" s="242"/>
      <c r="H95" s="1"/>
      <c r="I95" s="133"/>
      <c r="J95" s="1"/>
      <c r="K95" s="1"/>
      <c r="L95" s="303" t="s">
        <v>756</v>
      </c>
      <c r="M95" s="304">
        <v>146</v>
      </c>
      <c r="N95" s="1"/>
      <c r="O95" s="1"/>
      <c r="P95" s="1"/>
      <c r="Q95" s="1"/>
      <c r="R95" s="1"/>
      <c r="S95" s="1"/>
    </row>
    <row r="96" spans="1:19">
      <c r="A96" s="1"/>
      <c r="B96" s="1" t="s">
        <v>753</v>
      </c>
      <c r="C96" s="302">
        <f>M77</f>
        <v>13678</v>
      </c>
      <c r="D96" s="242">
        <f t="shared" si="4"/>
        <v>0.22889368609535285</v>
      </c>
      <c r="E96" s="1"/>
      <c r="F96" s="242">
        <f t="shared" si="5"/>
        <v>0.45340935459276693</v>
      </c>
      <c r="G96" s="242"/>
      <c r="H96" s="1"/>
      <c r="I96" s="133"/>
      <c r="J96" s="1"/>
      <c r="K96" s="1"/>
      <c r="L96" s="303" t="s">
        <v>758</v>
      </c>
      <c r="M96" s="304">
        <v>257</v>
      </c>
      <c r="N96" s="1"/>
      <c r="O96" s="1"/>
      <c r="P96" s="1"/>
      <c r="Q96" s="1"/>
      <c r="R96" s="1"/>
      <c r="S96" s="1"/>
    </row>
    <row r="97" spans="1:19">
      <c r="A97" s="1"/>
      <c r="B97" s="1" t="s">
        <v>755</v>
      </c>
      <c r="C97" s="302">
        <f t="shared" ref="C97:C100" si="7">M78</f>
        <v>536</v>
      </c>
      <c r="D97" s="242">
        <f t="shared" si="4"/>
        <v>8.969660458188998E-3</v>
      </c>
      <c r="E97" s="1"/>
      <c r="F97" s="242">
        <f t="shared" si="5"/>
        <v>1.7767759472271025E-2</v>
      </c>
      <c r="G97" s="242"/>
      <c r="H97" s="1"/>
      <c r="I97" s="133"/>
      <c r="J97" s="1"/>
      <c r="K97" s="1"/>
      <c r="L97" s="303" t="s">
        <v>760</v>
      </c>
      <c r="M97" s="304">
        <v>211</v>
      </c>
      <c r="N97" s="1"/>
      <c r="O97" s="1"/>
      <c r="P97" s="1"/>
      <c r="Q97" s="1"/>
      <c r="R97" s="1"/>
      <c r="S97" s="1"/>
    </row>
    <row r="98" spans="1:19">
      <c r="A98" s="1"/>
      <c r="B98" s="1" t="s">
        <v>757</v>
      </c>
      <c r="C98" s="302">
        <f t="shared" si="7"/>
        <v>322</v>
      </c>
      <c r="D98" s="242">
        <f t="shared" si="4"/>
        <v>5.3884900513747344E-3</v>
      </c>
      <c r="E98" s="1"/>
      <c r="F98" s="242">
        <f t="shared" si="5"/>
        <v>1.0673915205356847E-2</v>
      </c>
      <c r="G98" s="242"/>
      <c r="H98" s="1"/>
      <c r="I98" s="133"/>
      <c r="J98" s="1"/>
      <c r="K98" s="1"/>
      <c r="L98" s="303" t="s">
        <v>762</v>
      </c>
      <c r="M98" s="304">
        <v>53</v>
      </c>
      <c r="N98" s="1"/>
      <c r="O98" s="1"/>
      <c r="P98" s="1"/>
      <c r="Q98" s="1"/>
      <c r="R98" s="1"/>
      <c r="S98" s="1"/>
    </row>
    <row r="99" spans="1:19">
      <c r="A99" s="1"/>
      <c r="B99" s="1" t="s">
        <v>759</v>
      </c>
      <c r="C99" s="302">
        <f>M80</f>
        <v>1420</v>
      </c>
      <c r="D99" s="242">
        <f t="shared" si="4"/>
        <v>2.3762906437739512E-2</v>
      </c>
      <c r="E99" s="1"/>
      <c r="F99" s="242">
        <f t="shared" si="5"/>
        <v>4.7071303079523986E-2</v>
      </c>
      <c r="G99" s="242"/>
      <c r="H99" s="1"/>
      <c r="I99" s="133"/>
      <c r="J99" s="1"/>
      <c r="K99" s="1"/>
      <c r="L99" s="303" t="s">
        <v>764</v>
      </c>
      <c r="M99" s="304">
        <v>88</v>
      </c>
      <c r="N99" s="1"/>
      <c r="O99" s="1"/>
      <c r="P99" s="1"/>
      <c r="Q99" s="1"/>
      <c r="R99" s="1"/>
      <c r="S99" s="1"/>
    </row>
    <row r="100" spans="1:19">
      <c r="A100" s="1"/>
      <c r="B100" s="1" t="s">
        <v>761</v>
      </c>
      <c r="C100" s="302">
        <f t="shared" si="7"/>
        <v>1178</v>
      </c>
      <c r="D100" s="242">
        <f t="shared" si="4"/>
        <v>1.9713171678631791E-2</v>
      </c>
      <c r="E100" s="1"/>
      <c r="F100" s="242">
        <f t="shared" si="5"/>
        <v>3.9049292273013556E-2</v>
      </c>
      <c r="G100" s="242"/>
      <c r="H100" s="1"/>
      <c r="I100" s="133"/>
      <c r="J100" s="1"/>
      <c r="K100" s="1"/>
      <c r="L100" s="303" t="s">
        <v>766</v>
      </c>
      <c r="M100" s="304">
        <v>8304</v>
      </c>
      <c r="N100" s="1"/>
      <c r="O100" s="1"/>
      <c r="P100" s="1"/>
      <c r="Q100" s="1"/>
      <c r="R100" s="1"/>
      <c r="S100" s="1"/>
    </row>
    <row r="101" spans="1:19">
      <c r="A101" s="1"/>
      <c r="B101" s="1" t="s">
        <v>763</v>
      </c>
      <c r="C101" s="302">
        <f>M97</f>
        <v>211</v>
      </c>
      <c r="D101" s="242">
        <f t="shared" si="4"/>
        <v>3.5309670833542513E-3</v>
      </c>
      <c r="E101" s="1"/>
      <c r="F101" s="242">
        <f t="shared" si="5"/>
        <v>6.9943978519574372E-3</v>
      </c>
      <c r="G101" s="242"/>
      <c r="H101" s="1"/>
      <c r="I101" s="133"/>
      <c r="J101" s="1"/>
      <c r="K101" s="1"/>
      <c r="L101" s="303" t="s">
        <v>768</v>
      </c>
      <c r="M101" s="304">
        <v>31897</v>
      </c>
      <c r="N101" s="1"/>
      <c r="O101" s="1"/>
      <c r="P101" s="1"/>
      <c r="Q101" s="1"/>
      <c r="R101" s="1"/>
      <c r="S101" s="1"/>
    </row>
    <row r="102" spans="1:19">
      <c r="A102" s="1"/>
      <c r="B102" s="1" t="s">
        <v>765</v>
      </c>
      <c r="C102" s="302">
        <f>M87</f>
        <v>730</v>
      </c>
      <c r="D102" s="242">
        <f t="shared" si="4"/>
        <v>1.2216142041936509E-2</v>
      </c>
      <c r="E102" s="1"/>
      <c r="F102" s="242">
        <f t="shared" si="5"/>
        <v>2.4198627639473596E-2</v>
      </c>
      <c r="G102" s="242"/>
      <c r="H102" s="1"/>
      <c r="I102" s="133"/>
      <c r="J102" s="1"/>
      <c r="K102" s="1"/>
      <c r="L102" s="303" t="s">
        <v>769</v>
      </c>
      <c r="M102" s="304">
        <v>431</v>
      </c>
      <c r="N102" s="1"/>
      <c r="O102" s="1"/>
      <c r="P102" s="1"/>
      <c r="Q102" s="1"/>
      <c r="R102" s="1"/>
      <c r="S102" s="1"/>
    </row>
    <row r="103" spans="1:19" ht="13.5" thickBot="1">
      <c r="A103" s="1"/>
      <c r="B103" s="202" t="s">
        <v>767</v>
      </c>
      <c r="C103" s="306">
        <f>SUM(C85:C102)</f>
        <v>30167</v>
      </c>
      <c r="D103" s="307">
        <f>SUM(D85:D102)</f>
        <v>0.504827886272738</v>
      </c>
      <c r="E103" s="1"/>
      <c r="F103" s="279">
        <f>SUM(F85:F102)</f>
        <v>1.0000000000000002</v>
      </c>
      <c r="G103" s="311"/>
      <c r="H103" s="1"/>
      <c r="I103" s="133"/>
      <c r="J103" s="1"/>
      <c r="K103" s="1"/>
      <c r="L103" s="303" t="s">
        <v>771</v>
      </c>
      <c r="M103" s="304">
        <v>21761</v>
      </c>
      <c r="N103" s="1"/>
      <c r="O103" s="1"/>
      <c r="P103" s="1"/>
      <c r="Q103" s="1"/>
      <c r="R103" s="1"/>
      <c r="S103" s="1"/>
    </row>
    <row r="104" spans="1:19" ht="13.5" thickTop="1">
      <c r="A104" s="1"/>
      <c r="B104" s="1"/>
      <c r="C104" s="302"/>
      <c r="D104" s="1"/>
      <c r="E104" s="1"/>
      <c r="F104" s="1"/>
      <c r="G104" s="1"/>
      <c r="H104" s="1"/>
      <c r="I104" s="133"/>
      <c r="J104" s="1"/>
      <c r="K104" s="1"/>
      <c r="L104" s="303" t="s">
        <v>772</v>
      </c>
      <c r="M104" s="304">
        <v>9162</v>
      </c>
      <c r="N104" s="1"/>
      <c r="O104" s="1"/>
      <c r="P104" s="1"/>
      <c r="Q104" s="1"/>
      <c r="R104" s="1"/>
      <c r="S104" s="1"/>
    </row>
    <row r="105" spans="1:19" ht="13.5" thickBot="1">
      <c r="A105" s="1"/>
      <c r="B105" s="202" t="s">
        <v>770</v>
      </c>
      <c r="C105" s="312">
        <f>C83+C103</f>
        <v>59757</v>
      </c>
      <c r="D105" s="308">
        <f>D103+D83</f>
        <v>1</v>
      </c>
      <c r="E105" s="1"/>
      <c r="F105" s="349"/>
      <c r="G105" s="1"/>
      <c r="H105" s="1"/>
      <c r="I105" s="133"/>
      <c r="J105" s="1"/>
      <c r="K105" s="1"/>
      <c r="L105" s="303" t="s">
        <v>774</v>
      </c>
      <c r="M105" s="304">
        <v>21</v>
      </c>
      <c r="N105" s="1"/>
      <c r="O105" s="1"/>
      <c r="P105" s="1"/>
      <c r="Q105" s="1"/>
      <c r="R105" s="1"/>
      <c r="S105" s="1"/>
    </row>
    <row r="106" spans="1:19" ht="13.5" thickTop="1">
      <c r="A106" s="1"/>
      <c r="B106" s="1"/>
      <c r="C106" s="280"/>
      <c r="D106" s="1"/>
      <c r="E106" s="1"/>
      <c r="F106" s="1"/>
      <c r="G106" s="1"/>
      <c r="H106" s="1"/>
      <c r="I106" s="133"/>
      <c r="J106" s="1"/>
      <c r="K106" s="1"/>
      <c r="L106" s="305" t="s">
        <v>775</v>
      </c>
      <c r="M106" s="304">
        <v>1</v>
      </c>
      <c r="N106" s="1"/>
      <c r="O106" s="1"/>
      <c r="P106" s="1"/>
      <c r="Q106" s="1"/>
      <c r="R106" s="1"/>
      <c r="S106" s="1"/>
    </row>
    <row r="107" spans="1:19" ht="13.5">
      <c r="A107" s="1"/>
      <c r="B107" s="301" t="s">
        <v>773</v>
      </c>
      <c r="C107" s="280"/>
      <c r="D107" s="1"/>
      <c r="E107" s="1"/>
      <c r="F107" s="1"/>
      <c r="G107" s="1"/>
      <c r="H107" s="1"/>
      <c r="I107" s="133"/>
      <c r="J107" s="1"/>
      <c r="K107" s="1"/>
      <c r="L107" s="303" t="s">
        <v>777</v>
      </c>
      <c r="M107" s="304">
        <v>65</v>
      </c>
      <c r="N107" s="1"/>
      <c r="O107" s="1"/>
      <c r="P107" s="1"/>
      <c r="Q107" s="1"/>
      <c r="R107" s="1"/>
      <c r="S107" s="1"/>
    </row>
    <row r="108" spans="1:19">
      <c r="A108" s="1"/>
      <c r="B108" s="1" t="s">
        <v>306</v>
      </c>
      <c r="C108" s="302">
        <f>M101</f>
        <v>31897</v>
      </c>
      <c r="D108" s="242">
        <f>$C108/$C$124</f>
        <v>0.50358383328070733</v>
      </c>
      <c r="E108" s="1"/>
      <c r="F108" s="242">
        <f>$C108/$C$113</f>
        <v>0.58971325038362699</v>
      </c>
      <c r="G108" s="242"/>
      <c r="H108" s="1"/>
      <c r="I108" s="133"/>
      <c r="J108" s="1"/>
      <c r="K108" s="1"/>
      <c r="L108" s="303" t="s">
        <v>779</v>
      </c>
      <c r="M108" s="304">
        <v>2</v>
      </c>
      <c r="N108" s="1"/>
      <c r="O108" s="1"/>
      <c r="P108" s="1"/>
      <c r="Q108" s="1"/>
      <c r="R108" s="1"/>
      <c r="S108" s="1"/>
    </row>
    <row r="109" spans="1:19">
      <c r="A109" s="1"/>
      <c r="B109" s="313" t="s">
        <v>776</v>
      </c>
      <c r="C109" s="302">
        <f t="shared" ref="C109:C110" si="8">M102</f>
        <v>431</v>
      </c>
      <c r="D109" s="242">
        <f>$C109/$C$124</f>
        <v>6.8045468898010738E-3</v>
      </c>
      <c r="E109" s="1"/>
      <c r="F109" s="242">
        <f>$C109/$C$113</f>
        <v>7.9683484627188529E-3</v>
      </c>
      <c r="G109" s="242"/>
      <c r="H109" s="1"/>
      <c r="I109" s="133"/>
      <c r="J109" s="1"/>
      <c r="K109" s="1"/>
      <c r="L109" s="303" t="s">
        <v>781</v>
      </c>
      <c r="M109" s="304">
        <v>3229</v>
      </c>
      <c r="N109" s="1"/>
      <c r="O109" s="1"/>
      <c r="P109" s="1"/>
      <c r="Q109" s="1"/>
      <c r="R109" s="1"/>
      <c r="S109" s="1"/>
    </row>
    <row r="110" spans="1:19">
      <c r="A110" s="1"/>
      <c r="B110" s="1" t="s">
        <v>778</v>
      </c>
      <c r="C110" s="302">
        <f t="shared" si="8"/>
        <v>21761</v>
      </c>
      <c r="D110" s="242">
        <f>$C110/$C$124</f>
        <v>0.34355857278181245</v>
      </c>
      <c r="E110" s="1"/>
      <c r="F110" s="242">
        <f>$C110/$C$113</f>
        <v>0.40231840115365414</v>
      </c>
      <c r="G110" s="242"/>
      <c r="H110" s="1"/>
      <c r="I110" s="133"/>
      <c r="J110" s="1"/>
      <c r="K110" s="1"/>
      <c r="L110" s="303" t="s">
        <v>783</v>
      </c>
      <c r="M110" s="304">
        <v>11</v>
      </c>
      <c r="N110" s="1"/>
      <c r="O110" s="1"/>
      <c r="P110" s="1"/>
      <c r="Q110" s="1"/>
      <c r="R110" s="1"/>
      <c r="S110" s="1"/>
    </row>
    <row r="111" spans="1:19">
      <c r="A111" s="1"/>
      <c r="B111" s="202" t="s">
        <v>780</v>
      </c>
      <c r="C111" s="306">
        <f>SUM(C108:C110)</f>
        <v>54089</v>
      </c>
      <c r="D111" s="314">
        <f>SUM(D108:D110)</f>
        <v>0.85394695295232081</v>
      </c>
      <c r="E111" s="1"/>
      <c r="F111" s="315"/>
      <c r="G111" s="315"/>
      <c r="H111" s="318"/>
      <c r="I111" s="133"/>
      <c r="J111" s="1"/>
      <c r="K111" s="1"/>
      <c r="L111" s="303" t="s">
        <v>785</v>
      </c>
      <c r="M111" s="304">
        <v>376</v>
      </c>
      <c r="N111" s="1"/>
      <c r="O111" s="1"/>
      <c r="P111" s="1"/>
      <c r="Q111" s="1"/>
      <c r="R111" s="1"/>
      <c r="S111" s="1"/>
    </row>
    <row r="112" spans="1:19">
      <c r="A112" s="1"/>
      <c r="B112" s="1" t="s">
        <v>782</v>
      </c>
      <c r="C112" s="302">
        <v>0</v>
      </c>
      <c r="D112" s="316"/>
      <c r="E112" s="1"/>
      <c r="F112" s="242">
        <f>$C112/$C$113</f>
        <v>0</v>
      </c>
      <c r="G112" s="242"/>
      <c r="H112" s="318" t="s">
        <v>786</v>
      </c>
      <c r="I112" s="133"/>
      <c r="J112" s="1"/>
      <c r="K112" s="1"/>
      <c r="L112" s="303" t="s">
        <v>787</v>
      </c>
      <c r="M112" s="304">
        <v>255</v>
      </c>
      <c r="N112" s="1"/>
      <c r="O112" s="1"/>
      <c r="P112" s="1"/>
      <c r="Q112" s="1"/>
      <c r="R112" s="1"/>
      <c r="S112" s="1"/>
    </row>
    <row r="113" spans="1:19" ht="13.5" thickBot="1">
      <c r="A113" s="1"/>
      <c r="B113" s="202" t="s">
        <v>784</v>
      </c>
      <c r="C113" s="306">
        <f>SUM(C111:C112)</f>
        <v>54089</v>
      </c>
      <c r="D113" s="1"/>
      <c r="E113" s="1"/>
      <c r="F113" s="339">
        <f>SUM(F108:F112)</f>
        <v>1</v>
      </c>
      <c r="G113" s="315"/>
      <c r="H113" s="1"/>
      <c r="I113" s="133"/>
      <c r="J113" s="1"/>
      <c r="K113" s="1"/>
      <c r="L113" s="303" t="s">
        <v>788</v>
      </c>
      <c r="M113" s="304">
        <v>111</v>
      </c>
      <c r="N113" s="1"/>
      <c r="O113" s="1"/>
      <c r="P113" s="1"/>
      <c r="Q113" s="1"/>
      <c r="R113" s="1"/>
      <c r="S113" s="1"/>
    </row>
    <row r="114" spans="1:19" ht="13.5" thickTop="1">
      <c r="A114" s="1"/>
      <c r="B114" s="202"/>
      <c r="C114" s="319"/>
      <c r="D114" s="1"/>
      <c r="E114" s="1"/>
      <c r="F114" s="273"/>
      <c r="G114" s="273"/>
      <c r="H114" s="1"/>
      <c r="I114" s="133"/>
      <c r="J114" s="1"/>
      <c r="K114" s="1"/>
      <c r="L114" s="303" t="s">
        <v>790</v>
      </c>
      <c r="M114" s="304">
        <v>74</v>
      </c>
      <c r="N114" s="1"/>
      <c r="O114" s="1"/>
      <c r="P114" s="1"/>
      <c r="Q114" s="1"/>
      <c r="R114" s="1"/>
      <c r="S114" s="1"/>
    </row>
    <row r="115" spans="1:19">
      <c r="A115" s="1"/>
      <c r="B115" s="1" t="s">
        <v>306</v>
      </c>
      <c r="C115" s="302">
        <f>M104</f>
        <v>9162</v>
      </c>
      <c r="D115" s="242">
        <f>$C115/$C$124</f>
        <v>0.14464793179665297</v>
      </c>
      <c r="E115" s="1"/>
      <c r="F115" s="242">
        <f>$C115/$C$122</f>
        <v>0.99037941844124955</v>
      </c>
      <c r="G115" s="242"/>
      <c r="H115" s="1"/>
      <c r="I115" s="133"/>
      <c r="J115" s="1"/>
      <c r="K115" s="1"/>
      <c r="L115" s="303" t="s">
        <v>792</v>
      </c>
      <c r="M115" s="304">
        <v>896</v>
      </c>
      <c r="N115" s="1"/>
      <c r="O115" s="1"/>
      <c r="P115" s="1"/>
      <c r="Q115" s="1"/>
      <c r="R115" s="1"/>
      <c r="S115" s="1"/>
    </row>
    <row r="116" spans="1:19">
      <c r="A116" s="1"/>
      <c r="B116" s="1" t="s">
        <v>789</v>
      </c>
      <c r="C116" s="302">
        <f>M107</f>
        <v>65</v>
      </c>
      <c r="D116" s="242">
        <f>$C116/$C$124</f>
        <v>1.0262077676034102E-3</v>
      </c>
      <c r="E116" s="1"/>
      <c r="F116" s="242">
        <f>$C116/$C$122</f>
        <v>7.0262674305480487E-3</v>
      </c>
      <c r="G116" s="242"/>
      <c r="H116" s="1"/>
      <c r="I116" s="133"/>
      <c r="J116" s="1"/>
      <c r="K116" s="1"/>
      <c r="L116" s="303" t="s">
        <v>794</v>
      </c>
      <c r="M116" s="304">
        <v>1</v>
      </c>
      <c r="N116" s="1"/>
      <c r="O116" s="1"/>
      <c r="P116" s="1"/>
      <c r="Q116" s="1"/>
      <c r="R116" s="1"/>
      <c r="S116" s="1"/>
    </row>
    <row r="117" spans="1:19">
      <c r="A117" s="1"/>
      <c r="B117" s="1" t="s">
        <v>791</v>
      </c>
      <c r="C117" s="302">
        <f>M106</f>
        <v>1</v>
      </c>
      <c r="D117" s="242">
        <f>$C117/$C$124</f>
        <v>1.5787811809283235E-5</v>
      </c>
      <c r="E117" s="1"/>
      <c r="F117" s="242">
        <f>$C117/$C$122</f>
        <v>1.0809642200843153E-4</v>
      </c>
      <c r="G117" s="242"/>
      <c r="H117" s="1"/>
      <c r="I117" s="133"/>
      <c r="J117" s="1"/>
      <c r="K117" s="1"/>
      <c r="L117" s="303" t="s">
        <v>796</v>
      </c>
      <c r="M117" s="304">
        <v>336</v>
      </c>
      <c r="N117" s="1"/>
      <c r="O117" s="1"/>
      <c r="P117" s="1"/>
      <c r="Q117" s="1"/>
      <c r="R117" s="1"/>
      <c r="S117" s="1"/>
    </row>
    <row r="118" spans="1:19">
      <c r="A118" s="1"/>
      <c r="B118" s="1" t="s">
        <v>793</v>
      </c>
      <c r="C118" s="302">
        <f>M108</f>
        <v>2</v>
      </c>
      <c r="D118" s="242">
        <f>$C118/$C$124</f>
        <v>3.157562361856647E-5</v>
      </c>
      <c r="E118" s="1"/>
      <c r="F118" s="242">
        <f>$C118/$C$122</f>
        <v>2.1619284401686305E-4</v>
      </c>
      <c r="G118" s="242"/>
      <c r="H118" s="1"/>
      <c r="I118" s="133"/>
      <c r="J118" s="1"/>
      <c r="K118" s="1"/>
      <c r="L118" s="303" t="s">
        <v>798</v>
      </c>
      <c r="M118" s="304">
        <v>53</v>
      </c>
      <c r="N118" s="1"/>
      <c r="O118" s="1"/>
      <c r="P118" s="1"/>
      <c r="Q118" s="1"/>
      <c r="R118" s="1"/>
      <c r="S118" s="1"/>
    </row>
    <row r="119" spans="1:19">
      <c r="A119" s="1"/>
      <c r="B119" s="1" t="s">
        <v>795</v>
      </c>
      <c r="C119" s="302">
        <f>M105</f>
        <v>21</v>
      </c>
      <c r="D119" s="242">
        <f>$C119/$C$124</f>
        <v>3.3154404799494788E-4</v>
      </c>
      <c r="E119" s="1"/>
      <c r="F119" s="242">
        <f>$C119/$C$122</f>
        <v>2.2700248621770618E-3</v>
      </c>
      <c r="G119" s="242"/>
      <c r="H119" s="1"/>
      <c r="I119" s="133"/>
      <c r="J119" s="1"/>
      <c r="K119" s="1"/>
      <c r="L119" s="303" t="s">
        <v>800</v>
      </c>
      <c r="M119" s="304">
        <v>16843</v>
      </c>
      <c r="N119" s="1"/>
      <c r="O119" s="1"/>
      <c r="P119" s="1"/>
      <c r="Q119" s="1"/>
      <c r="R119" s="1"/>
      <c r="S119" s="1"/>
    </row>
    <row r="120" spans="1:19">
      <c r="A120" s="1"/>
      <c r="B120" s="202" t="s">
        <v>797</v>
      </c>
      <c r="C120" s="306">
        <f>SUM(C115:C119)</f>
        <v>9251</v>
      </c>
      <c r="D120" s="320">
        <f>SUM(D115:D119)</f>
        <v>0.14605304704767919</v>
      </c>
      <c r="E120" s="1"/>
      <c r="F120" s="1"/>
      <c r="G120" s="1"/>
      <c r="H120" s="1"/>
      <c r="I120" s="133"/>
      <c r="J120" s="1"/>
      <c r="K120" s="1"/>
      <c r="L120" s="303" t="s">
        <v>802</v>
      </c>
      <c r="M120" s="304">
        <v>254</v>
      </c>
      <c r="N120" s="1"/>
      <c r="O120" s="1"/>
      <c r="P120" s="1"/>
      <c r="Q120" s="1"/>
      <c r="R120" s="1"/>
      <c r="S120" s="1"/>
    </row>
    <row r="121" spans="1:19">
      <c r="A121" s="1"/>
      <c r="B121" s="1" t="s">
        <v>799</v>
      </c>
      <c r="C121" s="321">
        <v>0</v>
      </c>
      <c r="D121" s="273"/>
      <c r="E121" s="1"/>
      <c r="F121" s="242">
        <f>$C121/$C$122</f>
        <v>0</v>
      </c>
      <c r="G121" s="242"/>
      <c r="H121" s="318" t="s">
        <v>786</v>
      </c>
      <c r="I121" s="133"/>
      <c r="J121" s="1"/>
      <c r="K121" s="1"/>
      <c r="L121" s="303" t="s">
        <v>803</v>
      </c>
      <c r="M121" s="304">
        <v>62</v>
      </c>
      <c r="N121" s="1"/>
      <c r="O121" s="1"/>
      <c r="P121" s="1"/>
      <c r="Q121" s="1"/>
      <c r="R121" s="1"/>
      <c r="S121" s="1"/>
    </row>
    <row r="122" spans="1:19" ht="13.5" thickBot="1">
      <c r="A122" s="1"/>
      <c r="B122" s="202" t="s">
        <v>801</v>
      </c>
      <c r="C122" s="306">
        <f>C120+C121</f>
        <v>9251</v>
      </c>
      <c r="D122" s="273"/>
      <c r="E122" s="1"/>
      <c r="F122" s="317">
        <f>SUM(F115:F121)</f>
        <v>1</v>
      </c>
      <c r="G122" s="315"/>
      <c r="H122" s="1"/>
      <c r="I122" s="133"/>
      <c r="J122" s="1"/>
      <c r="K122" s="1"/>
      <c r="L122" s="303" t="s">
        <v>805</v>
      </c>
      <c r="M122" s="304">
        <v>74</v>
      </c>
      <c r="N122" s="1"/>
      <c r="O122" s="1"/>
      <c r="P122" s="1"/>
      <c r="Q122" s="1"/>
      <c r="R122" s="1"/>
      <c r="S122" s="1"/>
    </row>
    <row r="123" spans="1:19" ht="13.5" thickTop="1">
      <c r="A123" s="1"/>
      <c r="B123" s="1"/>
      <c r="C123" s="302"/>
      <c r="D123" s="1"/>
      <c r="E123" s="1"/>
      <c r="F123" s="1"/>
      <c r="G123" s="1"/>
      <c r="H123" s="1"/>
      <c r="I123" s="133"/>
      <c r="J123" s="1"/>
      <c r="K123" s="1"/>
      <c r="L123" s="303" t="s">
        <v>806</v>
      </c>
      <c r="M123" s="304">
        <v>355</v>
      </c>
      <c r="N123" s="1"/>
      <c r="O123" s="1"/>
      <c r="P123" s="1"/>
      <c r="Q123" s="1"/>
      <c r="R123" s="1"/>
      <c r="S123" s="1"/>
    </row>
    <row r="124" spans="1:19" ht="13.5" thickBot="1">
      <c r="A124" s="1"/>
      <c r="B124" s="202" t="s">
        <v>804</v>
      </c>
      <c r="C124" s="312">
        <f>C113+C122</f>
        <v>63340</v>
      </c>
      <c r="D124" s="317">
        <f>D120+D111</f>
        <v>1</v>
      </c>
      <c r="E124" s="1"/>
      <c r="F124" s="1"/>
      <c r="G124" s="1"/>
      <c r="H124" s="1"/>
      <c r="I124" s="133"/>
      <c r="J124" s="1"/>
      <c r="K124" s="1"/>
      <c r="L124" s="303" t="s">
        <v>807</v>
      </c>
      <c r="M124" s="304">
        <v>851</v>
      </c>
      <c r="N124" s="1"/>
      <c r="O124" s="1"/>
      <c r="P124" s="1"/>
      <c r="Q124" s="1"/>
      <c r="R124" s="1"/>
      <c r="S124" s="1"/>
    </row>
    <row r="125" spans="1:19" ht="13.5" thickTop="1">
      <c r="A125" s="1"/>
      <c r="B125" s="1"/>
      <c r="C125" s="302"/>
      <c r="D125" s="1"/>
      <c r="E125" s="1"/>
      <c r="F125" s="1"/>
      <c r="G125" s="1"/>
      <c r="H125" s="1"/>
      <c r="I125" s="133"/>
      <c r="J125" s="1"/>
      <c r="K125" s="1"/>
      <c r="L125" s="303" t="s">
        <v>808</v>
      </c>
      <c r="M125" s="304">
        <v>189</v>
      </c>
      <c r="N125" s="1"/>
      <c r="O125" s="1"/>
      <c r="P125" s="1"/>
      <c r="Q125" s="1"/>
      <c r="R125" s="1"/>
      <c r="S125" s="1"/>
    </row>
    <row r="126" spans="1:19" ht="13.5">
      <c r="A126" s="1"/>
      <c r="B126" s="301" t="s">
        <v>642</v>
      </c>
      <c r="C126" s="302"/>
      <c r="D126" s="1"/>
      <c r="E126" s="1"/>
      <c r="F126" s="1"/>
      <c r="G126" s="1"/>
      <c r="H126" s="1"/>
      <c r="I126" s="133"/>
      <c r="J126" s="1"/>
      <c r="K126" s="1"/>
      <c r="L126" s="303" t="s">
        <v>810</v>
      </c>
      <c r="M126" s="304">
        <v>4695</v>
      </c>
      <c r="N126" s="1"/>
      <c r="O126" s="1"/>
      <c r="P126" s="1"/>
      <c r="Q126" s="1"/>
      <c r="R126" s="1"/>
      <c r="S126" s="1"/>
    </row>
    <row r="127" spans="1:19">
      <c r="A127" s="1"/>
      <c r="B127" s="1" t="s">
        <v>306</v>
      </c>
      <c r="C127" s="302">
        <f>M109</f>
        <v>3229</v>
      </c>
      <c r="D127" s="242">
        <f t="shared" ref="D127:D140" si="9">$C127/$C$150</f>
        <v>0.13471005423445975</v>
      </c>
      <c r="E127" s="1"/>
      <c r="F127" s="242">
        <f t="shared" ref="F127:F140" si="10">$C127/$C$141</f>
        <v>0.14303433001107418</v>
      </c>
      <c r="G127" s="242"/>
      <c r="H127" s="1"/>
      <c r="I127" s="133"/>
      <c r="J127" s="1"/>
      <c r="K127" s="1"/>
      <c r="L127" s="303" t="s">
        <v>812</v>
      </c>
      <c r="M127" s="304">
        <v>18466</v>
      </c>
      <c r="N127" s="1"/>
      <c r="O127" s="1"/>
      <c r="P127" s="1"/>
      <c r="Q127" s="1"/>
      <c r="R127" s="1"/>
      <c r="S127" s="1"/>
    </row>
    <row r="128" spans="1:19">
      <c r="A128" s="1"/>
      <c r="B128" s="1" t="s">
        <v>809</v>
      </c>
      <c r="C128" s="302">
        <f>M110</f>
        <v>11</v>
      </c>
      <c r="D128" s="242">
        <f t="shared" si="9"/>
        <v>4.5890696704213601E-4</v>
      </c>
      <c r="E128" s="1"/>
      <c r="F128" s="242">
        <f t="shared" si="10"/>
        <v>4.8726467331118491E-4</v>
      </c>
      <c r="G128" s="242"/>
      <c r="H128" s="1"/>
      <c r="I128" s="133"/>
      <c r="J128" s="1"/>
      <c r="K128" s="1"/>
      <c r="L128" s="303" t="s">
        <v>814</v>
      </c>
      <c r="M128" s="304">
        <v>4740</v>
      </c>
      <c r="N128" s="1"/>
      <c r="O128" s="1"/>
      <c r="P128" s="1"/>
      <c r="Q128" s="1"/>
      <c r="R128" s="1"/>
      <c r="S128" s="1"/>
    </row>
    <row r="129" spans="1:19">
      <c r="A129" s="1"/>
      <c r="B129" s="1" t="s">
        <v>811</v>
      </c>
      <c r="C129" s="302">
        <f>M111</f>
        <v>376</v>
      </c>
      <c r="D129" s="242">
        <f t="shared" si="9"/>
        <v>1.5686274509803921E-2</v>
      </c>
      <c r="E129" s="1"/>
      <c r="F129" s="242">
        <f t="shared" si="10"/>
        <v>1.6655592469545958E-2</v>
      </c>
      <c r="G129" s="242"/>
      <c r="H129" s="1"/>
      <c r="I129" s="133"/>
      <c r="J129" s="1"/>
      <c r="K129" s="1"/>
      <c r="L129" s="303" t="s">
        <v>816</v>
      </c>
      <c r="M129" s="304">
        <v>190</v>
      </c>
      <c r="N129" s="1"/>
      <c r="O129" s="1"/>
      <c r="P129" s="1"/>
      <c r="Q129" s="1"/>
      <c r="R129" s="1"/>
      <c r="S129" s="1"/>
    </row>
    <row r="130" spans="1:19">
      <c r="A130" s="1"/>
      <c r="B130" s="1" t="s">
        <v>813</v>
      </c>
      <c r="C130" s="302">
        <f>M113</f>
        <v>111</v>
      </c>
      <c r="D130" s="242">
        <f t="shared" si="9"/>
        <v>4.6307884856070089E-3</v>
      </c>
      <c r="E130" s="1"/>
      <c r="F130" s="242">
        <f t="shared" si="10"/>
        <v>4.9169435215946841E-3</v>
      </c>
      <c r="G130" s="242"/>
      <c r="H130" s="1"/>
      <c r="I130" s="133"/>
      <c r="J130" s="1"/>
      <c r="K130" s="1"/>
      <c r="L130" s="303" t="s">
        <v>818</v>
      </c>
      <c r="M130" s="304">
        <v>1858</v>
      </c>
      <c r="N130" s="1"/>
      <c r="O130" s="1"/>
      <c r="P130" s="1"/>
      <c r="Q130" s="1"/>
      <c r="R130" s="1"/>
      <c r="S130" s="1"/>
    </row>
    <row r="131" spans="1:19">
      <c r="A131" s="1"/>
      <c r="B131" s="1" t="s">
        <v>815</v>
      </c>
      <c r="C131" s="302">
        <f>M112</f>
        <v>255</v>
      </c>
      <c r="D131" s="242">
        <f t="shared" si="9"/>
        <v>1.0638297872340425E-2</v>
      </c>
      <c r="E131" s="1"/>
      <c r="F131" s="242">
        <f t="shared" si="10"/>
        <v>1.1295681063122924E-2</v>
      </c>
      <c r="G131" s="242"/>
      <c r="H131" s="1"/>
      <c r="I131" s="133"/>
      <c r="J131" s="1"/>
      <c r="K131" s="1"/>
      <c r="L131" s="303" t="s">
        <v>820</v>
      </c>
      <c r="M131" s="304">
        <v>934</v>
      </c>
      <c r="N131" s="1"/>
      <c r="O131" s="1"/>
      <c r="P131" s="1"/>
      <c r="Q131" s="1"/>
      <c r="R131" s="1"/>
      <c r="S131" s="1"/>
    </row>
    <row r="132" spans="1:19">
      <c r="A132" s="1"/>
      <c r="B132" s="1" t="s">
        <v>817</v>
      </c>
      <c r="C132" s="302">
        <f>M114</f>
        <v>74</v>
      </c>
      <c r="D132" s="242">
        <f t="shared" si="9"/>
        <v>3.0871923237380059E-3</v>
      </c>
      <c r="E132" s="1"/>
      <c r="F132" s="242">
        <f t="shared" si="10"/>
        <v>3.2779623477297896E-3</v>
      </c>
      <c r="G132" s="242"/>
      <c r="H132" s="1"/>
      <c r="I132" s="133"/>
      <c r="J132" s="1"/>
      <c r="K132" s="1"/>
      <c r="L132" s="303" t="s">
        <v>822</v>
      </c>
      <c r="M132" s="304">
        <v>1</v>
      </c>
      <c r="N132" s="1"/>
      <c r="O132" s="1"/>
      <c r="P132" s="1"/>
      <c r="Q132" s="1"/>
      <c r="R132" s="1"/>
      <c r="S132" s="1"/>
    </row>
    <row r="133" spans="1:19">
      <c r="A133" s="1"/>
      <c r="B133" s="1" t="s">
        <v>819</v>
      </c>
      <c r="C133" s="302">
        <f>M115</f>
        <v>896</v>
      </c>
      <c r="D133" s="242">
        <f t="shared" si="9"/>
        <v>3.738005840634126E-2</v>
      </c>
      <c r="E133" s="1"/>
      <c r="F133" s="242">
        <f t="shared" si="10"/>
        <v>3.9689922480620157E-2</v>
      </c>
      <c r="G133" s="242"/>
      <c r="H133" s="1"/>
      <c r="I133" s="133"/>
      <c r="J133" s="1"/>
      <c r="K133" s="1"/>
      <c r="L133" s="303" t="s">
        <v>823</v>
      </c>
      <c r="M133" s="304">
        <v>1765</v>
      </c>
      <c r="N133" s="1"/>
      <c r="O133" s="1"/>
      <c r="P133" s="1"/>
      <c r="Q133" s="1"/>
      <c r="R133" s="1"/>
      <c r="S133" s="1"/>
    </row>
    <row r="134" spans="1:19">
      <c r="A134" s="1"/>
      <c r="B134" s="1" t="s">
        <v>821</v>
      </c>
      <c r="C134" s="302">
        <f>M116</f>
        <v>1</v>
      </c>
      <c r="D134" s="242">
        <f t="shared" si="9"/>
        <v>4.171881518564873E-5</v>
      </c>
      <c r="E134" s="1"/>
      <c r="F134" s="242">
        <f t="shared" si="10"/>
        <v>4.4296788482834997E-5</v>
      </c>
      <c r="G134" s="242"/>
      <c r="H134" s="1"/>
      <c r="I134" s="133"/>
      <c r="J134" s="1"/>
      <c r="K134" s="1"/>
      <c r="L134" s="303" t="s">
        <v>824</v>
      </c>
      <c r="M134" s="304">
        <v>63</v>
      </c>
      <c r="N134" s="1"/>
      <c r="O134" s="1"/>
      <c r="P134" s="1"/>
      <c r="Q134" s="1"/>
      <c r="R134" s="1"/>
      <c r="S134" s="1"/>
    </row>
    <row r="135" spans="1:19">
      <c r="A135" s="1"/>
      <c r="B135" s="1" t="s">
        <v>7</v>
      </c>
      <c r="C135" s="302">
        <f>M117</f>
        <v>336</v>
      </c>
      <c r="D135" s="242">
        <f t="shared" si="9"/>
        <v>1.4017521902377972E-2</v>
      </c>
      <c r="E135" s="1"/>
      <c r="F135" s="242">
        <f t="shared" si="10"/>
        <v>1.4883720930232559E-2</v>
      </c>
      <c r="G135" s="242"/>
      <c r="H135" s="1"/>
      <c r="I135" s="133"/>
      <c r="J135" s="1"/>
      <c r="K135" s="1"/>
      <c r="L135" s="303" t="s">
        <v>826</v>
      </c>
      <c r="M135" s="304">
        <v>41</v>
      </c>
      <c r="N135" s="1"/>
      <c r="O135" s="1"/>
      <c r="P135" s="1"/>
      <c r="Q135" s="1"/>
      <c r="R135" s="1"/>
      <c r="S135" s="1"/>
    </row>
    <row r="136" spans="1:19">
      <c r="A136" s="1"/>
      <c r="B136" s="1" t="s">
        <v>7</v>
      </c>
      <c r="C136" s="302">
        <f>M121</f>
        <v>62</v>
      </c>
      <c r="D136" s="242">
        <f t="shared" si="9"/>
        <v>2.586566541510221E-3</v>
      </c>
      <c r="E136" s="1"/>
      <c r="F136" s="242">
        <f t="shared" si="10"/>
        <v>2.7464008859357696E-3</v>
      </c>
      <c r="G136" s="242"/>
      <c r="H136" s="1"/>
      <c r="I136" s="133"/>
      <c r="J136" s="1"/>
      <c r="K136" s="1"/>
      <c r="L136" s="303" t="s">
        <v>828</v>
      </c>
      <c r="M136" s="304">
        <v>2699</v>
      </c>
      <c r="N136" s="1"/>
      <c r="O136" s="1"/>
      <c r="P136" s="1"/>
      <c r="Q136" s="1"/>
      <c r="R136" s="1"/>
      <c r="S136" s="1"/>
    </row>
    <row r="137" spans="1:19">
      <c r="A137" s="1"/>
      <c r="B137" s="1" t="s">
        <v>825</v>
      </c>
      <c r="C137" s="302">
        <f>M118</f>
        <v>53</v>
      </c>
      <c r="D137" s="242">
        <f t="shared" si="9"/>
        <v>2.2110972048393824E-3</v>
      </c>
      <c r="E137" s="1"/>
      <c r="F137" s="242">
        <f t="shared" si="10"/>
        <v>2.3477297895902545E-3</v>
      </c>
      <c r="G137" s="242"/>
      <c r="H137" s="1"/>
      <c r="I137" s="133"/>
      <c r="J137" s="1"/>
      <c r="K137" s="1"/>
      <c r="L137" s="303" t="s">
        <v>830</v>
      </c>
      <c r="M137" s="304">
        <v>78</v>
      </c>
      <c r="N137" s="1"/>
      <c r="O137" s="1"/>
      <c r="P137" s="1"/>
      <c r="Q137" s="1"/>
      <c r="R137" s="1"/>
      <c r="S137" s="1"/>
    </row>
    <row r="138" spans="1:19">
      <c r="A138" s="1"/>
      <c r="B138" s="1" t="s">
        <v>827</v>
      </c>
      <c r="C138" s="302">
        <f>M119</f>
        <v>16843</v>
      </c>
      <c r="D138" s="242">
        <f t="shared" si="9"/>
        <v>0.70267000417188152</v>
      </c>
      <c r="E138" s="1"/>
      <c r="F138" s="242">
        <f t="shared" si="10"/>
        <v>0.74609080841638986</v>
      </c>
      <c r="G138" s="242"/>
      <c r="H138" s="1"/>
      <c r="I138" s="133"/>
      <c r="J138" s="1"/>
      <c r="K138" s="1"/>
      <c r="L138" s="303" t="s">
        <v>832</v>
      </c>
      <c r="M138" s="304">
        <v>10</v>
      </c>
      <c r="N138" s="1"/>
      <c r="O138" s="1"/>
      <c r="P138" s="1"/>
      <c r="Q138" s="1"/>
      <c r="R138" s="1"/>
      <c r="S138" s="1"/>
    </row>
    <row r="139" spans="1:19">
      <c r="A139" s="1"/>
      <c r="B139" s="1" t="s">
        <v>829</v>
      </c>
      <c r="C139" s="302">
        <f>M120</f>
        <v>254</v>
      </c>
      <c r="D139" s="242">
        <f t="shared" si="9"/>
        <v>1.0596579057154778E-2</v>
      </c>
      <c r="E139" s="1"/>
      <c r="F139" s="242">
        <f t="shared" si="10"/>
        <v>1.1251384274640088E-2</v>
      </c>
      <c r="G139" s="242"/>
      <c r="H139" s="1"/>
      <c r="I139" s="133"/>
      <c r="J139" s="1"/>
      <c r="K139" s="1"/>
      <c r="L139" s="303" t="s">
        <v>834</v>
      </c>
      <c r="M139" s="304">
        <v>208</v>
      </c>
      <c r="N139" s="1"/>
      <c r="O139" s="1"/>
      <c r="P139" s="1"/>
      <c r="Q139" s="1"/>
      <c r="R139" s="1"/>
      <c r="S139" s="1"/>
    </row>
    <row r="140" spans="1:19">
      <c r="A140" s="1"/>
      <c r="B140" s="1" t="s">
        <v>831</v>
      </c>
      <c r="C140" s="302">
        <f>M122</f>
        <v>74</v>
      </c>
      <c r="D140" s="242">
        <f t="shared" si="9"/>
        <v>3.0871923237380059E-3</v>
      </c>
      <c r="E140" s="1"/>
      <c r="F140" s="242">
        <f t="shared" si="10"/>
        <v>3.2779623477297896E-3</v>
      </c>
      <c r="G140" s="242"/>
      <c r="H140" s="1"/>
      <c r="I140" s="133"/>
      <c r="J140" s="1"/>
      <c r="K140" s="1"/>
      <c r="L140" s="303" t="s">
        <v>835</v>
      </c>
      <c r="M140" s="304">
        <v>11578</v>
      </c>
      <c r="N140" s="1"/>
      <c r="O140" s="1"/>
      <c r="P140" s="1"/>
      <c r="Q140" s="1"/>
      <c r="R140" s="1"/>
      <c r="S140" s="1"/>
    </row>
    <row r="141" spans="1:19" ht="13.5" thickBot="1">
      <c r="A141" s="1"/>
      <c r="B141" s="202" t="s">
        <v>833</v>
      </c>
      <c r="C141" s="322">
        <f>SUM(C127:C140)</f>
        <v>22575</v>
      </c>
      <c r="D141" s="320">
        <f>SUM(D127:D140)</f>
        <v>0.94180225281602004</v>
      </c>
      <c r="E141" s="1"/>
      <c r="F141" s="317">
        <f>SUM(F127:F140)</f>
        <v>1</v>
      </c>
      <c r="G141" s="315"/>
      <c r="H141" s="1"/>
      <c r="I141" s="133"/>
      <c r="J141" s="1"/>
      <c r="K141" s="1"/>
      <c r="L141" s="303" t="s">
        <v>836</v>
      </c>
      <c r="M141" s="304">
        <v>1976</v>
      </c>
      <c r="N141" s="1"/>
      <c r="O141" s="1"/>
      <c r="P141" s="1"/>
      <c r="Q141" s="1"/>
      <c r="R141" s="1"/>
      <c r="S141" s="1"/>
    </row>
    <row r="142" spans="1:19" ht="13.5" thickTop="1">
      <c r="A142" s="1"/>
      <c r="B142" s="1"/>
      <c r="C142" s="302"/>
      <c r="D142" s="1"/>
      <c r="E142" s="1"/>
      <c r="F142" s="1"/>
      <c r="G142" s="1"/>
      <c r="H142" s="1"/>
      <c r="I142" s="133"/>
      <c r="J142" s="1"/>
      <c r="K142" s="1"/>
      <c r="L142" s="303" t="s">
        <v>838</v>
      </c>
      <c r="M142" s="304">
        <v>168</v>
      </c>
      <c r="N142" s="1"/>
      <c r="O142" s="1"/>
      <c r="P142" s="1"/>
      <c r="Q142" s="1"/>
      <c r="R142" s="1"/>
      <c r="S142" s="1"/>
    </row>
    <row r="143" spans="1:19">
      <c r="A143" s="1"/>
      <c r="B143" s="1" t="s">
        <v>306</v>
      </c>
      <c r="C143" s="319">
        <f>M123</f>
        <v>355</v>
      </c>
      <c r="D143" s="242">
        <f>$C143/$C$150</f>
        <v>1.4810179390905299E-2</v>
      </c>
      <c r="E143" s="1"/>
      <c r="F143" s="1"/>
      <c r="G143" s="1"/>
      <c r="H143" s="318"/>
      <c r="I143" s="133"/>
      <c r="J143" s="1"/>
      <c r="K143" s="1"/>
      <c r="L143" s="303" t="s">
        <v>839</v>
      </c>
      <c r="M143" s="304">
        <v>10</v>
      </c>
      <c r="N143" s="1"/>
      <c r="O143" s="1"/>
      <c r="P143" s="1"/>
      <c r="Q143" s="1"/>
      <c r="R143" s="1"/>
      <c r="S143" s="1"/>
    </row>
    <row r="144" spans="1:19">
      <c r="A144" s="1"/>
      <c r="B144" s="202" t="s">
        <v>837</v>
      </c>
      <c r="C144" s="306">
        <f>SUM(C143)</f>
        <v>355</v>
      </c>
      <c r="D144" s="320">
        <f>SUM(D143)</f>
        <v>1.4810179390905299E-2</v>
      </c>
      <c r="E144" s="1"/>
      <c r="F144" s="1"/>
      <c r="G144" s="1"/>
      <c r="H144" s="1"/>
      <c r="I144" s="133"/>
      <c r="J144" s="1"/>
      <c r="K144" s="1"/>
      <c r="L144" s="303" t="s">
        <v>840</v>
      </c>
      <c r="M144" s="304">
        <v>1847</v>
      </c>
      <c r="N144" s="1"/>
      <c r="O144" s="1"/>
      <c r="P144" s="1"/>
      <c r="Q144" s="1"/>
      <c r="R144" s="1"/>
      <c r="S144" s="1"/>
    </row>
    <row r="145" spans="1:19">
      <c r="A145" s="1"/>
      <c r="B145" s="1"/>
      <c r="C145" s="302"/>
      <c r="D145" s="1"/>
      <c r="E145" s="1"/>
      <c r="F145" s="1"/>
      <c r="G145" s="1"/>
      <c r="H145" s="1"/>
      <c r="I145" s="133"/>
      <c r="J145" s="1"/>
      <c r="K145" s="1"/>
      <c r="L145" s="303" t="s">
        <v>842</v>
      </c>
      <c r="M145" s="304">
        <v>96</v>
      </c>
      <c r="N145" s="1"/>
      <c r="O145" s="1"/>
      <c r="P145" s="1"/>
      <c r="Q145" s="1"/>
      <c r="R145" s="1"/>
      <c r="S145" s="1"/>
    </row>
    <row r="146" spans="1:19">
      <c r="A146" s="1"/>
      <c r="B146" s="1" t="s">
        <v>306</v>
      </c>
      <c r="C146" s="302">
        <f>M124</f>
        <v>851</v>
      </c>
      <c r="D146" s="242">
        <f>$C146/$C$150</f>
        <v>3.5502711722987065E-2</v>
      </c>
      <c r="E146" s="1"/>
      <c r="F146" s="242">
        <f>C146/C148</f>
        <v>0.81826923076923075</v>
      </c>
      <c r="G146" s="242"/>
      <c r="H146" s="1"/>
      <c r="I146" s="133"/>
      <c r="J146" s="1"/>
      <c r="K146" s="1"/>
      <c r="L146" s="303" t="s">
        <v>844</v>
      </c>
      <c r="M146" s="304">
        <v>1109</v>
      </c>
      <c r="N146" s="1"/>
      <c r="O146" s="1"/>
      <c r="P146" s="1"/>
      <c r="Q146" s="1"/>
      <c r="R146" s="1"/>
      <c r="S146" s="1"/>
    </row>
    <row r="147" spans="1:19">
      <c r="A147" s="1"/>
      <c r="B147" s="1" t="s">
        <v>841</v>
      </c>
      <c r="C147" s="302">
        <f>M125</f>
        <v>189</v>
      </c>
      <c r="D147" s="242">
        <f>$C147/$C$150</f>
        <v>7.8848560700876102E-3</v>
      </c>
      <c r="E147" s="1"/>
      <c r="F147" s="242">
        <f>C147/C148</f>
        <v>0.18173076923076922</v>
      </c>
      <c r="G147" s="242"/>
      <c r="H147" s="1"/>
      <c r="I147" s="133"/>
      <c r="J147" s="1"/>
      <c r="K147" s="1"/>
      <c r="L147" s="303" t="s">
        <v>845</v>
      </c>
      <c r="M147" s="304">
        <v>1</v>
      </c>
      <c r="N147" s="1"/>
      <c r="O147" s="1"/>
      <c r="P147" s="1"/>
      <c r="Q147" s="1"/>
      <c r="R147" s="1"/>
      <c r="S147" s="1"/>
    </row>
    <row r="148" spans="1:19" ht="13.5" thickBot="1">
      <c r="A148" s="1"/>
      <c r="B148" s="202" t="s">
        <v>843</v>
      </c>
      <c r="C148" s="306">
        <f>SUM(C146:C147)</f>
        <v>1040</v>
      </c>
      <c r="D148" s="320">
        <f>SUM(D146:D147)</f>
        <v>4.3387567793074677E-2</v>
      </c>
      <c r="E148" s="1"/>
      <c r="F148" s="317">
        <f>SUM(F146:F147)</f>
        <v>1</v>
      </c>
      <c r="G148" s="315"/>
      <c r="H148" s="349"/>
      <c r="I148" s="133"/>
      <c r="J148" s="1"/>
      <c r="K148" s="1"/>
      <c r="L148" s="303" t="s">
        <v>847</v>
      </c>
      <c r="M148" s="304">
        <v>62</v>
      </c>
      <c r="N148" s="1"/>
      <c r="O148" s="1"/>
      <c r="P148" s="1"/>
      <c r="Q148" s="1"/>
      <c r="R148" s="1"/>
      <c r="S148" s="1"/>
    </row>
    <row r="149" spans="1:19" ht="13.5" thickTop="1">
      <c r="A149" s="1"/>
      <c r="B149" s="1"/>
      <c r="C149" s="302"/>
      <c r="D149" s="1"/>
      <c r="E149" s="1"/>
      <c r="F149" s="1"/>
      <c r="G149" s="1"/>
      <c r="H149" s="1"/>
      <c r="I149" s="133"/>
      <c r="J149" s="1"/>
      <c r="K149" s="1"/>
      <c r="L149" s="303" t="s">
        <v>848</v>
      </c>
      <c r="M149" s="304">
        <v>1041</v>
      </c>
      <c r="N149" s="1"/>
      <c r="O149" s="1"/>
      <c r="P149" s="1"/>
      <c r="Q149" s="1"/>
      <c r="R149" s="1"/>
      <c r="S149" s="1"/>
    </row>
    <row r="150" spans="1:19" ht="13.5" thickBot="1">
      <c r="A150" s="1"/>
      <c r="B150" s="202" t="s">
        <v>846</v>
      </c>
      <c r="C150" s="312">
        <f>C141+C144+C148</f>
        <v>23970</v>
      </c>
      <c r="D150" s="323">
        <f>D141+D144+D148</f>
        <v>1</v>
      </c>
      <c r="E150" s="1"/>
      <c r="F150" s="1"/>
      <c r="G150" s="1"/>
      <c r="H150" s="1"/>
      <c r="I150" s="133"/>
      <c r="J150" s="1"/>
      <c r="K150" s="1"/>
      <c r="L150" s="303" t="s">
        <v>849</v>
      </c>
      <c r="M150" s="304">
        <v>118</v>
      </c>
      <c r="N150" s="1"/>
      <c r="O150" s="1"/>
      <c r="P150" s="1"/>
      <c r="Q150" s="1"/>
      <c r="R150" s="1"/>
      <c r="S150" s="1"/>
    </row>
    <row r="151" spans="1:19" ht="13.5" thickTop="1">
      <c r="A151" s="1"/>
      <c r="B151" s="1"/>
      <c r="C151" s="302"/>
      <c r="D151" s="1"/>
      <c r="E151" s="1"/>
      <c r="F151" s="1"/>
      <c r="G151" s="1"/>
      <c r="H151" s="1"/>
      <c r="I151" s="133"/>
      <c r="J151" s="1"/>
      <c r="K151" s="1"/>
      <c r="L151" s="303" t="s">
        <v>850</v>
      </c>
      <c r="M151" s="304">
        <v>1094</v>
      </c>
      <c r="N151" s="1"/>
      <c r="O151" s="1"/>
      <c r="P151" s="1"/>
      <c r="Q151" s="1"/>
      <c r="R151" s="1"/>
      <c r="S151" s="1"/>
    </row>
    <row r="152" spans="1:19" ht="13.5">
      <c r="A152" s="1"/>
      <c r="B152" s="301" t="s">
        <v>644</v>
      </c>
      <c r="C152" s="302"/>
      <c r="D152" s="1"/>
      <c r="E152" s="1"/>
      <c r="F152" s="1"/>
      <c r="G152" s="1"/>
      <c r="H152" s="1"/>
      <c r="I152" s="133"/>
      <c r="J152" s="1"/>
      <c r="K152" s="1"/>
      <c r="L152" s="303" t="s">
        <v>852</v>
      </c>
      <c r="M152" s="304">
        <v>177</v>
      </c>
      <c r="N152" s="1"/>
      <c r="O152" s="1"/>
      <c r="P152" s="1"/>
      <c r="Q152" s="1"/>
      <c r="R152" s="1"/>
      <c r="S152" s="1"/>
    </row>
    <row r="153" spans="1:19">
      <c r="A153" s="1"/>
      <c r="B153" s="1" t="s">
        <v>306</v>
      </c>
      <c r="C153" s="302">
        <f>M126</f>
        <v>4695</v>
      </c>
      <c r="D153" s="242">
        <f t="shared" ref="D153:D159" si="11">$C153/$C$183</f>
        <v>9.4886822958771225E-2</v>
      </c>
      <c r="E153" s="1"/>
      <c r="F153" s="242">
        <f t="shared" ref="F153:F159" si="12">C153/$C$160</f>
        <v>0.60871256320497857</v>
      </c>
      <c r="G153" s="242"/>
      <c r="H153" s="1"/>
      <c r="I153" s="133"/>
      <c r="J153" s="1"/>
      <c r="K153" s="1"/>
      <c r="L153" s="303" t="s">
        <v>854</v>
      </c>
      <c r="M153" s="304">
        <v>88</v>
      </c>
      <c r="N153" s="1"/>
      <c r="O153" s="1"/>
      <c r="P153" s="1"/>
      <c r="Q153" s="1"/>
      <c r="R153" s="1"/>
      <c r="S153" s="1"/>
    </row>
    <row r="154" spans="1:19">
      <c r="A154" s="1"/>
      <c r="B154" s="1" t="s">
        <v>851</v>
      </c>
      <c r="C154" s="302">
        <f>M131</f>
        <v>934</v>
      </c>
      <c r="D154" s="242">
        <f t="shared" si="11"/>
        <v>1.8876313662085691E-2</v>
      </c>
      <c r="E154" s="1"/>
      <c r="F154" s="242">
        <f t="shared" si="12"/>
        <v>0.1210942564501491</v>
      </c>
      <c r="G154" s="242"/>
      <c r="H154" s="1"/>
      <c r="I154" s="133"/>
      <c r="J154" s="1"/>
      <c r="K154" s="1"/>
      <c r="L154" s="303" t="s">
        <v>855</v>
      </c>
      <c r="M154" s="304">
        <v>3151</v>
      </c>
      <c r="N154" s="1"/>
      <c r="O154" s="1"/>
      <c r="P154" s="1"/>
      <c r="Q154" s="1"/>
      <c r="R154" s="1"/>
      <c r="S154" s="1"/>
    </row>
    <row r="155" spans="1:19">
      <c r="A155" s="1"/>
      <c r="B155" s="1" t="s">
        <v>853</v>
      </c>
      <c r="C155" s="302">
        <f>M133</f>
        <v>1765</v>
      </c>
      <c r="D155" s="242">
        <f t="shared" si="11"/>
        <v>3.567097817299919E-2</v>
      </c>
      <c r="E155" s="1"/>
      <c r="F155" s="242">
        <f t="shared" si="12"/>
        <v>0.22883443536885778</v>
      </c>
      <c r="G155" s="242"/>
      <c r="H155" s="1"/>
      <c r="I155" s="133"/>
      <c r="J155" s="1"/>
      <c r="K155" s="1"/>
      <c r="L155" s="303" t="s">
        <v>857</v>
      </c>
      <c r="M155" s="304">
        <v>3829</v>
      </c>
      <c r="N155" s="1"/>
      <c r="O155" s="1"/>
      <c r="P155" s="1"/>
      <c r="Q155" s="1"/>
      <c r="R155" s="1"/>
      <c r="S155" s="1"/>
    </row>
    <row r="156" spans="1:19">
      <c r="A156" s="1"/>
      <c r="B156" s="1" t="s">
        <v>853</v>
      </c>
      <c r="C156" s="302">
        <f>M134</f>
        <v>63</v>
      </c>
      <c r="D156" s="242">
        <f t="shared" si="11"/>
        <v>1.2732417138237673E-3</v>
      </c>
      <c r="E156" s="1"/>
      <c r="F156" s="242">
        <f t="shared" si="12"/>
        <v>8.1680280046674443E-3</v>
      </c>
      <c r="G156" s="242"/>
      <c r="H156" s="1"/>
      <c r="I156" s="133"/>
      <c r="J156" s="1"/>
      <c r="K156" s="1"/>
      <c r="L156" s="303" t="s">
        <v>858</v>
      </c>
      <c r="M156" s="304">
        <v>9</v>
      </c>
      <c r="N156" s="1"/>
      <c r="O156" s="1"/>
      <c r="P156" s="1"/>
      <c r="Q156" s="1"/>
      <c r="R156" s="1"/>
      <c r="S156" s="1"/>
    </row>
    <row r="157" spans="1:19">
      <c r="A157" s="1"/>
      <c r="B157" s="1" t="s">
        <v>856</v>
      </c>
      <c r="C157" s="302">
        <f>M137</f>
        <v>78</v>
      </c>
      <c r="D157" s="242">
        <f t="shared" si="11"/>
        <v>1.5763945028294259E-3</v>
      </c>
      <c r="E157" s="1"/>
      <c r="F157" s="242">
        <f t="shared" si="12"/>
        <v>1.0112796577207312E-2</v>
      </c>
      <c r="G157" s="242"/>
      <c r="H157" s="1"/>
      <c r="I157" s="133"/>
      <c r="J157" s="1"/>
      <c r="K157" s="1"/>
      <c r="L157" s="303" t="s">
        <v>860</v>
      </c>
      <c r="M157" s="304">
        <v>3</v>
      </c>
      <c r="N157" s="1"/>
      <c r="O157" s="1"/>
      <c r="P157" s="1"/>
      <c r="Q157" s="1"/>
      <c r="R157" s="1"/>
      <c r="S157" s="1"/>
    </row>
    <row r="158" spans="1:19">
      <c r="A158" s="1"/>
      <c r="B158" s="1" t="s">
        <v>856</v>
      </c>
      <c r="C158" s="302">
        <f>M138</f>
        <v>10</v>
      </c>
      <c r="D158" s="242">
        <f t="shared" si="11"/>
        <v>2.0210185933710589E-4</v>
      </c>
      <c r="E158" s="1"/>
      <c r="F158" s="242">
        <f t="shared" si="12"/>
        <v>1.2965123816932453E-3</v>
      </c>
      <c r="G158" s="242"/>
      <c r="H158" s="1"/>
      <c r="I158" s="133"/>
      <c r="J158" s="1"/>
      <c r="K158" s="1"/>
      <c r="L158" s="303" t="s">
        <v>862</v>
      </c>
      <c r="M158" s="304">
        <v>4</v>
      </c>
      <c r="N158" s="1"/>
      <c r="O158" s="1"/>
      <c r="P158" s="1"/>
      <c r="Q158" s="1"/>
      <c r="R158" s="1"/>
      <c r="S158" s="1"/>
    </row>
    <row r="159" spans="1:19">
      <c r="A159" s="1"/>
      <c r="B159" s="1" t="s">
        <v>859</v>
      </c>
      <c r="C159" s="302">
        <f>M142</f>
        <v>168</v>
      </c>
      <c r="D159" s="242">
        <f t="shared" si="11"/>
        <v>3.395311236863379E-3</v>
      </c>
      <c r="E159" s="1"/>
      <c r="F159" s="242">
        <f t="shared" si="12"/>
        <v>2.1781408012446518E-2</v>
      </c>
      <c r="G159" s="242"/>
      <c r="H159" s="1"/>
      <c r="I159" s="133"/>
      <c r="J159" s="1"/>
      <c r="K159" s="1"/>
      <c r="L159" s="303" t="s">
        <v>863</v>
      </c>
      <c r="M159" s="304">
        <v>3</v>
      </c>
      <c r="N159" s="1"/>
      <c r="O159" s="1"/>
      <c r="P159" s="1"/>
      <c r="Q159" s="1"/>
      <c r="R159" s="1"/>
      <c r="S159" s="1"/>
    </row>
    <row r="160" spans="1:19" ht="13.5" thickBot="1">
      <c r="A160" s="1"/>
      <c r="B160" s="202" t="s">
        <v>861</v>
      </c>
      <c r="C160" s="306">
        <f>SUM(C153:C159)</f>
        <v>7713</v>
      </c>
      <c r="D160" s="320">
        <f>SUM(D153:D159)</f>
        <v>0.15588116410670977</v>
      </c>
      <c r="E160" s="1"/>
      <c r="F160" s="317">
        <f>SUM(F153:F159)</f>
        <v>1</v>
      </c>
      <c r="G160" s="315"/>
      <c r="H160" s="1"/>
      <c r="I160" s="133"/>
      <c r="J160" s="1"/>
      <c r="K160" s="1"/>
      <c r="L160" s="303" t="s">
        <v>864</v>
      </c>
      <c r="M160" s="304">
        <v>1</v>
      </c>
      <c r="N160" s="1"/>
      <c r="O160" s="1"/>
      <c r="P160" s="1"/>
      <c r="Q160" s="1"/>
      <c r="R160" s="1"/>
      <c r="S160" s="1"/>
    </row>
    <row r="161" spans="1:19" ht="13.5" thickTop="1">
      <c r="A161" s="1"/>
      <c r="B161" s="202"/>
      <c r="C161" s="302"/>
      <c r="D161" s="1"/>
      <c r="E161" s="1"/>
      <c r="F161" s="1"/>
      <c r="G161" s="1"/>
      <c r="H161" s="1"/>
      <c r="I161" s="133"/>
      <c r="J161" s="1"/>
      <c r="K161" s="1"/>
      <c r="L161" s="303" t="s">
        <v>866</v>
      </c>
      <c r="M161" s="304">
        <v>13022</v>
      </c>
      <c r="N161" s="1"/>
      <c r="O161" s="1"/>
      <c r="P161" s="1"/>
      <c r="Q161" s="1"/>
      <c r="R161" s="1"/>
      <c r="S161" s="1"/>
    </row>
    <row r="162" spans="1:19">
      <c r="A162" s="1"/>
      <c r="B162" s="1" t="s">
        <v>306</v>
      </c>
      <c r="C162" s="302">
        <f>M127</f>
        <v>18466</v>
      </c>
      <c r="D162" s="242">
        <f t="shared" ref="D162:D167" si="13">$C162/$C$183</f>
        <v>0.37320129345189978</v>
      </c>
      <c r="E162" s="1"/>
      <c r="F162" s="242">
        <f t="shared" ref="F162:F167" si="14">C162/$C$170</f>
        <v>0.572234273318872</v>
      </c>
      <c r="G162" s="242"/>
      <c r="H162" s="1"/>
      <c r="I162" s="133"/>
      <c r="J162" s="1"/>
      <c r="K162" s="1"/>
      <c r="L162" s="303" t="s">
        <v>868</v>
      </c>
      <c r="M162" s="304">
        <v>19</v>
      </c>
      <c r="N162" s="1"/>
      <c r="O162" s="1"/>
      <c r="P162" s="1"/>
      <c r="Q162" s="1"/>
      <c r="R162" s="1"/>
      <c r="S162" s="1"/>
    </row>
    <row r="163" spans="1:19">
      <c r="A163" s="1"/>
      <c r="B163" s="1" t="s">
        <v>865</v>
      </c>
      <c r="C163" s="302">
        <f>M132</f>
        <v>1</v>
      </c>
      <c r="D163" s="242">
        <f t="shared" si="13"/>
        <v>2.0210185933710592E-5</v>
      </c>
      <c r="E163" s="1"/>
      <c r="F163" s="242">
        <f t="shared" si="14"/>
        <v>3.0988534242330335E-5</v>
      </c>
      <c r="G163" s="242"/>
      <c r="H163" s="1"/>
      <c r="I163" s="133"/>
      <c r="J163" s="1"/>
      <c r="K163" s="1"/>
      <c r="L163" s="303" t="s">
        <v>870</v>
      </c>
      <c r="M163" s="304">
        <v>81</v>
      </c>
      <c r="N163" s="1"/>
      <c r="O163" s="1"/>
      <c r="P163" s="1"/>
      <c r="Q163" s="1"/>
      <c r="R163" s="1"/>
      <c r="S163" s="1"/>
    </row>
    <row r="164" spans="1:19">
      <c r="A164" s="1"/>
      <c r="B164" s="1" t="s">
        <v>867</v>
      </c>
      <c r="C164" s="302">
        <f>M135</f>
        <v>41</v>
      </c>
      <c r="D164" s="242">
        <f t="shared" si="13"/>
        <v>8.2861762328213415E-4</v>
      </c>
      <c r="E164" s="1"/>
      <c r="F164" s="242">
        <f t="shared" si="14"/>
        <v>1.2705299039355439E-3</v>
      </c>
      <c r="G164" s="242"/>
      <c r="H164" s="1"/>
      <c r="I164" s="133"/>
      <c r="J164" s="1"/>
      <c r="K164" s="1"/>
      <c r="L164" s="303" t="s">
        <v>872</v>
      </c>
      <c r="M164" s="304">
        <v>2</v>
      </c>
      <c r="N164" s="1"/>
      <c r="O164" s="1"/>
      <c r="P164" s="1"/>
      <c r="Q164" s="1"/>
      <c r="R164" s="1"/>
      <c r="S164" s="1"/>
    </row>
    <row r="165" spans="1:19">
      <c r="A165" s="1"/>
      <c r="B165" s="1" t="s">
        <v>869</v>
      </c>
      <c r="C165" s="302">
        <f>M139</f>
        <v>208</v>
      </c>
      <c r="D165" s="242">
        <f t="shared" si="13"/>
        <v>4.2037186742118031E-3</v>
      </c>
      <c r="E165" s="1"/>
      <c r="F165" s="242">
        <f t="shared" si="14"/>
        <v>6.4456151224047105E-3</v>
      </c>
      <c r="G165" s="242"/>
      <c r="H165" s="1"/>
      <c r="I165" s="133"/>
      <c r="J165" s="1"/>
      <c r="K165" s="1"/>
      <c r="L165" s="303" t="s">
        <v>874</v>
      </c>
      <c r="M165" s="304">
        <v>95</v>
      </c>
      <c r="N165" s="1"/>
      <c r="O165" s="1"/>
      <c r="P165" s="1"/>
      <c r="Q165" s="1"/>
      <c r="R165" s="1"/>
      <c r="S165" s="1"/>
    </row>
    <row r="166" spans="1:19">
      <c r="A166" s="1"/>
      <c r="B166" s="1" t="s">
        <v>871</v>
      </c>
      <c r="C166" s="302">
        <f>M140</f>
        <v>11578</v>
      </c>
      <c r="D166" s="242">
        <f t="shared" si="13"/>
        <v>0.23399353274050122</v>
      </c>
      <c r="E166" s="1"/>
      <c r="F166" s="242">
        <f t="shared" si="14"/>
        <v>0.35878524945770063</v>
      </c>
      <c r="G166" s="242"/>
      <c r="H166" s="1"/>
      <c r="I166" s="133"/>
      <c r="J166" s="1"/>
      <c r="K166" s="1"/>
      <c r="L166" s="303" t="s">
        <v>876</v>
      </c>
      <c r="M166" s="304">
        <v>16</v>
      </c>
      <c r="N166" s="1"/>
      <c r="O166" s="1"/>
      <c r="P166" s="1"/>
      <c r="Q166" s="1"/>
      <c r="R166" s="1"/>
      <c r="S166" s="1"/>
    </row>
    <row r="167" spans="1:19">
      <c r="A167" s="1"/>
      <c r="B167" s="1" t="s">
        <v>873</v>
      </c>
      <c r="C167" s="302">
        <f>M141</f>
        <v>1976</v>
      </c>
      <c r="D167" s="242">
        <f t="shared" si="13"/>
        <v>3.9935327405012128E-2</v>
      </c>
      <c r="E167" s="1"/>
      <c r="F167" s="242">
        <f t="shared" si="14"/>
        <v>6.1233343662844747E-2</v>
      </c>
      <c r="G167" s="242"/>
      <c r="H167" s="1"/>
      <c r="I167" s="133"/>
      <c r="J167" s="1"/>
      <c r="K167" s="1"/>
      <c r="L167" s="303" t="s">
        <v>878</v>
      </c>
      <c r="M167" s="304">
        <v>75</v>
      </c>
      <c r="N167" s="1"/>
      <c r="O167" s="1"/>
      <c r="P167" s="1"/>
      <c r="Q167" s="1"/>
      <c r="R167" s="1"/>
      <c r="S167" s="1"/>
    </row>
    <row r="168" spans="1:19">
      <c r="A168" s="1"/>
      <c r="B168" s="202" t="s">
        <v>875</v>
      </c>
      <c r="C168" s="306">
        <f>SUM(C162:C167)</f>
        <v>32270</v>
      </c>
      <c r="D168" s="320">
        <f>SUM(D162:D167)</f>
        <v>0.65218270008084078</v>
      </c>
      <c r="E168" s="1"/>
      <c r="F168" s="324">
        <f>SUM(F162:F167)</f>
        <v>0.99999999999999989</v>
      </c>
      <c r="G168" s="315"/>
      <c r="H168" s="1"/>
      <c r="I168" s="133"/>
      <c r="J168" s="1"/>
      <c r="K168" s="1"/>
      <c r="L168" s="303" t="s">
        <v>880</v>
      </c>
      <c r="M168" s="304">
        <v>25</v>
      </c>
      <c r="N168" s="1"/>
      <c r="O168" s="1"/>
      <c r="P168" s="1"/>
      <c r="Q168" s="1"/>
      <c r="R168" s="1"/>
      <c r="S168" s="1"/>
    </row>
    <row r="169" spans="1:19">
      <c r="A169" s="1"/>
      <c r="B169" s="137" t="s">
        <v>877</v>
      </c>
      <c r="C169" s="319">
        <v>0</v>
      </c>
      <c r="D169" s="242">
        <f>$C169/$C$183</f>
        <v>0</v>
      </c>
      <c r="E169" s="1"/>
      <c r="F169" s="242">
        <f>C169/$C$170</f>
        <v>0</v>
      </c>
      <c r="G169" s="242"/>
      <c r="H169" s="1"/>
      <c r="I169" s="133"/>
      <c r="J169" s="1"/>
      <c r="K169" s="1"/>
      <c r="L169" s="303" t="s">
        <v>881</v>
      </c>
      <c r="M169" s="304">
        <v>1020</v>
      </c>
      <c r="N169" s="1"/>
      <c r="O169" s="1"/>
      <c r="P169" s="1"/>
      <c r="Q169" s="1"/>
      <c r="R169" s="1"/>
      <c r="S169" s="1"/>
    </row>
    <row r="170" spans="1:19" ht="13.5" thickBot="1">
      <c r="A170" s="1"/>
      <c r="B170" s="202" t="s">
        <v>879</v>
      </c>
      <c r="C170" s="306">
        <f>SUM(C168:C169)</f>
        <v>32270</v>
      </c>
      <c r="D170" s="320">
        <f>SUM(D168:D169)</f>
        <v>0.65218270008084078</v>
      </c>
      <c r="E170" s="1"/>
      <c r="F170" s="317">
        <f>SUM(F168:F169)</f>
        <v>0.99999999999999989</v>
      </c>
      <c r="G170" s="315"/>
      <c r="H170" s="1"/>
      <c r="I170" s="133"/>
      <c r="J170" s="1"/>
      <c r="K170" s="1"/>
      <c r="L170" s="303" t="s">
        <v>882</v>
      </c>
      <c r="M170" s="304">
        <v>2</v>
      </c>
      <c r="N170" s="1"/>
      <c r="O170" s="1"/>
      <c r="P170" s="1"/>
      <c r="Q170" s="1"/>
      <c r="R170" s="1"/>
      <c r="S170" s="1"/>
    </row>
    <row r="171" spans="1:19" ht="13.5" thickTop="1">
      <c r="A171" s="1"/>
      <c r="B171" s="1"/>
      <c r="C171" s="302"/>
      <c r="D171" s="1"/>
      <c r="E171" s="1"/>
      <c r="F171" s="1"/>
      <c r="G171" s="1"/>
      <c r="H171" s="1"/>
      <c r="I171" s="133"/>
      <c r="J171" s="1"/>
      <c r="K171" s="1"/>
      <c r="L171" s="305" t="s">
        <v>884</v>
      </c>
      <c r="M171" s="304">
        <v>1</v>
      </c>
      <c r="N171" s="1"/>
      <c r="O171" s="1"/>
      <c r="P171" s="1"/>
      <c r="Q171" s="1"/>
      <c r="R171" s="1"/>
      <c r="S171" s="1"/>
    </row>
    <row r="172" spans="1:19">
      <c r="A172" s="1"/>
      <c r="B172" s="1" t="s">
        <v>306</v>
      </c>
      <c r="C172" s="302">
        <f>M128</f>
        <v>4740</v>
      </c>
      <c r="D172" s="242">
        <f>$C172/$C$183</f>
        <v>9.5796281325788199E-2</v>
      </c>
      <c r="E172" s="1"/>
      <c r="F172" s="242">
        <f>C172/$C$175</f>
        <v>0.63632702376157868</v>
      </c>
      <c r="G172" s="242"/>
      <c r="H172" s="1"/>
      <c r="I172" s="133"/>
      <c r="J172" s="1"/>
      <c r="K172" s="1"/>
      <c r="L172" s="303" t="s">
        <v>886</v>
      </c>
      <c r="M172" s="304">
        <v>4563</v>
      </c>
      <c r="N172" s="1"/>
      <c r="O172" s="1"/>
      <c r="P172" s="1"/>
      <c r="Q172" s="1"/>
      <c r="R172" s="1"/>
      <c r="S172" s="1"/>
    </row>
    <row r="173" spans="1:19">
      <c r="A173" s="1"/>
      <c r="B173" s="1" t="s">
        <v>883</v>
      </c>
      <c r="C173" s="302">
        <f>M136</f>
        <v>2699</v>
      </c>
      <c r="D173" s="242">
        <f>$C173/$C$183</f>
        <v>5.4547291835084881E-2</v>
      </c>
      <c r="E173" s="1"/>
      <c r="F173" s="242">
        <f>C173/$C$175</f>
        <v>0.3623305141629749</v>
      </c>
      <c r="G173" s="242"/>
      <c r="H173" s="1"/>
      <c r="I173" s="133"/>
      <c r="J173" s="1"/>
      <c r="K173" s="1"/>
      <c r="L173" s="303" t="s">
        <v>888</v>
      </c>
      <c r="M173" s="304">
        <v>4</v>
      </c>
      <c r="N173" s="1"/>
      <c r="O173" s="1"/>
      <c r="P173" s="1"/>
      <c r="Q173" s="1"/>
      <c r="R173" s="1"/>
      <c r="S173" s="1"/>
    </row>
    <row r="174" spans="1:19">
      <c r="A174" s="1"/>
      <c r="B174" s="1" t="s">
        <v>885</v>
      </c>
      <c r="C174" s="302">
        <f>M143</f>
        <v>10</v>
      </c>
      <c r="D174" s="242">
        <f>$C174/$C$183</f>
        <v>2.0210185933710589E-4</v>
      </c>
      <c r="E174" s="1"/>
      <c r="F174" s="242">
        <f>C174/$C$175</f>
        <v>1.3424620754463685E-3</v>
      </c>
      <c r="G174" s="242"/>
      <c r="H174" s="1"/>
      <c r="I174" s="133"/>
      <c r="J174" s="1"/>
      <c r="K174" s="1"/>
      <c r="L174" s="303" t="s">
        <v>889</v>
      </c>
      <c r="M174" s="304">
        <v>221</v>
      </c>
      <c r="N174" s="1"/>
      <c r="O174" s="1"/>
      <c r="P174" s="1"/>
      <c r="Q174" s="1"/>
      <c r="R174" s="1"/>
      <c r="S174" s="1"/>
    </row>
    <row r="175" spans="1:19" ht="13.5" thickBot="1">
      <c r="A175" s="1"/>
      <c r="B175" s="202" t="s">
        <v>887</v>
      </c>
      <c r="C175" s="306">
        <f>SUM(C172:C174)</f>
        <v>7449</v>
      </c>
      <c r="D175" s="320">
        <f>SUM(D172:D174)</f>
        <v>0.15054567502021018</v>
      </c>
      <c r="E175" s="1"/>
      <c r="F175" s="317">
        <f>SUM(F172:F174)</f>
        <v>1</v>
      </c>
      <c r="G175" s="315"/>
      <c r="H175" s="1"/>
      <c r="I175" s="133"/>
      <c r="J175" s="1"/>
      <c r="K175" s="1"/>
      <c r="L175" s="303" t="s">
        <v>890</v>
      </c>
      <c r="M175" s="304">
        <v>5</v>
      </c>
      <c r="N175" s="1"/>
      <c r="O175" s="1"/>
      <c r="P175" s="1"/>
      <c r="Q175" s="1"/>
      <c r="R175" s="1"/>
      <c r="S175" s="1"/>
    </row>
    <row r="176" spans="1:19" ht="13.5" thickTop="1">
      <c r="A176" s="1"/>
      <c r="B176" s="1"/>
      <c r="C176" s="302"/>
      <c r="D176" s="1"/>
      <c r="E176" s="1"/>
      <c r="F176" s="1"/>
      <c r="G176" s="1"/>
      <c r="H176" s="1"/>
      <c r="I176" s="133"/>
      <c r="J176" s="1"/>
      <c r="K176" s="1"/>
      <c r="L176" s="303" t="s">
        <v>892</v>
      </c>
      <c r="M176" s="304">
        <v>4771</v>
      </c>
      <c r="N176" s="1"/>
      <c r="O176" s="1"/>
      <c r="P176" s="1"/>
      <c r="Q176" s="1"/>
      <c r="R176" s="1"/>
      <c r="S176" s="1"/>
    </row>
    <row r="177" spans="1:19">
      <c r="A177" s="1"/>
      <c r="B177" s="1" t="s">
        <v>306</v>
      </c>
      <c r="C177" s="302">
        <f>M129</f>
        <v>190</v>
      </c>
      <c r="D177" s="242">
        <f>$C177/$C$183</f>
        <v>3.839935327405012E-3</v>
      </c>
      <c r="E177" s="1"/>
      <c r="F177" s="1"/>
      <c r="G177" s="1"/>
      <c r="H177" s="1"/>
      <c r="I177" s="133"/>
      <c r="J177" s="1"/>
      <c r="K177" s="1"/>
      <c r="L177" s="303" t="s">
        <v>893</v>
      </c>
      <c r="M177" s="304">
        <v>145</v>
      </c>
      <c r="N177" s="1"/>
      <c r="O177" s="1"/>
      <c r="P177" s="1"/>
      <c r="Q177" s="1"/>
      <c r="R177" s="1"/>
      <c r="S177" s="1"/>
    </row>
    <row r="178" spans="1:19">
      <c r="A178" s="1"/>
      <c r="B178" s="202" t="s">
        <v>891</v>
      </c>
      <c r="C178" s="306">
        <f>SUM(C177)</f>
        <v>190</v>
      </c>
      <c r="D178" s="320">
        <f>SUM(D177)</f>
        <v>3.839935327405012E-3</v>
      </c>
      <c r="E178" s="1"/>
      <c r="F178" s="1"/>
      <c r="G178" s="1"/>
      <c r="H178" s="1"/>
      <c r="I178" s="133"/>
      <c r="J178" s="1"/>
      <c r="K178" s="1"/>
      <c r="L178" s="303" t="s">
        <v>894</v>
      </c>
      <c r="M178" s="304">
        <v>281</v>
      </c>
      <c r="N178" s="1"/>
      <c r="O178" s="1"/>
      <c r="P178" s="1"/>
      <c r="Q178" s="1"/>
      <c r="R178" s="1"/>
      <c r="S178" s="1"/>
    </row>
    <row r="179" spans="1:19">
      <c r="A179" s="1"/>
      <c r="B179" s="1"/>
      <c r="C179" s="302"/>
      <c r="D179" s="1"/>
      <c r="E179" s="1"/>
      <c r="F179" s="1"/>
      <c r="G179" s="1"/>
      <c r="H179" s="1"/>
      <c r="I179" s="133"/>
      <c r="J179" s="1"/>
      <c r="K179" s="1"/>
      <c r="L179" s="303" t="s">
        <v>896</v>
      </c>
      <c r="M179" s="304">
        <v>453</v>
      </c>
      <c r="N179" s="1"/>
      <c r="O179" s="1"/>
      <c r="P179" s="1"/>
      <c r="Q179" s="1"/>
      <c r="R179" s="1"/>
      <c r="S179" s="1"/>
    </row>
    <row r="180" spans="1:19">
      <c r="A180" s="1"/>
      <c r="B180" s="1" t="s">
        <v>306</v>
      </c>
      <c r="C180" s="302">
        <f>M130</f>
        <v>1858</v>
      </c>
      <c r="D180" s="242">
        <f>$C180/$C$183</f>
        <v>3.7550525464834277E-2</v>
      </c>
      <c r="E180" s="1"/>
      <c r="F180" s="1"/>
      <c r="G180" s="1"/>
      <c r="H180" s="1"/>
      <c r="I180" s="133"/>
      <c r="J180" s="1"/>
      <c r="K180" s="1"/>
      <c r="L180" s="303" t="s">
        <v>897</v>
      </c>
      <c r="M180" s="304">
        <v>1022</v>
      </c>
      <c r="N180" s="1"/>
      <c r="O180" s="1"/>
      <c r="P180" s="1"/>
      <c r="Q180" s="1"/>
      <c r="R180" s="1"/>
      <c r="S180" s="1"/>
    </row>
    <row r="181" spans="1:19">
      <c r="A181" s="1"/>
      <c r="B181" s="202" t="s">
        <v>895</v>
      </c>
      <c r="C181" s="306">
        <f>SUM(C180)</f>
        <v>1858</v>
      </c>
      <c r="D181" s="320">
        <f>SUM(D180)</f>
        <v>3.7550525464834277E-2</v>
      </c>
      <c r="E181" s="1"/>
      <c r="F181" s="1"/>
      <c r="G181" s="1"/>
      <c r="H181" s="1"/>
      <c r="I181" s="133"/>
      <c r="J181" s="1"/>
      <c r="K181" s="1"/>
      <c r="L181" s="303" t="s">
        <v>899</v>
      </c>
      <c r="M181" s="304">
        <v>349</v>
      </c>
      <c r="N181" s="1"/>
      <c r="O181" s="1"/>
      <c r="P181" s="1"/>
      <c r="Q181" s="1"/>
      <c r="R181" s="1"/>
      <c r="S181" s="1"/>
    </row>
    <row r="182" spans="1:19">
      <c r="A182" s="1"/>
      <c r="B182" s="1"/>
      <c r="C182" s="302"/>
      <c r="D182" s="1"/>
      <c r="E182" s="1"/>
      <c r="F182" s="1"/>
      <c r="G182" s="1"/>
      <c r="H182" s="1"/>
      <c r="I182" s="133"/>
      <c r="J182" s="1"/>
      <c r="K182" s="1"/>
      <c r="L182" s="303" t="s">
        <v>900</v>
      </c>
      <c r="M182" s="304">
        <v>34</v>
      </c>
      <c r="N182" s="1"/>
      <c r="O182" s="1"/>
      <c r="P182" s="1"/>
      <c r="Q182" s="1"/>
      <c r="R182" s="1"/>
      <c r="S182" s="1"/>
    </row>
    <row r="183" spans="1:19" ht="13.5" thickBot="1">
      <c r="A183" s="1"/>
      <c r="B183" s="202" t="s">
        <v>898</v>
      </c>
      <c r="C183" s="312">
        <f>C160+C170+C175+C178+C181</f>
        <v>49480</v>
      </c>
      <c r="D183" s="317">
        <f>D160+D170+D175+D178+D181</f>
        <v>1</v>
      </c>
      <c r="E183" s="1"/>
      <c r="F183" s="1"/>
      <c r="G183" s="1"/>
      <c r="H183" s="1"/>
      <c r="I183" s="133"/>
      <c r="J183" s="1"/>
      <c r="K183" s="1"/>
      <c r="L183" s="303" t="s">
        <v>902</v>
      </c>
      <c r="M183" s="304">
        <v>148</v>
      </c>
      <c r="N183" s="1"/>
      <c r="O183" s="1"/>
      <c r="P183" s="1"/>
      <c r="Q183" s="1"/>
      <c r="R183" s="1"/>
      <c r="S183" s="1"/>
    </row>
    <row r="184" spans="1:19" ht="13.5" thickTop="1">
      <c r="A184" s="1"/>
      <c r="B184" s="1"/>
      <c r="C184" s="325"/>
      <c r="D184" s="1"/>
      <c r="E184" s="1"/>
      <c r="F184" s="1"/>
      <c r="G184" s="1"/>
      <c r="H184" s="1"/>
      <c r="I184" s="133"/>
      <c r="J184" s="1"/>
      <c r="K184" s="1"/>
      <c r="L184" s="303" t="s">
        <v>903</v>
      </c>
      <c r="M184" s="304">
        <v>5</v>
      </c>
      <c r="N184" s="1"/>
      <c r="O184" s="1"/>
      <c r="P184" s="1"/>
      <c r="Q184" s="1"/>
      <c r="R184" s="1"/>
      <c r="S184" s="1"/>
    </row>
    <row r="185" spans="1:19" ht="13.5">
      <c r="A185" s="1"/>
      <c r="B185" s="301" t="s">
        <v>901</v>
      </c>
      <c r="C185" s="302"/>
      <c r="D185" s="1"/>
      <c r="E185" s="1"/>
      <c r="F185" s="1"/>
      <c r="G185" s="1"/>
      <c r="H185" s="1"/>
      <c r="I185" s="133"/>
      <c r="J185" s="1"/>
      <c r="K185" s="1"/>
      <c r="L185" s="303" t="s">
        <v>905</v>
      </c>
      <c r="M185" s="304">
        <v>23</v>
      </c>
      <c r="N185" s="1"/>
      <c r="O185" s="1"/>
      <c r="P185" s="1"/>
      <c r="Q185" s="1"/>
      <c r="R185" s="1"/>
      <c r="S185" s="1"/>
    </row>
    <row r="186" spans="1:19">
      <c r="A186" s="1"/>
      <c r="B186" s="1" t="s">
        <v>306</v>
      </c>
      <c r="C186" s="302">
        <f>M144</f>
        <v>1847</v>
      </c>
      <c r="D186" s="242">
        <f t="shared" ref="D186:D193" si="15">C186/$C$203</f>
        <v>0.33309287646528402</v>
      </c>
      <c r="E186" s="1"/>
      <c r="F186" s="242">
        <f t="shared" ref="F186:F193" si="16">C186/$C$198</f>
        <v>0.33896127729858688</v>
      </c>
      <c r="G186" s="242"/>
      <c r="H186" s="1"/>
      <c r="I186" s="133"/>
      <c r="J186" s="1"/>
      <c r="K186" s="1"/>
      <c r="L186" s="303" t="s">
        <v>907</v>
      </c>
      <c r="M186" s="304">
        <v>1</v>
      </c>
      <c r="N186" s="1"/>
      <c r="O186" s="1"/>
      <c r="P186" s="1"/>
      <c r="Q186" s="1"/>
      <c r="R186" s="1"/>
      <c r="S186" s="1"/>
    </row>
    <row r="187" spans="1:19">
      <c r="A187" s="1"/>
      <c r="B187" s="1" t="s">
        <v>904</v>
      </c>
      <c r="C187" s="302">
        <f t="shared" ref="C187:C193" si="17">M146</f>
        <v>1109</v>
      </c>
      <c r="D187" s="242">
        <f t="shared" si="15"/>
        <v>0.2</v>
      </c>
      <c r="E187" s="1"/>
      <c r="F187" s="242">
        <f t="shared" si="16"/>
        <v>0.20352358230868048</v>
      </c>
      <c r="G187" s="242"/>
      <c r="H187" s="1"/>
      <c r="I187" s="133"/>
      <c r="J187" s="1"/>
      <c r="K187" s="1"/>
      <c r="L187" s="303" t="s">
        <v>909</v>
      </c>
      <c r="M187" s="304">
        <v>382</v>
      </c>
      <c r="N187" s="1"/>
      <c r="O187" s="1"/>
      <c r="P187" s="1"/>
      <c r="Q187" s="1"/>
      <c r="R187" s="1"/>
      <c r="S187" s="1"/>
    </row>
    <row r="188" spans="1:19">
      <c r="A188" s="1"/>
      <c r="B188" s="1" t="s">
        <v>906</v>
      </c>
      <c r="C188" s="302">
        <f t="shared" si="17"/>
        <v>1</v>
      </c>
      <c r="D188" s="242">
        <f t="shared" si="15"/>
        <v>1.8034265103697024E-4</v>
      </c>
      <c r="E188" s="1"/>
      <c r="F188" s="242">
        <f t="shared" si="16"/>
        <v>1.8351991191044228E-4</v>
      </c>
      <c r="G188" s="242"/>
      <c r="H188" s="1"/>
      <c r="I188" s="133"/>
      <c r="J188" s="1"/>
      <c r="K188" s="1"/>
      <c r="L188" s="303" t="s">
        <v>911</v>
      </c>
      <c r="M188" s="304">
        <v>59</v>
      </c>
      <c r="N188" s="1"/>
      <c r="O188" s="1"/>
      <c r="P188" s="1"/>
      <c r="Q188" s="1"/>
      <c r="R188" s="1"/>
      <c r="S188" s="1"/>
    </row>
    <row r="189" spans="1:19">
      <c r="A189" s="1"/>
      <c r="B189" s="1" t="s">
        <v>908</v>
      </c>
      <c r="C189" s="302">
        <f t="shared" si="17"/>
        <v>62</v>
      </c>
      <c r="D189" s="242">
        <f t="shared" si="15"/>
        <v>1.1181244364292155E-2</v>
      </c>
      <c r="E189" s="1"/>
      <c r="F189" s="242">
        <f t="shared" si="16"/>
        <v>1.1378234538447421E-2</v>
      </c>
      <c r="G189" s="242"/>
      <c r="H189" s="1"/>
      <c r="I189" s="133"/>
      <c r="J189" s="1"/>
      <c r="K189" s="1"/>
      <c r="L189" s="303" t="s">
        <v>912</v>
      </c>
      <c r="M189" s="304">
        <v>4728</v>
      </c>
      <c r="N189" s="1"/>
      <c r="O189" s="1"/>
      <c r="P189" s="1"/>
      <c r="Q189" s="1"/>
      <c r="R189" s="1"/>
      <c r="S189" s="1"/>
    </row>
    <row r="190" spans="1:19">
      <c r="A190" s="1"/>
      <c r="B190" s="1" t="s">
        <v>910</v>
      </c>
      <c r="C190" s="302">
        <f t="shared" si="17"/>
        <v>1041</v>
      </c>
      <c r="D190" s="242">
        <f t="shared" si="15"/>
        <v>0.18773669972948603</v>
      </c>
      <c r="E190" s="1"/>
      <c r="F190" s="242">
        <f t="shared" si="16"/>
        <v>0.19104422829877041</v>
      </c>
      <c r="G190" s="242"/>
      <c r="H190" s="1"/>
      <c r="I190" s="133"/>
      <c r="J190" s="1"/>
      <c r="K190" s="1"/>
      <c r="L190" s="303" t="s">
        <v>914</v>
      </c>
      <c r="M190" s="304">
        <v>16815</v>
      </c>
      <c r="N190" s="1"/>
      <c r="O190" s="1"/>
      <c r="P190" s="1"/>
      <c r="Q190" s="1"/>
      <c r="R190" s="1"/>
      <c r="S190" s="1"/>
    </row>
    <row r="191" spans="1:19">
      <c r="A191" s="1"/>
      <c r="B191" s="1" t="s">
        <v>910</v>
      </c>
      <c r="C191" s="302">
        <f t="shared" si="17"/>
        <v>118</v>
      </c>
      <c r="D191" s="242">
        <f t="shared" si="15"/>
        <v>2.1280432822362489E-2</v>
      </c>
      <c r="E191" s="1"/>
      <c r="F191" s="242">
        <f t="shared" si="16"/>
        <v>2.1655349605432188E-2</v>
      </c>
      <c r="G191" s="242"/>
      <c r="H191" s="1"/>
      <c r="I191" s="133"/>
      <c r="J191" s="1"/>
      <c r="K191" s="1"/>
      <c r="L191" s="303" t="s">
        <v>916</v>
      </c>
      <c r="M191" s="304">
        <v>1195</v>
      </c>
      <c r="N191" s="1"/>
      <c r="O191" s="1"/>
      <c r="P191" s="1"/>
      <c r="Q191" s="1"/>
      <c r="R191" s="1"/>
      <c r="S191" s="1"/>
    </row>
    <row r="192" spans="1:19">
      <c r="A192" s="1"/>
      <c r="B192" s="1" t="s">
        <v>913</v>
      </c>
      <c r="C192" s="302">
        <f t="shared" si="17"/>
        <v>1094</v>
      </c>
      <c r="D192" s="242">
        <f t="shared" si="15"/>
        <v>0.19729486023444545</v>
      </c>
      <c r="E192" s="1"/>
      <c r="F192" s="242">
        <f t="shared" si="16"/>
        <v>0.20077078363002385</v>
      </c>
      <c r="G192" s="242"/>
      <c r="H192" s="1"/>
      <c r="I192" s="133"/>
      <c r="J192" s="1"/>
      <c r="K192" s="1"/>
      <c r="L192" s="303" t="s">
        <v>918</v>
      </c>
      <c r="M192" s="304">
        <v>2861</v>
      </c>
      <c r="N192" s="1"/>
      <c r="O192" s="1"/>
      <c r="P192" s="1"/>
      <c r="Q192" s="1"/>
      <c r="R192" s="1"/>
      <c r="S192" s="1"/>
    </row>
    <row r="193" spans="1:19">
      <c r="A193" s="1"/>
      <c r="B193" s="1" t="s">
        <v>915</v>
      </c>
      <c r="C193" s="302">
        <f t="shared" si="17"/>
        <v>177</v>
      </c>
      <c r="D193" s="242">
        <f t="shared" si="15"/>
        <v>3.1920649233543735E-2</v>
      </c>
      <c r="E193" s="1"/>
      <c r="F193" s="242">
        <f t="shared" si="16"/>
        <v>3.2483024408148285E-2</v>
      </c>
      <c r="G193" s="242"/>
      <c r="H193" s="1"/>
      <c r="I193" s="133"/>
      <c r="J193" s="1"/>
      <c r="K193" s="1"/>
      <c r="L193" s="303" t="s">
        <v>920</v>
      </c>
      <c r="M193" s="304">
        <v>309</v>
      </c>
      <c r="N193" s="1"/>
      <c r="O193" s="1"/>
      <c r="P193" s="1"/>
      <c r="Q193" s="1"/>
      <c r="R193" s="1"/>
      <c r="S193" s="1"/>
    </row>
    <row r="194" spans="1:19">
      <c r="A194" s="1"/>
      <c r="B194" s="202" t="s">
        <v>917</v>
      </c>
      <c r="C194" s="322">
        <f>SUM(C186:C193)</f>
        <v>5449</v>
      </c>
      <c r="D194" s="320">
        <f>SUM(D186:D193)</f>
        <v>0.9826871055004508</v>
      </c>
      <c r="E194" s="1"/>
      <c r="F194" s="320">
        <f>SUM(F186:F193)</f>
        <v>1</v>
      </c>
      <c r="G194" s="273"/>
      <c r="H194" s="1"/>
      <c r="I194" s="133"/>
      <c r="J194" s="1"/>
      <c r="K194" s="1"/>
      <c r="L194" s="303" t="s">
        <v>923</v>
      </c>
      <c r="M194" s="304">
        <v>1465</v>
      </c>
      <c r="N194" s="1"/>
      <c r="O194" s="1"/>
      <c r="P194" s="1"/>
      <c r="Q194" s="1"/>
      <c r="R194" s="1"/>
      <c r="S194" s="1"/>
    </row>
    <row r="195" spans="1:19">
      <c r="A195" s="1"/>
      <c r="B195" s="137" t="s">
        <v>919</v>
      </c>
      <c r="C195" s="326">
        <v>0</v>
      </c>
      <c r="D195" s="1"/>
      <c r="E195" s="1"/>
      <c r="F195" s="242">
        <f>C195/$C$198</f>
        <v>0</v>
      </c>
      <c r="G195" s="242"/>
      <c r="H195" s="1"/>
      <c r="I195" s="133"/>
      <c r="J195" s="1"/>
      <c r="K195" s="1"/>
      <c r="L195" s="303" t="s">
        <v>925</v>
      </c>
      <c r="M195" s="304">
        <v>844</v>
      </c>
      <c r="N195" s="1"/>
      <c r="O195" s="1"/>
      <c r="P195" s="1"/>
      <c r="Q195" s="1"/>
      <c r="R195" s="1"/>
      <c r="S195" s="1"/>
    </row>
    <row r="196" spans="1:19">
      <c r="A196" s="1"/>
      <c r="B196" s="137" t="s">
        <v>921</v>
      </c>
      <c r="C196" s="326">
        <f>M227*0</f>
        <v>0</v>
      </c>
      <c r="D196" s="1"/>
      <c r="E196" s="1"/>
      <c r="F196" s="242">
        <f>C196/$C$198</f>
        <v>0</v>
      </c>
      <c r="G196" s="242"/>
      <c r="H196" s="1"/>
      <c r="I196" s="133"/>
      <c r="J196" s="1"/>
      <c r="K196" s="1"/>
      <c r="L196" s="303" t="s">
        <v>926</v>
      </c>
      <c r="M196" s="304">
        <v>385</v>
      </c>
      <c r="N196" s="1"/>
      <c r="O196" s="1"/>
      <c r="P196" s="1"/>
      <c r="Q196" s="1"/>
      <c r="R196" s="1"/>
      <c r="S196" s="1"/>
    </row>
    <row r="197" spans="1:19">
      <c r="A197" s="1"/>
      <c r="B197" s="137" t="s">
        <v>924</v>
      </c>
      <c r="C197" s="326">
        <f>M228*0</f>
        <v>0</v>
      </c>
      <c r="D197" s="1"/>
      <c r="E197" s="1"/>
      <c r="F197" s="242">
        <f>C197/$C$198</f>
        <v>0</v>
      </c>
      <c r="G197" s="242"/>
      <c r="H197" s="1"/>
      <c r="I197" s="133"/>
      <c r="J197" s="1"/>
      <c r="K197" s="1"/>
      <c r="L197" s="303" t="s">
        <v>927</v>
      </c>
      <c r="M197" s="304">
        <v>1161</v>
      </c>
      <c r="N197" s="1"/>
      <c r="O197" s="1"/>
      <c r="P197" s="1"/>
      <c r="Q197" s="1"/>
      <c r="R197" s="1"/>
      <c r="S197" s="1"/>
    </row>
    <row r="198" spans="1:19" ht="13.5" thickBot="1">
      <c r="A198" s="1"/>
      <c r="B198" s="202" t="s">
        <v>922</v>
      </c>
      <c r="C198" s="322">
        <f>SUM(C194:C197)</f>
        <v>5449</v>
      </c>
      <c r="D198" s="1"/>
      <c r="E198" s="1"/>
      <c r="F198" s="317">
        <f>SUM(F194:F197)</f>
        <v>1</v>
      </c>
      <c r="G198" s="315"/>
      <c r="H198" s="1"/>
      <c r="I198" s="133"/>
      <c r="J198" s="1"/>
      <c r="K198" s="1"/>
      <c r="L198" s="303" t="s">
        <v>928</v>
      </c>
      <c r="M198" s="304">
        <v>12</v>
      </c>
      <c r="N198" s="1"/>
      <c r="O198" s="1"/>
      <c r="P198" s="1"/>
      <c r="Q198" s="1"/>
      <c r="R198" s="1"/>
      <c r="S198" s="1"/>
    </row>
    <row r="199" spans="1:19" ht="13.5" thickTop="1">
      <c r="A199" s="1"/>
      <c r="B199" s="137"/>
      <c r="C199" s="280"/>
      <c r="D199" s="1"/>
      <c r="E199" s="1"/>
      <c r="F199" s="1"/>
      <c r="G199" s="1"/>
      <c r="H199" s="1"/>
      <c r="I199" s="133"/>
      <c r="J199" s="1"/>
      <c r="K199" s="1"/>
      <c r="L199" s="303" t="s">
        <v>930</v>
      </c>
      <c r="M199" s="304">
        <v>26</v>
      </c>
      <c r="N199" s="1"/>
      <c r="O199" s="1"/>
      <c r="P199" s="1"/>
      <c r="Q199" s="1"/>
      <c r="R199" s="1"/>
      <c r="S199" s="1"/>
    </row>
    <row r="200" spans="1:19">
      <c r="A200" s="1"/>
      <c r="B200" s="1" t="s">
        <v>306</v>
      </c>
      <c r="C200" s="327">
        <f>M145</f>
        <v>96</v>
      </c>
      <c r="D200" s="242">
        <f>C200/$C$203</f>
        <v>1.7312894499549144E-2</v>
      </c>
      <c r="E200" s="1"/>
      <c r="F200" s="1"/>
      <c r="G200" s="1"/>
      <c r="H200" s="1"/>
      <c r="I200" s="133"/>
      <c r="J200" s="1"/>
      <c r="K200" s="1"/>
      <c r="L200" s="303" t="s">
        <v>931</v>
      </c>
      <c r="M200" s="304">
        <v>53</v>
      </c>
      <c r="N200" s="1"/>
      <c r="O200" s="1"/>
      <c r="P200" s="1"/>
      <c r="Q200" s="1"/>
      <c r="R200" s="1"/>
      <c r="S200" s="1"/>
    </row>
    <row r="201" spans="1:19">
      <c r="A201" s="1"/>
      <c r="B201" s="202" t="s">
        <v>929</v>
      </c>
      <c r="C201" s="328">
        <f>SUM(C200)</f>
        <v>96</v>
      </c>
      <c r="D201" s="320">
        <f>SUM(D200)</f>
        <v>1.7312894499549144E-2</v>
      </c>
      <c r="E201" s="1"/>
      <c r="F201" s="1"/>
      <c r="G201" s="1"/>
      <c r="H201" s="1"/>
      <c r="I201" s="133"/>
      <c r="J201" s="1"/>
      <c r="K201" s="1"/>
      <c r="L201" s="303" t="s">
        <v>933</v>
      </c>
      <c r="M201" s="304">
        <v>2</v>
      </c>
      <c r="N201" s="1"/>
      <c r="O201" s="1"/>
      <c r="P201" s="1"/>
      <c r="Q201" s="1"/>
      <c r="R201" s="1"/>
      <c r="S201" s="1"/>
    </row>
    <row r="202" spans="1:19">
      <c r="A202" s="1"/>
      <c r="B202" s="1"/>
      <c r="C202" s="280"/>
      <c r="D202" s="1"/>
      <c r="E202" s="1"/>
      <c r="F202" s="1"/>
      <c r="G202" s="1"/>
      <c r="H202" s="1"/>
      <c r="I202" s="133"/>
      <c r="J202" s="1"/>
      <c r="K202" s="1"/>
      <c r="L202" s="303" t="s">
        <v>934</v>
      </c>
      <c r="M202" s="304">
        <v>299</v>
      </c>
      <c r="N202" s="1"/>
      <c r="O202" s="1"/>
      <c r="P202" s="1"/>
      <c r="Q202" s="1"/>
      <c r="R202" s="1"/>
      <c r="S202" s="1"/>
    </row>
    <row r="203" spans="1:19" ht="13.5" thickBot="1">
      <c r="A203" s="1"/>
      <c r="B203" s="202" t="s">
        <v>932</v>
      </c>
      <c r="C203" s="329">
        <f>C198+C201</f>
        <v>5545</v>
      </c>
      <c r="D203" s="317">
        <f>D201+D194</f>
        <v>0.99999999999999989</v>
      </c>
      <c r="E203" s="1"/>
      <c r="F203" s="1"/>
      <c r="G203" s="1"/>
      <c r="H203" s="1"/>
      <c r="I203" s="133"/>
      <c r="J203" s="1"/>
      <c r="K203" s="1"/>
      <c r="L203" s="303" t="s">
        <v>935</v>
      </c>
      <c r="M203" s="304">
        <v>260</v>
      </c>
      <c r="N203" s="1"/>
      <c r="O203" s="1"/>
      <c r="P203" s="1"/>
      <c r="Q203" s="1"/>
      <c r="R203" s="1"/>
      <c r="S203" s="1"/>
    </row>
    <row r="204" spans="1:19" ht="13.5" thickTop="1">
      <c r="A204" s="1"/>
      <c r="B204" s="1"/>
      <c r="C204" s="280"/>
      <c r="D204" s="1"/>
      <c r="E204" s="1"/>
      <c r="F204" s="1"/>
      <c r="G204" s="1"/>
      <c r="H204" s="1"/>
      <c r="I204" s="133"/>
      <c r="J204" s="1"/>
      <c r="K204" s="1"/>
      <c r="L204" s="303" t="s">
        <v>936</v>
      </c>
      <c r="M204" s="304">
        <v>2414</v>
      </c>
      <c r="N204" s="1"/>
      <c r="O204" s="1"/>
      <c r="P204" s="1"/>
      <c r="Q204" s="1"/>
      <c r="R204" s="1"/>
      <c r="S204" s="1"/>
    </row>
    <row r="205" spans="1:19" ht="13.5">
      <c r="A205" s="1"/>
      <c r="B205" s="301" t="s">
        <v>646</v>
      </c>
      <c r="C205" s="280"/>
      <c r="D205" s="1"/>
      <c r="E205" s="1"/>
      <c r="F205" s="1"/>
      <c r="G205" s="1"/>
      <c r="H205" s="1"/>
      <c r="I205" s="133"/>
      <c r="J205" s="1"/>
      <c r="K205" s="1"/>
      <c r="L205" s="303" t="s">
        <v>938</v>
      </c>
      <c r="M205" s="304">
        <v>4</v>
      </c>
      <c r="N205" s="1"/>
      <c r="O205" s="1"/>
      <c r="P205" s="1"/>
      <c r="Q205" s="1"/>
      <c r="R205" s="1"/>
      <c r="S205" s="1"/>
    </row>
    <row r="206" spans="1:19">
      <c r="A206" s="1"/>
      <c r="B206" s="1" t="s">
        <v>306</v>
      </c>
      <c r="C206" s="302">
        <f>M153</f>
        <v>88</v>
      </c>
      <c r="D206" s="242">
        <f>C206/$C$238</f>
        <v>4.3088674533614067E-3</v>
      </c>
      <c r="E206" s="1"/>
      <c r="F206" s="242">
        <f>C206/C208</f>
        <v>0.48087431693989069</v>
      </c>
      <c r="G206" s="242"/>
      <c r="H206" s="1"/>
      <c r="I206" s="133"/>
      <c r="J206" s="1"/>
      <c r="K206" s="1"/>
      <c r="L206" s="303" t="s">
        <v>940</v>
      </c>
      <c r="M206" s="304">
        <v>8380</v>
      </c>
      <c r="N206" s="1"/>
      <c r="O206" s="1"/>
      <c r="P206" s="1"/>
      <c r="Q206" s="1"/>
      <c r="R206" s="1"/>
      <c r="S206" s="1"/>
    </row>
    <row r="207" spans="1:19">
      <c r="A207" s="1"/>
      <c r="B207" s="1" t="s">
        <v>937</v>
      </c>
      <c r="C207" s="302">
        <f>M165</f>
        <v>95</v>
      </c>
      <c r="D207" s="242">
        <f>C207/$C$238</f>
        <v>4.6516182735151547E-3</v>
      </c>
      <c r="E207" s="1"/>
      <c r="F207" s="242">
        <f>C207/C208</f>
        <v>0.51912568306010931</v>
      </c>
      <c r="G207" s="242"/>
      <c r="H207" s="1"/>
      <c r="I207" s="133"/>
      <c r="J207" s="1"/>
      <c r="K207" s="1"/>
      <c r="L207" s="303" t="s">
        <v>941</v>
      </c>
      <c r="M207" s="304">
        <v>172</v>
      </c>
      <c r="N207" s="1"/>
      <c r="O207" s="1"/>
      <c r="P207" s="1"/>
      <c r="Q207" s="1"/>
      <c r="R207" s="1"/>
      <c r="S207" s="1"/>
    </row>
    <row r="208" spans="1:19" ht="13.5" thickBot="1">
      <c r="A208" s="1"/>
      <c r="B208" s="202" t="s">
        <v>939</v>
      </c>
      <c r="C208" s="306">
        <f>SUM(C206:C207)</f>
        <v>183</v>
      </c>
      <c r="D208" s="320">
        <f>SUM(D206:D207)</f>
        <v>8.9604857268765613E-3</v>
      </c>
      <c r="E208" s="1"/>
      <c r="F208" s="308">
        <f>SUM(F206:F207)</f>
        <v>1</v>
      </c>
      <c r="G208" s="309"/>
      <c r="H208" s="1"/>
      <c r="I208" s="133"/>
      <c r="J208" s="1"/>
      <c r="K208" s="1"/>
      <c r="L208" s="303" t="s">
        <v>942</v>
      </c>
      <c r="M208" s="304">
        <v>2</v>
      </c>
      <c r="N208" s="1"/>
      <c r="O208" s="1"/>
      <c r="P208" s="1"/>
      <c r="Q208" s="1"/>
      <c r="R208" s="1"/>
      <c r="S208" s="1"/>
    </row>
    <row r="209" spans="1:19" ht="13.5" thickTop="1">
      <c r="A209" s="1"/>
      <c r="B209" s="1"/>
      <c r="C209" s="302"/>
      <c r="D209" s="1"/>
      <c r="E209" s="1"/>
      <c r="F209" s="1"/>
      <c r="G209" s="1"/>
      <c r="H209" s="1"/>
      <c r="I209" s="133"/>
      <c r="J209" s="1"/>
      <c r="K209" s="1"/>
      <c r="L209" s="303" t="s">
        <v>944</v>
      </c>
      <c r="M209" s="304">
        <v>4721</v>
      </c>
      <c r="N209" s="1"/>
      <c r="O209" s="1"/>
      <c r="P209" s="1"/>
      <c r="Q209" s="1"/>
      <c r="R209" s="1"/>
      <c r="S209" s="1"/>
    </row>
    <row r="210" spans="1:19">
      <c r="A210" s="1"/>
      <c r="B210" s="1" t="s">
        <v>306</v>
      </c>
      <c r="C210" s="302">
        <f>M154</f>
        <v>3151</v>
      </c>
      <c r="D210" s="242">
        <f>C210/$C$238</f>
        <v>0.15428683347206582</v>
      </c>
      <c r="E210" s="1"/>
      <c r="F210" s="242">
        <f>C210/$C$215</f>
        <v>0.19360983102918586</v>
      </c>
      <c r="G210" s="242"/>
      <c r="H210" s="1"/>
      <c r="I210" s="133"/>
      <c r="J210" s="1"/>
      <c r="K210" s="1"/>
      <c r="L210" s="303" t="s">
        <v>946</v>
      </c>
      <c r="M210" s="304">
        <v>6494</v>
      </c>
      <c r="N210" s="1"/>
      <c r="O210" s="1"/>
      <c r="P210" s="1"/>
      <c r="Q210" s="1"/>
      <c r="R210" s="1"/>
      <c r="S210" s="1"/>
    </row>
    <row r="211" spans="1:19">
      <c r="A211" s="1"/>
      <c r="B211" s="1" t="s">
        <v>943</v>
      </c>
      <c r="C211" s="302">
        <f>M161</f>
        <v>13022</v>
      </c>
      <c r="D211" s="242">
        <f t="shared" ref="D211:D214" si="18">C211/$C$238</f>
        <v>0.63761445429172992</v>
      </c>
      <c r="E211" s="1"/>
      <c r="F211" s="242">
        <f t="shared" ref="F211:F214" si="19">C211/$C$215</f>
        <v>0.80012288786482333</v>
      </c>
      <c r="G211" s="242"/>
      <c r="H211" s="1"/>
      <c r="I211" s="133"/>
      <c r="J211" s="1"/>
      <c r="K211" s="1"/>
      <c r="L211" s="303" t="s">
        <v>948</v>
      </c>
      <c r="M211" s="304">
        <v>2515</v>
      </c>
      <c r="N211" s="1"/>
      <c r="O211" s="1"/>
      <c r="P211" s="1"/>
      <c r="Q211" s="1"/>
      <c r="R211" s="1"/>
      <c r="S211" s="1"/>
    </row>
    <row r="212" spans="1:19">
      <c r="A212" s="1"/>
      <c r="B212" s="1" t="s">
        <v>945</v>
      </c>
      <c r="C212" s="302">
        <f>M162</f>
        <v>19</v>
      </c>
      <c r="D212" s="242">
        <f t="shared" si="18"/>
        <v>9.3032365470303087E-4</v>
      </c>
      <c r="E212" s="1"/>
      <c r="F212" s="242">
        <f t="shared" si="19"/>
        <v>1.1674347158218126E-3</v>
      </c>
      <c r="G212" s="242"/>
      <c r="H212" s="1"/>
      <c r="I212" s="133"/>
      <c r="J212" s="1"/>
      <c r="K212" s="1"/>
      <c r="L212" s="303" t="s">
        <v>950</v>
      </c>
      <c r="M212" s="304">
        <v>246</v>
      </c>
      <c r="N212" s="1"/>
      <c r="O212" s="1"/>
      <c r="P212" s="1"/>
      <c r="Q212" s="1"/>
      <c r="R212" s="1"/>
      <c r="S212" s="1"/>
    </row>
    <row r="213" spans="1:19">
      <c r="A213" s="1"/>
      <c r="B213" s="1" t="s">
        <v>947</v>
      </c>
      <c r="C213" s="302">
        <f>M163</f>
        <v>81</v>
      </c>
      <c r="D213" s="242">
        <f t="shared" si="18"/>
        <v>3.9661166332076577E-3</v>
      </c>
      <c r="E213" s="1"/>
      <c r="F213" s="242">
        <f t="shared" si="19"/>
        <v>4.9769585253456221E-3</v>
      </c>
      <c r="G213" s="242"/>
      <c r="H213" s="1"/>
      <c r="I213" s="133"/>
      <c r="J213" s="1"/>
      <c r="K213" s="1"/>
      <c r="L213" s="303" t="s">
        <v>951</v>
      </c>
      <c r="M213" s="304">
        <v>1511</v>
      </c>
      <c r="N213" s="1"/>
      <c r="O213" s="1"/>
      <c r="P213" s="1"/>
      <c r="Q213" s="1"/>
      <c r="R213" s="1"/>
      <c r="S213" s="1"/>
    </row>
    <row r="214" spans="1:19">
      <c r="A214" s="1"/>
      <c r="B214" s="1" t="s">
        <v>1119</v>
      </c>
      <c r="C214" s="302">
        <f>M164</f>
        <v>2</v>
      </c>
      <c r="D214" s="242">
        <f t="shared" si="18"/>
        <v>9.7928805758213774E-5</v>
      </c>
      <c r="E214" s="1"/>
      <c r="F214" s="242">
        <f t="shared" si="19"/>
        <v>1.2288786482334869E-4</v>
      </c>
      <c r="G214" s="242"/>
      <c r="H214" s="1"/>
      <c r="I214" s="133"/>
      <c r="J214" s="1"/>
      <c r="K214" s="1"/>
      <c r="L214" s="303" t="s">
        <v>953</v>
      </c>
      <c r="M214" s="304">
        <v>1563</v>
      </c>
      <c r="N214" s="1"/>
      <c r="O214" s="1"/>
      <c r="P214" s="1"/>
      <c r="Q214" s="1"/>
      <c r="R214" s="1"/>
      <c r="S214" s="1"/>
    </row>
    <row r="215" spans="1:19" ht="13.5" thickBot="1">
      <c r="A215" s="1"/>
      <c r="B215" s="202" t="s">
        <v>949</v>
      </c>
      <c r="C215" s="306">
        <f>SUM(C210:C214)</f>
        <v>16275</v>
      </c>
      <c r="D215" s="320">
        <f>SUM(D210:D214)</f>
        <v>0.79689565685746466</v>
      </c>
      <c r="E215" s="1"/>
      <c r="F215" s="317">
        <f>SUM(F210:F214)</f>
        <v>1</v>
      </c>
      <c r="G215" s="315"/>
      <c r="H215" s="1"/>
      <c r="I215" s="133"/>
      <c r="J215" s="1"/>
      <c r="K215" s="1"/>
      <c r="L215" s="303" t="s">
        <v>955</v>
      </c>
      <c r="M215" s="304">
        <v>46</v>
      </c>
      <c r="N215" s="1"/>
      <c r="O215" s="1"/>
      <c r="P215" s="1"/>
      <c r="Q215" s="1"/>
      <c r="R215" s="1"/>
      <c r="S215" s="1"/>
    </row>
    <row r="216" spans="1:19" ht="13.5" thickTop="1">
      <c r="A216" s="1"/>
      <c r="B216" s="1"/>
      <c r="C216" s="302"/>
      <c r="D216" s="1"/>
      <c r="E216" s="1"/>
      <c r="F216" s="1"/>
      <c r="G216" s="1"/>
      <c r="H216" s="1"/>
      <c r="I216" s="133"/>
      <c r="J216" s="1"/>
      <c r="K216" s="1"/>
      <c r="L216" s="303" t="s">
        <v>957</v>
      </c>
      <c r="M216" s="304">
        <v>3</v>
      </c>
      <c r="N216" s="1"/>
      <c r="O216" s="1"/>
      <c r="P216" s="1"/>
      <c r="Q216" s="1"/>
      <c r="R216" s="1"/>
      <c r="S216" s="1"/>
    </row>
    <row r="217" spans="1:19">
      <c r="A217" s="1"/>
      <c r="B217" s="1" t="s">
        <v>306</v>
      </c>
      <c r="C217" s="302">
        <f>M155</f>
        <v>3829</v>
      </c>
      <c r="D217" s="242">
        <f>C217/$C$238</f>
        <v>0.18748469862410028</v>
      </c>
      <c r="E217" s="1"/>
      <c r="F217" s="242">
        <f>C217/C220</f>
        <v>0.97454823110206157</v>
      </c>
      <c r="G217" s="242"/>
      <c r="H217" s="1"/>
      <c r="I217" s="133"/>
      <c r="J217" s="1"/>
      <c r="K217" s="1"/>
      <c r="L217" s="303" t="s">
        <v>958</v>
      </c>
      <c r="M217" s="304">
        <v>1</v>
      </c>
      <c r="N217" s="1"/>
      <c r="O217" s="1"/>
      <c r="P217" s="1"/>
      <c r="Q217" s="1"/>
      <c r="R217" s="1"/>
      <c r="S217" s="1"/>
    </row>
    <row r="218" spans="1:19">
      <c r="A218" s="1"/>
      <c r="B218" s="1" t="s">
        <v>952</v>
      </c>
      <c r="C218" s="302">
        <f>M167</f>
        <v>75</v>
      </c>
      <c r="D218" s="242">
        <f>C218/$C$238</f>
        <v>3.6723302159330168E-3</v>
      </c>
      <c r="E218" s="1"/>
      <c r="F218" s="242">
        <f>C218/C220</f>
        <v>1.9088826673453806E-2</v>
      </c>
      <c r="G218" s="242"/>
      <c r="H218" s="1"/>
      <c r="I218" s="133"/>
      <c r="J218" s="1"/>
      <c r="K218" s="1"/>
      <c r="L218" s="303" t="s">
        <v>959</v>
      </c>
      <c r="M218" s="304">
        <v>1</v>
      </c>
      <c r="N218" s="1"/>
      <c r="O218" s="1"/>
      <c r="P218" s="1"/>
      <c r="Q218" s="1"/>
      <c r="R218" s="1"/>
      <c r="S218" s="1"/>
    </row>
    <row r="219" spans="1:19">
      <c r="A219" s="1"/>
      <c r="B219" s="1" t="s">
        <v>954</v>
      </c>
      <c r="C219" s="302">
        <f>M168</f>
        <v>25</v>
      </c>
      <c r="D219" s="242">
        <f>C219/$C$238</f>
        <v>1.2241100719776721E-3</v>
      </c>
      <c r="E219" s="1"/>
      <c r="F219" s="242">
        <f>C219/C220</f>
        <v>6.3629422244846018E-3</v>
      </c>
      <c r="G219" s="242"/>
      <c r="H219" s="1"/>
      <c r="I219" s="133"/>
      <c r="J219" s="1"/>
      <c r="K219" s="1"/>
      <c r="L219" s="303" t="s">
        <v>960</v>
      </c>
      <c r="M219" s="304">
        <v>8</v>
      </c>
      <c r="N219" s="1"/>
      <c r="O219" s="1"/>
      <c r="P219" s="1"/>
      <c r="Q219" s="1"/>
      <c r="R219" s="1"/>
      <c r="S219" s="1"/>
    </row>
    <row r="220" spans="1:19" ht="13.5" thickBot="1">
      <c r="A220" s="1"/>
      <c r="B220" s="202" t="s">
        <v>956</v>
      </c>
      <c r="C220" s="306">
        <f>SUM(C217:C219)</f>
        <v>3929</v>
      </c>
      <c r="D220" s="320">
        <f>SUM(D217:D219)</f>
        <v>0.19238113891201097</v>
      </c>
      <c r="E220" s="1"/>
      <c r="F220" s="308">
        <f>SUM(F217:F219)</f>
        <v>1</v>
      </c>
      <c r="G220" s="309"/>
      <c r="H220" s="1"/>
      <c r="I220" s="133"/>
      <c r="J220" s="1"/>
      <c r="K220" s="1"/>
      <c r="L220" s="303" t="s">
        <v>962</v>
      </c>
      <c r="M220" s="304">
        <v>11012</v>
      </c>
      <c r="N220" s="1"/>
      <c r="O220" s="1"/>
      <c r="P220" s="1"/>
      <c r="Q220" s="1"/>
      <c r="R220" s="1"/>
      <c r="S220" s="1"/>
    </row>
    <row r="221" spans="1:19" ht="13.5" thickTop="1">
      <c r="A221" s="1"/>
      <c r="B221" s="1"/>
      <c r="C221" s="302"/>
      <c r="D221" s="1"/>
      <c r="E221" s="1"/>
      <c r="F221" s="1"/>
      <c r="G221" s="1"/>
      <c r="H221" s="1"/>
      <c r="I221" s="133"/>
      <c r="J221" s="1"/>
      <c r="K221" s="1"/>
      <c r="L221" s="303" t="s">
        <v>964</v>
      </c>
      <c r="M221" s="304">
        <v>1</v>
      </c>
      <c r="N221" s="1"/>
      <c r="O221" s="1"/>
      <c r="P221" s="1"/>
      <c r="Q221" s="1"/>
      <c r="R221" s="1"/>
      <c r="S221" s="1"/>
    </row>
    <row r="222" spans="1:19">
      <c r="A222" s="1"/>
      <c r="B222" s="1" t="s">
        <v>306</v>
      </c>
      <c r="C222" s="302">
        <f>M156</f>
        <v>9</v>
      </c>
      <c r="D222" s="242">
        <f>C222/$C$238</f>
        <v>4.4067962591196199E-4</v>
      </c>
      <c r="E222" s="1"/>
      <c r="F222" s="242">
        <f>C222/C224</f>
        <v>0.36</v>
      </c>
      <c r="G222" s="242"/>
      <c r="H222" s="1"/>
      <c r="I222" s="133"/>
      <c r="J222" s="1"/>
      <c r="K222" s="1"/>
      <c r="L222" s="303" t="s">
        <v>965</v>
      </c>
      <c r="M222" s="304">
        <v>9579</v>
      </c>
      <c r="N222" s="1"/>
      <c r="O222" s="1"/>
      <c r="P222" s="1"/>
      <c r="Q222" s="1"/>
      <c r="R222" s="1"/>
      <c r="S222" s="1"/>
    </row>
    <row r="223" spans="1:19">
      <c r="A223" s="1"/>
      <c r="B223" s="1" t="s">
        <v>961</v>
      </c>
      <c r="C223" s="302">
        <f>M166</f>
        <v>16</v>
      </c>
      <c r="D223" s="242">
        <f>C223/$C$238</f>
        <v>7.8343044606571019E-4</v>
      </c>
      <c r="E223" s="1"/>
      <c r="F223" s="242">
        <f>C223/C224</f>
        <v>0.64</v>
      </c>
      <c r="G223" s="242"/>
      <c r="H223" s="1"/>
      <c r="I223" s="133"/>
      <c r="J223" s="1"/>
      <c r="K223" s="1"/>
      <c r="L223" s="303" t="s">
        <v>966</v>
      </c>
      <c r="M223" s="304">
        <v>18579</v>
      </c>
      <c r="N223" s="1"/>
      <c r="O223" s="1"/>
      <c r="P223" s="1"/>
      <c r="Q223" s="1"/>
      <c r="R223" s="1"/>
      <c r="S223" s="1"/>
    </row>
    <row r="224" spans="1:19" ht="13.5" thickBot="1">
      <c r="A224" s="1"/>
      <c r="B224" s="202" t="s">
        <v>963</v>
      </c>
      <c r="C224" s="306">
        <f>SUM(C222:C223)</f>
        <v>25</v>
      </c>
      <c r="D224" s="320">
        <f>SUM(D222:D223)</f>
        <v>1.2241100719776721E-3</v>
      </c>
      <c r="E224" s="1"/>
      <c r="F224" s="317">
        <f>SUM(F222:F223)</f>
        <v>1</v>
      </c>
      <c r="G224" s="315"/>
      <c r="H224" s="1"/>
      <c r="I224" s="133"/>
      <c r="J224" s="1"/>
      <c r="K224" s="1"/>
      <c r="L224" s="303" t="s">
        <v>968</v>
      </c>
      <c r="M224" s="304">
        <v>78</v>
      </c>
      <c r="N224" s="1"/>
      <c r="O224" s="1"/>
      <c r="P224" s="1"/>
      <c r="Q224" s="1"/>
      <c r="R224" s="1"/>
      <c r="S224" s="1"/>
    </row>
    <row r="225" spans="1:19" ht="13.5" thickTop="1">
      <c r="A225" s="1"/>
      <c r="B225" s="1"/>
      <c r="C225" s="302"/>
      <c r="D225" s="1"/>
      <c r="E225" s="1"/>
      <c r="F225" s="1"/>
      <c r="G225" s="1"/>
      <c r="H225" s="1"/>
      <c r="I225" s="133"/>
      <c r="J225" s="1"/>
      <c r="K225" s="1"/>
      <c r="L225" s="303" t="s">
        <v>969</v>
      </c>
      <c r="M225" s="304">
        <v>14</v>
      </c>
      <c r="N225" s="1"/>
      <c r="O225" s="1"/>
      <c r="P225" s="1"/>
      <c r="Q225" s="1"/>
      <c r="R225" s="1"/>
      <c r="S225" s="1"/>
    </row>
    <row r="226" spans="1:19">
      <c r="A226" s="1"/>
      <c r="B226" s="1" t="s">
        <v>306</v>
      </c>
      <c r="C226" s="302">
        <f>M157</f>
        <v>3</v>
      </c>
      <c r="D226" s="242">
        <f>C226/$C$238</f>
        <v>1.4689320863732068E-4</v>
      </c>
      <c r="E226" s="1"/>
      <c r="F226" s="330">
        <f>C226/C227</f>
        <v>1</v>
      </c>
      <c r="G226" s="330"/>
      <c r="H226" s="1"/>
      <c r="I226" s="133"/>
      <c r="J226" s="1"/>
      <c r="K226" s="1"/>
      <c r="L226" s="303" t="s">
        <v>970</v>
      </c>
      <c r="M226" s="304">
        <v>3</v>
      </c>
      <c r="N226" s="1"/>
      <c r="O226" s="1"/>
      <c r="P226" s="1"/>
      <c r="Q226" s="1"/>
      <c r="R226" s="1"/>
      <c r="S226" s="1"/>
    </row>
    <row r="227" spans="1:19" ht="13.5" thickBot="1">
      <c r="A227" s="1"/>
      <c r="B227" s="202" t="s">
        <v>967</v>
      </c>
      <c r="C227" s="306">
        <f>SUM(C226)</f>
        <v>3</v>
      </c>
      <c r="D227" s="320">
        <f>SUM(D226)</f>
        <v>1.4689320863732068E-4</v>
      </c>
      <c r="E227" s="1"/>
      <c r="F227" s="317">
        <f>SUM(F226)</f>
        <v>1</v>
      </c>
      <c r="G227" s="315"/>
      <c r="H227" s="1"/>
      <c r="I227" s="133"/>
      <c r="J227" s="1"/>
      <c r="K227" s="1"/>
      <c r="L227" s="303" t="s">
        <v>972</v>
      </c>
      <c r="M227" s="304">
        <v>2</v>
      </c>
      <c r="N227" s="1"/>
      <c r="O227" s="1"/>
      <c r="P227" s="1"/>
      <c r="Q227" s="1"/>
      <c r="R227" s="1"/>
      <c r="S227" s="1"/>
    </row>
    <row r="228" spans="1:19" ht="13.5" thickTop="1">
      <c r="A228" s="1"/>
      <c r="B228" s="1"/>
      <c r="C228" s="302"/>
      <c r="D228" s="1"/>
      <c r="E228" s="1"/>
      <c r="F228" s="1"/>
      <c r="G228" s="1"/>
      <c r="H228" s="1"/>
      <c r="I228" s="133"/>
      <c r="J228" s="1"/>
      <c r="K228" s="1"/>
      <c r="L228" s="303" t="s">
        <v>973</v>
      </c>
      <c r="M228" s="304">
        <v>448</v>
      </c>
      <c r="N228" s="1"/>
      <c r="O228" s="1"/>
      <c r="P228" s="1"/>
      <c r="Q228" s="1"/>
      <c r="R228" s="1"/>
      <c r="S228" s="1"/>
    </row>
    <row r="229" spans="1:19">
      <c r="A229" s="1"/>
      <c r="B229" s="1" t="s">
        <v>306</v>
      </c>
      <c r="C229" s="302">
        <f>M158</f>
        <v>4</v>
      </c>
      <c r="D229" s="242">
        <f>C229/$C$238</f>
        <v>1.9585761151642755E-4</v>
      </c>
      <c r="E229" s="1"/>
      <c r="F229" s="330">
        <f>C229/C230</f>
        <v>1</v>
      </c>
      <c r="G229" s="330"/>
      <c r="H229" s="1"/>
      <c r="I229" s="133"/>
      <c r="J229" s="1"/>
      <c r="K229" s="1"/>
      <c r="L229" s="303" t="s">
        <v>974</v>
      </c>
      <c r="M229" s="304">
        <v>448</v>
      </c>
      <c r="N229" s="1"/>
      <c r="O229" s="1"/>
      <c r="P229" s="1"/>
      <c r="Q229" s="1"/>
      <c r="R229" s="1"/>
      <c r="S229" s="1"/>
    </row>
    <row r="230" spans="1:19" ht="13.5" thickBot="1">
      <c r="A230" s="1"/>
      <c r="B230" s="202" t="s">
        <v>971</v>
      </c>
      <c r="C230" s="306">
        <f>SUM(C229)</f>
        <v>4</v>
      </c>
      <c r="D230" s="320">
        <f>SUM(D229)</f>
        <v>1.9585761151642755E-4</v>
      </c>
      <c r="E230" s="1"/>
      <c r="F230" s="317">
        <f>SUM(F229)</f>
        <v>1</v>
      </c>
      <c r="G230" s="315"/>
      <c r="H230" s="1"/>
      <c r="I230" s="133"/>
      <c r="J230" s="1"/>
      <c r="K230" s="1"/>
      <c r="L230" s="303" t="s">
        <v>976</v>
      </c>
      <c r="M230" s="304">
        <v>3769</v>
      </c>
      <c r="N230" s="1"/>
      <c r="O230" s="1"/>
      <c r="P230" s="1"/>
      <c r="Q230" s="1"/>
      <c r="R230" s="1"/>
      <c r="S230" s="1"/>
    </row>
    <row r="231" spans="1:19" ht="13.5" thickTop="1">
      <c r="A231" s="1"/>
      <c r="B231" s="1"/>
      <c r="C231" s="302"/>
      <c r="D231" s="1"/>
      <c r="E231" s="1"/>
      <c r="F231" s="1"/>
      <c r="G231" s="1"/>
      <c r="H231" s="1"/>
      <c r="I231" s="133"/>
      <c r="J231" s="1"/>
      <c r="K231" s="1"/>
      <c r="L231" s="303" t="s">
        <v>977</v>
      </c>
      <c r="M231" s="304">
        <v>3287</v>
      </c>
      <c r="N231" s="1"/>
      <c r="O231" s="1"/>
      <c r="P231" s="1"/>
      <c r="Q231" s="1"/>
      <c r="R231" s="1"/>
      <c r="S231" s="1"/>
    </row>
    <row r="232" spans="1:19">
      <c r="A232" s="1"/>
      <c r="B232" s="1" t="s">
        <v>306</v>
      </c>
      <c r="C232" s="302">
        <f>M159</f>
        <v>3</v>
      </c>
      <c r="D232" s="242">
        <f>C232/$C$238</f>
        <v>1.4689320863732068E-4</v>
      </c>
      <c r="E232" s="1"/>
      <c r="F232" s="330">
        <f>C232/C233</f>
        <v>1</v>
      </c>
      <c r="G232" s="330"/>
      <c r="H232" s="1"/>
      <c r="I232" s="133"/>
      <c r="J232" s="1"/>
      <c r="K232" s="1"/>
      <c r="L232" s="303" t="s">
        <v>979</v>
      </c>
      <c r="M232" s="304">
        <v>143</v>
      </c>
      <c r="N232" s="1"/>
      <c r="O232" s="1"/>
      <c r="P232" s="1"/>
      <c r="Q232" s="1"/>
      <c r="R232" s="1"/>
      <c r="S232" s="1"/>
    </row>
    <row r="233" spans="1:19" ht="13.5" thickBot="1">
      <c r="A233" s="1"/>
      <c r="B233" s="202" t="s">
        <v>975</v>
      </c>
      <c r="C233" s="306">
        <f>SUM(C232)</f>
        <v>3</v>
      </c>
      <c r="D233" s="320">
        <f>SUM(D232)</f>
        <v>1.4689320863732068E-4</v>
      </c>
      <c r="E233" s="1"/>
      <c r="F233" s="317">
        <f>SUM(F232)</f>
        <v>1</v>
      </c>
      <c r="G233" s="315"/>
      <c r="H233" s="1"/>
      <c r="I233" s="133"/>
      <c r="J233" s="1"/>
      <c r="K233" s="1"/>
      <c r="L233" s="303" t="s">
        <v>980</v>
      </c>
      <c r="M233" s="304">
        <v>44</v>
      </c>
      <c r="N233" s="1"/>
      <c r="O233" s="1"/>
      <c r="P233" s="1"/>
      <c r="Q233" s="1"/>
      <c r="R233" s="1"/>
      <c r="S233" s="1"/>
    </row>
    <row r="234" spans="1:19" ht="13.5" thickTop="1">
      <c r="A234" s="1"/>
      <c r="B234" s="1"/>
      <c r="C234" s="280"/>
      <c r="D234" s="1"/>
      <c r="E234" s="1"/>
      <c r="F234" s="1"/>
      <c r="G234" s="1"/>
      <c r="H234" s="1"/>
      <c r="I234" s="133"/>
      <c r="J234" s="1"/>
      <c r="K234" s="1"/>
      <c r="L234" s="303" t="s">
        <v>982</v>
      </c>
      <c r="M234" s="304">
        <v>121</v>
      </c>
      <c r="N234" s="1"/>
      <c r="O234" s="1"/>
      <c r="P234" s="1"/>
      <c r="Q234" s="1"/>
      <c r="R234" s="1"/>
      <c r="S234" s="1"/>
    </row>
    <row r="235" spans="1:19">
      <c r="A235" s="1"/>
      <c r="B235" s="1" t="s">
        <v>306</v>
      </c>
      <c r="C235" s="302">
        <f>M160</f>
        <v>1</v>
      </c>
      <c r="D235" s="242">
        <f>C235/$C$238</f>
        <v>4.8964402879106887E-5</v>
      </c>
      <c r="E235" s="1"/>
      <c r="F235" s="330">
        <f>C235/C236</f>
        <v>1</v>
      </c>
      <c r="G235" s="1"/>
      <c r="H235" s="1"/>
      <c r="I235" s="133"/>
      <c r="J235" s="1"/>
      <c r="K235" s="1"/>
      <c r="L235" s="303" t="s">
        <v>983</v>
      </c>
      <c r="M235" s="304">
        <v>435</v>
      </c>
      <c r="N235" s="1"/>
      <c r="O235" s="1"/>
      <c r="P235" s="1"/>
      <c r="Q235" s="1"/>
      <c r="R235" s="1"/>
      <c r="S235" s="1"/>
    </row>
    <row r="236" spans="1:19" ht="13.5" thickBot="1">
      <c r="A236" s="1"/>
      <c r="B236" s="202" t="s">
        <v>1120</v>
      </c>
      <c r="C236" s="306">
        <f>SUM(C235)</f>
        <v>1</v>
      </c>
      <c r="D236" s="320">
        <f>SUM(D235)</f>
        <v>4.8964402879106887E-5</v>
      </c>
      <c r="E236" s="1"/>
      <c r="F236" s="317">
        <f>SUM(F235)</f>
        <v>1</v>
      </c>
      <c r="G236" s="1"/>
      <c r="H236" s="1"/>
      <c r="I236" s="133"/>
      <c r="J236" s="1"/>
      <c r="K236" s="1"/>
      <c r="L236" s="303" t="s">
        <v>984</v>
      </c>
      <c r="M236" s="304">
        <v>638</v>
      </c>
      <c r="N236" s="1"/>
      <c r="O236" s="1"/>
      <c r="P236" s="1"/>
      <c r="Q236" s="1"/>
      <c r="R236" s="1"/>
      <c r="S236" s="1"/>
    </row>
    <row r="237" spans="1:19" ht="13.5" thickTop="1">
      <c r="A237" s="1"/>
      <c r="B237" s="202"/>
      <c r="C237" s="351"/>
      <c r="D237" s="352"/>
      <c r="E237" s="1"/>
      <c r="F237" s="315"/>
      <c r="G237" s="1"/>
      <c r="H237" s="1"/>
      <c r="I237" s="133"/>
      <c r="J237" s="1"/>
      <c r="K237" s="1"/>
      <c r="L237" s="303" t="s">
        <v>986</v>
      </c>
      <c r="M237" s="304">
        <v>696</v>
      </c>
      <c r="N237" s="1"/>
      <c r="O237" s="1"/>
      <c r="P237" s="1"/>
      <c r="Q237" s="1"/>
      <c r="R237" s="1"/>
      <c r="S237" s="1"/>
    </row>
    <row r="238" spans="1:19" ht="13.5" thickBot="1">
      <c r="A238" s="1"/>
      <c r="B238" s="202" t="s">
        <v>978</v>
      </c>
      <c r="C238" s="329">
        <f>+C208+C215+C220+C224+C227+C230+C233+C236</f>
        <v>20423</v>
      </c>
      <c r="D238" s="308">
        <f>D208+D215+D220+D224+D227+D230+D233+D236</f>
        <v>1.0000000000000002</v>
      </c>
      <c r="E238" s="1"/>
      <c r="F238" s="1"/>
      <c r="G238" s="1"/>
      <c r="H238" s="1"/>
      <c r="I238" s="133"/>
      <c r="J238" s="1"/>
      <c r="K238" s="1"/>
      <c r="L238" s="1"/>
      <c r="M238" s="331">
        <f>SUM(M59:M237)</f>
        <v>343797</v>
      </c>
      <c r="N238" s="1"/>
      <c r="O238" s="1"/>
      <c r="P238" s="1"/>
      <c r="Q238" s="1"/>
      <c r="R238" s="1"/>
      <c r="S238" s="1"/>
    </row>
    <row r="239" spans="1:19" ht="13.5" thickTop="1">
      <c r="A239" s="1"/>
      <c r="B239" s="1"/>
      <c r="C239" s="280"/>
      <c r="D239" s="1"/>
      <c r="E239" s="1"/>
      <c r="F239" s="1"/>
      <c r="G239" s="1"/>
      <c r="H239" s="1"/>
      <c r="I239" s="133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3.5">
      <c r="A240" s="1"/>
      <c r="B240" s="301" t="s">
        <v>981</v>
      </c>
      <c r="C240" s="280"/>
      <c r="D240" s="1"/>
      <c r="E240" s="1"/>
      <c r="F240" s="1"/>
      <c r="G240" s="1"/>
      <c r="H240" s="1"/>
      <c r="I240" s="133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>
      <c r="A241" s="1"/>
      <c r="B241" s="1" t="s">
        <v>579</v>
      </c>
      <c r="C241" s="327">
        <f>M169</f>
        <v>1020</v>
      </c>
      <c r="D241" s="242">
        <f>C241/$C$248</f>
        <v>0.18246869409660108</v>
      </c>
      <c r="E241" s="1"/>
      <c r="F241" s="242">
        <f>C241/$C$244</f>
        <v>0.1825666726328978</v>
      </c>
      <c r="G241" s="242"/>
      <c r="H241" s="1"/>
      <c r="I241" s="133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>
      <c r="A242" s="1"/>
      <c r="B242" s="1" t="s">
        <v>985</v>
      </c>
      <c r="C242" s="327">
        <f>M172</f>
        <v>4563</v>
      </c>
      <c r="D242" s="242">
        <f t="shared" ref="D242:D246" si="20">C242/$C$248</f>
        <v>0.81627906976744191</v>
      </c>
      <c r="E242" s="1"/>
      <c r="F242" s="242">
        <f t="shared" ref="F242:F243" si="21">C242/$C$244</f>
        <v>0.81671737963128688</v>
      </c>
      <c r="G242" s="242"/>
      <c r="H242" s="1"/>
      <c r="I242" s="133"/>
      <c r="K242" s="1"/>
      <c r="L242" s="1"/>
      <c r="M242" s="1"/>
      <c r="N242" s="1"/>
      <c r="O242" s="1"/>
      <c r="P242" s="1"/>
      <c r="Q242" s="1"/>
      <c r="R242" s="1"/>
      <c r="S242" s="1"/>
    </row>
    <row r="243" spans="1:19">
      <c r="A243" s="1"/>
      <c r="B243" s="1" t="s">
        <v>987</v>
      </c>
      <c r="C243" s="327">
        <f>M173</f>
        <v>4</v>
      </c>
      <c r="D243" s="242">
        <f t="shared" si="20"/>
        <v>7.1556350626118066E-4</v>
      </c>
      <c r="E243" s="1"/>
      <c r="F243" s="242">
        <f t="shared" si="21"/>
        <v>7.1594773581528553E-4</v>
      </c>
      <c r="G243" s="242"/>
      <c r="H243" s="1"/>
      <c r="I243" s="133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>
      <c r="A244" s="1"/>
      <c r="B244" s="202" t="s">
        <v>988</v>
      </c>
      <c r="C244" s="328">
        <f>SUM(C241:C243)</f>
        <v>5587</v>
      </c>
      <c r="D244" s="242">
        <f t="shared" si="20"/>
        <v>0.99946332737030408</v>
      </c>
      <c r="E244" s="1"/>
      <c r="F244" s="324">
        <f>SUM(F241:F243)</f>
        <v>1</v>
      </c>
      <c r="G244" s="315"/>
      <c r="H244" s="1"/>
      <c r="I244" s="133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>
      <c r="A245" s="1"/>
      <c r="B245" s="1" t="s">
        <v>1117</v>
      </c>
      <c r="C245" s="327">
        <f>M171</f>
        <v>1</v>
      </c>
      <c r="D245" s="242">
        <f t="shared" si="20"/>
        <v>1.7889087656529517E-4</v>
      </c>
      <c r="E245" s="1"/>
      <c r="F245" s="242">
        <v>1</v>
      </c>
      <c r="G245" s="242"/>
      <c r="H245" s="1"/>
      <c r="I245" s="133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>
      <c r="A246" s="1"/>
      <c r="B246" s="1" t="s">
        <v>1118</v>
      </c>
      <c r="C246" s="332">
        <f>M170</f>
        <v>2</v>
      </c>
      <c r="D246" s="242">
        <f t="shared" si="20"/>
        <v>3.5778175313059033E-4</v>
      </c>
      <c r="E246" s="1"/>
      <c r="F246" s="242">
        <v>1</v>
      </c>
      <c r="G246" s="242"/>
      <c r="H246" s="1"/>
      <c r="I246" s="133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>
      <c r="A247" s="1"/>
      <c r="B247" s="1"/>
      <c r="C247" s="280"/>
      <c r="D247" s="1"/>
      <c r="E247" s="1"/>
      <c r="F247" s="1"/>
      <c r="G247" s="1"/>
      <c r="H247" s="1"/>
      <c r="I247" s="133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3.5" thickBot="1">
      <c r="A248" s="1"/>
      <c r="B248" s="202" t="s">
        <v>989</v>
      </c>
      <c r="C248" s="329">
        <f>C244+C245+C246</f>
        <v>5590</v>
      </c>
      <c r="D248" s="317">
        <f>SUM(D244:D246)</f>
        <v>1</v>
      </c>
      <c r="E248" s="1"/>
      <c r="F248" s="1"/>
      <c r="G248" s="1"/>
      <c r="H248" s="1"/>
      <c r="I248" s="133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3.5" thickTop="1">
      <c r="A249" s="1"/>
      <c r="B249" s="1"/>
      <c r="C249" s="280"/>
      <c r="D249" s="1"/>
      <c r="E249" s="1"/>
      <c r="F249" s="1"/>
      <c r="G249" s="1"/>
      <c r="H249" s="1"/>
      <c r="I249" s="133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3.5">
      <c r="A250" s="1"/>
      <c r="B250" s="301" t="s">
        <v>659</v>
      </c>
      <c r="C250" s="280"/>
      <c r="D250" s="1"/>
      <c r="E250" s="1"/>
      <c r="F250" s="1"/>
      <c r="G250" s="1"/>
      <c r="H250" s="1"/>
      <c r="I250" s="133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>
      <c r="A251" s="1"/>
      <c r="B251" s="1" t="s">
        <v>306</v>
      </c>
      <c r="C251" s="327">
        <f>M174</f>
        <v>221</v>
      </c>
      <c r="D251" s="242">
        <f t="shared" ref="D251:D257" si="22">C251/$C$266</f>
        <v>2.9728275490987357E-2</v>
      </c>
      <c r="E251" s="242"/>
      <c r="F251" s="242">
        <f>C251/$C$258</f>
        <v>3.0516431924882629E-2</v>
      </c>
      <c r="G251" s="242"/>
      <c r="H251" s="1"/>
      <c r="I251" s="133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>
      <c r="A252" s="1"/>
      <c r="B252" s="1" t="s">
        <v>990</v>
      </c>
      <c r="C252" s="327">
        <f t="shared" ref="C252:C257" si="23">M176</f>
        <v>4771</v>
      </c>
      <c r="D252" s="242">
        <f t="shared" si="22"/>
        <v>0.64178100618778589</v>
      </c>
      <c r="E252" s="242"/>
      <c r="F252" s="242">
        <f t="shared" ref="F252:F257" si="24">C252/$C$258</f>
        <v>0.65879591273128968</v>
      </c>
      <c r="G252" s="242"/>
      <c r="H252" s="1"/>
      <c r="I252" s="133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>
      <c r="A253" s="1"/>
      <c r="B253" s="1" t="s">
        <v>991</v>
      </c>
      <c r="C253" s="327">
        <f t="shared" si="23"/>
        <v>145</v>
      </c>
      <c r="D253" s="242">
        <f t="shared" si="22"/>
        <v>1.9504977132095775E-2</v>
      </c>
      <c r="E253" s="242"/>
      <c r="F253" s="242">
        <f t="shared" si="24"/>
        <v>2.0022093344380005E-2</v>
      </c>
      <c r="G253" s="242"/>
      <c r="H253" s="1"/>
      <c r="I253" s="133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>
      <c r="A254" s="1"/>
      <c r="B254" s="1" t="s">
        <v>992</v>
      </c>
      <c r="C254" s="327">
        <f t="shared" si="23"/>
        <v>281</v>
      </c>
      <c r="D254" s="242">
        <f t="shared" si="22"/>
        <v>3.7799300511164917E-2</v>
      </c>
      <c r="E254" s="242"/>
      <c r="F254" s="242">
        <f t="shared" si="24"/>
        <v>3.8801436067384704E-2</v>
      </c>
      <c r="G254" s="242"/>
      <c r="H254" s="1"/>
      <c r="I254" s="133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>
      <c r="A255" s="1"/>
      <c r="B255" s="1" t="s">
        <v>993</v>
      </c>
      <c r="C255" s="327">
        <f t="shared" si="23"/>
        <v>453</v>
      </c>
      <c r="D255" s="242">
        <f t="shared" si="22"/>
        <v>6.0936238902340595E-2</v>
      </c>
      <c r="E255" s="242"/>
      <c r="F255" s="242">
        <f t="shared" si="24"/>
        <v>6.2551781275890644E-2</v>
      </c>
      <c r="G255" s="242"/>
      <c r="H255" s="1"/>
      <c r="I255" s="133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>
      <c r="A256" s="1"/>
      <c r="B256" s="1" t="s">
        <v>994</v>
      </c>
      <c r="C256" s="327">
        <f t="shared" si="23"/>
        <v>1022</v>
      </c>
      <c r="D256" s="242">
        <f t="shared" si="22"/>
        <v>0.13747645951035781</v>
      </c>
      <c r="E256" s="242"/>
      <c r="F256" s="242">
        <f t="shared" si="24"/>
        <v>0.14112123722728528</v>
      </c>
      <c r="G256" s="242"/>
      <c r="H256" s="1"/>
      <c r="I256" s="133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>
      <c r="A257" s="1"/>
      <c r="B257" s="1" t="s">
        <v>995</v>
      </c>
      <c r="C257" s="327">
        <f t="shared" si="23"/>
        <v>349</v>
      </c>
      <c r="D257" s="242">
        <f t="shared" si="22"/>
        <v>4.6946462200699486E-2</v>
      </c>
      <c r="E257" s="242"/>
      <c r="F257" s="242">
        <f t="shared" si="24"/>
        <v>4.8191107428887048E-2</v>
      </c>
      <c r="G257" s="242"/>
      <c r="H257" s="1"/>
      <c r="I257" s="133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3.5" thickBot="1">
      <c r="A258" s="1"/>
      <c r="B258" s="202" t="s">
        <v>996</v>
      </c>
      <c r="C258" s="328">
        <f>SUM(C251:C257)</f>
        <v>7242</v>
      </c>
      <c r="D258" s="324">
        <f>SUM(D251:D257)</f>
        <v>0.97417271993543175</v>
      </c>
      <c r="E258" s="315"/>
      <c r="F258" s="317">
        <f>SUM(F251:F257)</f>
        <v>1</v>
      </c>
      <c r="G258" s="315"/>
      <c r="H258" s="1"/>
      <c r="I258" s="133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3.5" thickTop="1">
      <c r="A259" s="1"/>
      <c r="B259" s="202"/>
      <c r="C259" s="280"/>
      <c r="D259" s="315"/>
      <c r="E259" s="315"/>
      <c r="F259" s="315"/>
      <c r="G259" s="315"/>
      <c r="H259" s="1"/>
      <c r="I259" s="133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>
      <c r="A260" s="1"/>
      <c r="B260" s="1" t="s">
        <v>306</v>
      </c>
      <c r="C260" s="327">
        <f>M175</f>
        <v>5</v>
      </c>
      <c r="D260" s="242">
        <f>C260/$C$266</f>
        <v>6.7258541834813018E-4</v>
      </c>
      <c r="E260" s="315"/>
      <c r="F260" s="242">
        <f>C260/$C$264</f>
        <v>2.6041666666666668E-2</v>
      </c>
      <c r="G260" s="315"/>
      <c r="H260" s="1"/>
      <c r="I260" s="133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>
      <c r="A261" s="1"/>
      <c r="B261" s="1" t="s">
        <v>1116</v>
      </c>
      <c r="C261" s="327">
        <f>M184</f>
        <v>5</v>
      </c>
      <c r="D261" s="242">
        <f>C261/$C$266</f>
        <v>6.7258541834813018E-4</v>
      </c>
      <c r="E261" s="315"/>
      <c r="F261" s="242">
        <f>C261/$C$264</f>
        <v>2.6041666666666668E-2</v>
      </c>
      <c r="G261" s="315"/>
      <c r="H261" s="1"/>
      <c r="I261" s="133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>
      <c r="A262" s="1"/>
      <c r="B262" s="1" t="s">
        <v>997</v>
      </c>
      <c r="C262" s="327">
        <f>M182</f>
        <v>34</v>
      </c>
      <c r="D262" s="242">
        <f>C262/$C$266</f>
        <v>4.5735808447672855E-3</v>
      </c>
      <c r="E262" s="315"/>
      <c r="F262" s="242">
        <f>C262/$C$264</f>
        <v>0.17708333333333334</v>
      </c>
      <c r="G262" s="315"/>
      <c r="H262" s="1"/>
      <c r="I262" s="133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>
      <c r="A263" s="1"/>
      <c r="B263" s="1" t="s">
        <v>998</v>
      </c>
      <c r="C263" s="327">
        <f>M183</f>
        <v>148</v>
      </c>
      <c r="D263" s="242">
        <f>C263/$C$266</f>
        <v>1.9908528383104654E-2</v>
      </c>
      <c r="E263" s="315"/>
      <c r="F263" s="242">
        <f>C263/$C$264</f>
        <v>0.77083333333333337</v>
      </c>
      <c r="G263" s="315"/>
      <c r="H263" s="1"/>
      <c r="I263" s="133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>
      <c r="A264" s="1"/>
      <c r="B264" s="202" t="s">
        <v>999</v>
      </c>
      <c r="C264" s="328">
        <f>SUM(C260:C263)</f>
        <v>192</v>
      </c>
      <c r="D264" s="320">
        <f>SUM(D260:D263)</f>
        <v>2.5827280064568199E-2</v>
      </c>
      <c r="E264" s="1"/>
      <c r="F264" s="320">
        <f>SUM(F260:F263)</f>
        <v>1</v>
      </c>
      <c r="G264" s="1"/>
      <c r="H264" s="1"/>
      <c r="I264" s="133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>
      <c r="A265" s="1"/>
      <c r="B265" s="1"/>
      <c r="C265" s="280"/>
      <c r="D265" s="1"/>
      <c r="E265" s="1"/>
      <c r="F265" s="1"/>
      <c r="G265" s="1"/>
      <c r="H265" s="1"/>
      <c r="I265" s="133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3.5" thickBot="1">
      <c r="A266" s="1"/>
      <c r="B266" s="202" t="s">
        <v>1000</v>
      </c>
      <c r="C266" s="333">
        <f>C258+C264</f>
        <v>7434</v>
      </c>
      <c r="D266" s="317">
        <f>D258+D264</f>
        <v>1</v>
      </c>
      <c r="E266" s="1"/>
      <c r="F266" s="1"/>
      <c r="G266" s="1"/>
      <c r="H266" s="1"/>
      <c r="I266" s="133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3.5" thickTop="1">
      <c r="A267" s="1"/>
      <c r="B267" s="1"/>
      <c r="C267" s="280"/>
      <c r="D267" s="1"/>
      <c r="E267" s="1"/>
      <c r="F267" s="1"/>
      <c r="G267" s="1"/>
      <c r="H267" s="1"/>
      <c r="I267" s="133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3.5">
      <c r="A268" s="1"/>
      <c r="B268" s="301" t="s">
        <v>1001</v>
      </c>
      <c r="C268" s="280"/>
      <c r="D268" s="1"/>
      <c r="E268" s="1"/>
      <c r="F268" s="1"/>
      <c r="G268" s="1"/>
      <c r="H268" s="1"/>
      <c r="I268" s="133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>
      <c r="A269" s="1"/>
      <c r="B269" s="1" t="s">
        <v>306</v>
      </c>
      <c r="C269" s="327">
        <f>M185</f>
        <v>23</v>
      </c>
      <c r="D269" s="242">
        <f>C269/$C$277</f>
        <v>4.9462365591397849E-2</v>
      </c>
      <c r="E269" s="1"/>
      <c r="F269" s="242">
        <f>C269/C271</f>
        <v>5.6790123456790124E-2</v>
      </c>
      <c r="G269" s="242"/>
      <c r="H269" s="1"/>
      <c r="I269" s="133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>
      <c r="A270" s="1"/>
      <c r="B270" s="1" t="s">
        <v>1002</v>
      </c>
      <c r="C270" s="327">
        <f>M187</f>
        <v>382</v>
      </c>
      <c r="D270" s="242">
        <f>C270/$C$277</f>
        <v>0.82150537634408605</v>
      </c>
      <c r="E270" s="1"/>
      <c r="F270" s="242">
        <f>C270/C271</f>
        <v>0.94320987654320987</v>
      </c>
      <c r="G270" s="242"/>
      <c r="H270" s="1"/>
      <c r="I270" s="133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3.5" thickBot="1">
      <c r="A271" s="1"/>
      <c r="B271" s="202" t="s">
        <v>1003</v>
      </c>
      <c r="C271" s="328">
        <f>SUM(C269:C270)</f>
        <v>405</v>
      </c>
      <c r="D271" s="320">
        <f>SUM(D269:D270)</f>
        <v>0.87096774193548387</v>
      </c>
      <c r="E271" s="1"/>
      <c r="F271" s="317">
        <f>SUM(F269:F270)</f>
        <v>1</v>
      </c>
      <c r="G271" s="315"/>
      <c r="H271" s="1"/>
      <c r="I271" s="133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3.5" thickTop="1">
      <c r="A272" s="1"/>
      <c r="B272" s="1"/>
      <c r="C272" s="280"/>
      <c r="D272" s="1"/>
      <c r="E272" s="1"/>
      <c r="F272" s="1"/>
      <c r="G272" s="1"/>
      <c r="H272" s="1"/>
      <c r="I272" s="133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>
      <c r="A273" s="1"/>
      <c r="B273" s="1" t="s">
        <v>306</v>
      </c>
      <c r="C273" s="327">
        <f>M186</f>
        <v>1</v>
      </c>
      <c r="D273" s="242">
        <f t="shared" ref="D273:D274" si="25">C273/$C$277</f>
        <v>2.1505376344086021E-3</v>
      </c>
      <c r="E273" s="1"/>
      <c r="F273" s="242">
        <f>C273/C275</f>
        <v>1.6666666666666666E-2</v>
      </c>
      <c r="G273" s="1"/>
      <c r="H273" s="1"/>
      <c r="I273" s="133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>
      <c r="A274" s="1"/>
      <c r="B274" s="1" t="s">
        <v>1004</v>
      </c>
      <c r="C274" s="350">
        <f>M188</f>
        <v>59</v>
      </c>
      <c r="D274" s="242">
        <f t="shared" si="25"/>
        <v>0.12688172043010754</v>
      </c>
      <c r="E274" s="1"/>
      <c r="F274" s="242">
        <f>C274/C275</f>
        <v>0.98333333333333328</v>
      </c>
      <c r="G274" s="1"/>
      <c r="H274" s="1"/>
      <c r="I274" s="133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3.5" thickBot="1">
      <c r="A275" s="1"/>
      <c r="B275" s="202" t="s">
        <v>891</v>
      </c>
      <c r="C275" s="328">
        <f>SUM(C273:C274)</f>
        <v>60</v>
      </c>
      <c r="D275" s="320">
        <f>SUM(D273:D274)</f>
        <v>0.12903225806451613</v>
      </c>
      <c r="E275" s="1"/>
      <c r="F275" s="317">
        <f>SUM(F273:F274)</f>
        <v>1</v>
      </c>
      <c r="G275" s="1"/>
      <c r="H275" s="1"/>
      <c r="I275" s="133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3.5" thickTop="1">
      <c r="A276" s="1"/>
      <c r="B276" s="1"/>
      <c r="C276" s="280"/>
      <c r="D276" s="1"/>
      <c r="E276" s="1"/>
      <c r="F276" s="1"/>
      <c r="G276" s="1"/>
      <c r="H276" s="1"/>
      <c r="I276" s="133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3.5" thickBot="1">
      <c r="A277" s="1"/>
      <c r="B277" s="202" t="s">
        <v>1005</v>
      </c>
      <c r="C277" s="333">
        <f>C271+C275</f>
        <v>465</v>
      </c>
      <c r="D277" s="317">
        <f>D275+D271</f>
        <v>1</v>
      </c>
      <c r="E277" s="1"/>
      <c r="F277" s="1"/>
      <c r="G277" s="1"/>
      <c r="H277" s="1"/>
      <c r="I277" s="133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3.5" thickTop="1">
      <c r="A278" s="1"/>
      <c r="B278" s="1"/>
      <c r="C278" s="280"/>
      <c r="D278" s="1"/>
      <c r="E278" s="1"/>
      <c r="F278" s="1"/>
      <c r="G278" s="1"/>
      <c r="H278" s="1"/>
      <c r="I278" s="133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3.5">
      <c r="A279" s="1"/>
      <c r="B279" s="301" t="s">
        <v>650</v>
      </c>
      <c r="C279" s="280"/>
      <c r="D279" s="1"/>
      <c r="E279" s="1"/>
      <c r="F279" s="1"/>
      <c r="G279" s="1"/>
      <c r="H279" s="1"/>
      <c r="I279" s="133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>
      <c r="A280" s="1"/>
      <c r="B280" s="1" t="s">
        <v>306</v>
      </c>
      <c r="C280" s="302">
        <f>M189</f>
        <v>4728</v>
      </c>
      <c r="D280" s="242">
        <f>C280/$C$301</f>
        <v>0.15836012861736334</v>
      </c>
      <c r="E280" s="1"/>
      <c r="F280" s="242">
        <f>C280/$C$285</f>
        <v>0.43822411715636295</v>
      </c>
      <c r="G280" s="242"/>
      <c r="H280" s="1"/>
      <c r="I280" s="133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>
      <c r="A281" s="1"/>
      <c r="B281" s="1" t="s">
        <v>1006</v>
      </c>
      <c r="C281" s="302">
        <f>M191</f>
        <v>1195</v>
      </c>
      <c r="D281" s="242">
        <f>C281/$C$301</f>
        <v>4.0025455519828508E-2</v>
      </c>
      <c r="E281" s="1"/>
      <c r="F281" s="242">
        <f t="shared" ref="F281:F284" si="26">C281/$C$285</f>
        <v>0.11076096023727872</v>
      </c>
      <c r="G281" s="242"/>
      <c r="H281" s="1"/>
      <c r="I281" s="133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>
      <c r="A282" s="1"/>
      <c r="B282" s="1" t="s">
        <v>137</v>
      </c>
      <c r="C282" s="302">
        <f>M192</f>
        <v>2861</v>
      </c>
      <c r="D282" s="242">
        <f>C282/$C$301</f>
        <v>9.5826634512325828E-2</v>
      </c>
      <c r="E282" s="1"/>
      <c r="F282" s="242">
        <f t="shared" si="26"/>
        <v>0.2651774955973677</v>
      </c>
      <c r="G282" s="242"/>
      <c r="H282" s="1"/>
      <c r="I282" s="133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>
      <c r="A283" s="1"/>
      <c r="B283" s="1" t="s">
        <v>1007</v>
      </c>
      <c r="C283" s="302">
        <f>M195</f>
        <v>844</v>
      </c>
      <c r="D283" s="242">
        <f>C283/$C$301</f>
        <v>2.8269024651661308E-2</v>
      </c>
      <c r="E283" s="1"/>
      <c r="F283" s="242">
        <f t="shared" si="26"/>
        <v>7.8227824636203536E-2</v>
      </c>
      <c r="G283" s="242"/>
      <c r="H283" s="1"/>
      <c r="I283" s="133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>
      <c r="A284" s="1"/>
      <c r="B284" s="1" t="s">
        <v>1008</v>
      </c>
      <c r="C284" s="302">
        <f>M197</f>
        <v>1161</v>
      </c>
      <c r="D284" s="242">
        <f>C284/$C$301</f>
        <v>3.8886655948553055E-2</v>
      </c>
      <c r="E284" s="1"/>
      <c r="F284" s="242">
        <f t="shared" si="26"/>
        <v>0.10760960237278709</v>
      </c>
      <c r="G284" s="242"/>
      <c r="H284" s="1"/>
      <c r="I284" s="133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3.5" thickBot="1">
      <c r="A285" s="1"/>
      <c r="B285" s="202" t="s">
        <v>1009</v>
      </c>
      <c r="C285" s="306">
        <f>SUM(C280:C284)</f>
        <v>10789</v>
      </c>
      <c r="D285" s="320">
        <f>SUM(D280:D284)</f>
        <v>0.36136789924973206</v>
      </c>
      <c r="E285" s="1"/>
      <c r="F285" s="317">
        <f>SUM(F280:F284)</f>
        <v>1</v>
      </c>
      <c r="G285" s="315"/>
      <c r="H285" s="1"/>
      <c r="I285" s="133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3.5" thickTop="1">
      <c r="A286" s="1"/>
      <c r="B286" s="1"/>
      <c r="C286" s="325"/>
      <c r="D286" s="1"/>
      <c r="E286" s="1"/>
      <c r="F286" s="1"/>
      <c r="G286" s="1"/>
      <c r="H286" s="1"/>
      <c r="I286" s="133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>
      <c r="A287" s="1"/>
      <c r="B287" s="1" t="s">
        <v>306</v>
      </c>
      <c r="C287" s="302">
        <f>M190</f>
        <v>16815</v>
      </c>
      <c r="D287" s="242">
        <f t="shared" ref="D287:D292" si="27">C287/$C$301</f>
        <v>0.56320337620578775</v>
      </c>
      <c r="E287" s="1"/>
      <c r="F287" s="242">
        <f>C287/$C$293</f>
        <v>0.88253818296331288</v>
      </c>
      <c r="G287" s="242"/>
      <c r="H287" s="1"/>
      <c r="I287" s="133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>
      <c r="A288" s="1"/>
      <c r="B288" s="1" t="s">
        <v>1010</v>
      </c>
      <c r="C288" s="302">
        <f>M193</f>
        <v>309</v>
      </c>
      <c r="D288" s="242">
        <f t="shared" si="27"/>
        <v>1.0349678456591641E-2</v>
      </c>
      <c r="E288" s="1"/>
      <c r="F288" s="242">
        <f t="shared" ref="F288:F292" si="28">C288/$C$293</f>
        <v>1.6217918438041254E-2</v>
      </c>
      <c r="G288" s="242"/>
      <c r="H288" s="1"/>
      <c r="I288" s="133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>
      <c r="A289" s="1"/>
      <c r="B289" s="1" t="s">
        <v>1011</v>
      </c>
      <c r="C289" s="302">
        <f>M194</f>
        <v>1465</v>
      </c>
      <c r="D289" s="242">
        <f t="shared" si="27"/>
        <v>4.9068863879957125E-2</v>
      </c>
      <c r="E289" s="1"/>
      <c r="F289" s="242">
        <f t="shared" si="28"/>
        <v>7.6890778355114681E-2</v>
      </c>
      <c r="G289" s="242"/>
      <c r="H289" s="1"/>
      <c r="I289" s="133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>
      <c r="A290" s="1"/>
      <c r="B290" s="1" t="s">
        <v>1012</v>
      </c>
      <c r="C290" s="302">
        <f>M196</f>
        <v>385</v>
      </c>
      <c r="D290" s="242">
        <f t="shared" si="27"/>
        <v>1.2895230439442658E-2</v>
      </c>
      <c r="E290" s="1"/>
      <c r="F290" s="242">
        <f t="shared" si="28"/>
        <v>2.020679158137826E-2</v>
      </c>
      <c r="G290" s="242"/>
      <c r="H290" s="1"/>
      <c r="I290" s="133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>
      <c r="A291" s="1"/>
      <c r="B291" s="1" t="s">
        <v>1013</v>
      </c>
      <c r="C291" s="302">
        <f>M199</f>
        <v>26</v>
      </c>
      <c r="D291" s="242">
        <f t="shared" si="27"/>
        <v>8.7084673097534838E-4</v>
      </c>
      <c r="E291" s="1"/>
      <c r="F291" s="242">
        <f t="shared" si="28"/>
        <v>1.3646144964047657E-3</v>
      </c>
      <c r="G291" s="242"/>
      <c r="H291" s="1"/>
      <c r="I291" s="133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>
      <c r="A292" s="1"/>
      <c r="B292" s="1" t="s">
        <v>1014</v>
      </c>
      <c r="C292" s="302">
        <f>M200</f>
        <v>53</v>
      </c>
      <c r="D292" s="242">
        <f t="shared" si="27"/>
        <v>1.77518756698821E-3</v>
      </c>
      <c r="E292" s="1"/>
      <c r="F292" s="242">
        <f t="shared" si="28"/>
        <v>2.7817141657481763E-3</v>
      </c>
      <c r="G292" s="242"/>
      <c r="H292" s="1"/>
      <c r="I292" s="133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3.5" thickBot="1">
      <c r="A293" s="1"/>
      <c r="B293" s="202" t="s">
        <v>1015</v>
      </c>
      <c r="C293" s="306">
        <f>SUM(C287:C292)</f>
        <v>19053</v>
      </c>
      <c r="D293" s="320">
        <f>SUM(D287:D292)</f>
        <v>0.63816318327974275</v>
      </c>
      <c r="E293" s="1"/>
      <c r="F293" s="317">
        <f>SUM(F287:F292)</f>
        <v>1</v>
      </c>
      <c r="G293" s="315"/>
      <c r="H293" s="1"/>
      <c r="I293" s="133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3.5" thickTop="1">
      <c r="A294" s="1"/>
      <c r="B294" s="1"/>
      <c r="C294" s="302"/>
      <c r="D294" s="1"/>
      <c r="E294" s="1"/>
      <c r="F294" s="1"/>
      <c r="G294" s="1"/>
      <c r="H294" s="1"/>
      <c r="I294" s="133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>
      <c r="A295" s="1"/>
      <c r="B295" s="1" t="s">
        <v>306</v>
      </c>
      <c r="C295" s="302">
        <f>M198</f>
        <v>12</v>
      </c>
      <c r="D295" s="242">
        <f>C295/$C$301</f>
        <v>4.0192926045016077E-4</v>
      </c>
      <c r="E295" s="1"/>
      <c r="F295" s="242">
        <f>C295/$C$296</f>
        <v>1</v>
      </c>
      <c r="G295" s="1"/>
      <c r="H295" s="1"/>
      <c r="I295" s="133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3.5" thickBot="1">
      <c r="A296" s="1"/>
      <c r="B296" s="202" t="s">
        <v>1016</v>
      </c>
      <c r="C296" s="306">
        <f>SUM(C295)</f>
        <v>12</v>
      </c>
      <c r="D296" s="320">
        <f>SUM(D295)</f>
        <v>4.0192926045016077E-4</v>
      </c>
      <c r="E296" s="1"/>
      <c r="F296" s="317">
        <f>F295</f>
        <v>1</v>
      </c>
      <c r="G296" s="1"/>
      <c r="H296" s="1"/>
      <c r="I296" s="133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3.5" thickTop="1">
      <c r="A297" s="1"/>
      <c r="B297" s="202"/>
      <c r="C297" s="319"/>
      <c r="D297" s="273"/>
      <c r="E297" s="1"/>
      <c r="F297" s="1"/>
      <c r="G297" s="1"/>
      <c r="H297" s="1"/>
      <c r="I297" s="133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>
      <c r="A298" s="1"/>
      <c r="B298" s="1" t="s">
        <v>306</v>
      </c>
      <c r="C298" s="302">
        <f>M201</f>
        <v>2</v>
      </c>
      <c r="D298" s="242">
        <f>C298/$C$301</f>
        <v>6.6988210075026795E-5</v>
      </c>
      <c r="E298" s="1"/>
      <c r="F298" s="242">
        <f>C298/$C$299</f>
        <v>1</v>
      </c>
      <c r="G298" s="1"/>
      <c r="H298" s="1"/>
      <c r="I298" s="133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3.5" thickBot="1">
      <c r="A299" s="1"/>
      <c r="B299" s="202" t="s">
        <v>784</v>
      </c>
      <c r="C299" s="306">
        <f>SUM(C298)</f>
        <v>2</v>
      </c>
      <c r="D299" s="320">
        <f>SUM(D298)</f>
        <v>6.6988210075026795E-5</v>
      </c>
      <c r="E299" s="1"/>
      <c r="F299" s="317">
        <f>F298</f>
        <v>1</v>
      </c>
      <c r="G299" s="1"/>
      <c r="H299" s="1"/>
      <c r="I299" s="133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3.5" thickTop="1">
      <c r="A300" s="1"/>
      <c r="B300" s="1"/>
      <c r="C300" s="302"/>
      <c r="D300" s="1"/>
      <c r="E300" s="1"/>
      <c r="F300" s="1"/>
      <c r="G300" s="1"/>
      <c r="H300" s="1"/>
      <c r="I300" s="133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3.5" thickBot="1">
      <c r="A301" s="1"/>
      <c r="B301" s="202" t="s">
        <v>1017</v>
      </c>
      <c r="C301" s="312">
        <f>C285+C293+C296+C299</f>
        <v>29856</v>
      </c>
      <c r="D301" s="308">
        <f>D285+D293+D296+D299</f>
        <v>0.99999999999999989</v>
      </c>
      <c r="E301" s="1"/>
      <c r="F301" s="1"/>
      <c r="G301" s="1"/>
      <c r="H301" s="1"/>
      <c r="I301" s="133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3.5" thickTop="1">
      <c r="A302" s="1"/>
      <c r="B302" s="1"/>
      <c r="C302" s="280"/>
      <c r="D302" s="1"/>
      <c r="E302" s="1"/>
      <c r="F302" s="1"/>
      <c r="G302" s="1"/>
      <c r="H302" s="1"/>
      <c r="I302" s="133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3.5">
      <c r="A303" s="1"/>
      <c r="B303" s="301" t="s">
        <v>1018</v>
      </c>
      <c r="C303" s="280"/>
      <c r="D303" s="1"/>
      <c r="E303" s="1"/>
      <c r="F303" s="1"/>
      <c r="G303" s="1"/>
      <c r="H303" s="1"/>
      <c r="I303" s="133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>
      <c r="A304" s="1"/>
      <c r="B304" s="1" t="s">
        <v>1019</v>
      </c>
      <c r="C304" s="302">
        <f>M202</f>
        <v>299</v>
      </c>
      <c r="D304" s="242">
        <f>C304/$C$317</f>
        <v>2.5930101465614429E-2</v>
      </c>
      <c r="E304" s="1"/>
      <c r="F304" s="242">
        <f>C304/C306</f>
        <v>0.63481953290870485</v>
      </c>
      <c r="G304" s="242"/>
      <c r="H304" s="1"/>
      <c r="I304" s="133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>
      <c r="A305" s="1"/>
      <c r="B305" s="1" t="s">
        <v>306</v>
      </c>
      <c r="C305" s="302">
        <f>M207</f>
        <v>172</v>
      </c>
      <c r="D305" s="242">
        <f>C305/$C$317</f>
        <v>1.4916312548781546E-2</v>
      </c>
      <c r="E305" s="1"/>
      <c r="F305" s="242">
        <f>C305/C306</f>
        <v>0.36518046709129509</v>
      </c>
      <c r="G305" s="242"/>
      <c r="H305" s="1"/>
      <c r="I305" s="133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3.5" thickBot="1">
      <c r="A306" s="1"/>
      <c r="B306" s="202" t="s">
        <v>1020</v>
      </c>
      <c r="C306" s="306">
        <f>SUM(C304:C305)</f>
        <v>471</v>
      </c>
      <c r="D306" s="320">
        <f>SUM(D304:D305)</f>
        <v>4.0846414014395975E-2</v>
      </c>
      <c r="E306" s="1"/>
      <c r="F306" s="308">
        <f>SUM(F304:F305)</f>
        <v>1</v>
      </c>
      <c r="G306" s="309"/>
      <c r="H306" s="1"/>
      <c r="I306" s="133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3.5" thickTop="1">
      <c r="A307" s="1"/>
      <c r="B307" s="1"/>
      <c r="C307" s="302"/>
      <c r="D307" s="1"/>
      <c r="E307" s="1"/>
      <c r="F307" s="242"/>
      <c r="G307" s="242"/>
      <c r="H307" s="1"/>
      <c r="I307" s="133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"/>
      <c r="B308" s="1" t="s">
        <v>306</v>
      </c>
      <c r="C308" s="302">
        <f>M203</f>
        <v>260</v>
      </c>
      <c r="D308" s="242">
        <f t="shared" ref="D308:D311" si="29">C308/$C$317</f>
        <v>2.2547914317925591E-2</v>
      </c>
      <c r="E308" s="1"/>
      <c r="F308" s="242">
        <f>C308/$C$312</f>
        <v>2.3512389220473866E-2</v>
      </c>
      <c r="G308" s="242"/>
      <c r="H308" s="1"/>
      <c r="I308" s="133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>
      <c r="A309" s="1"/>
      <c r="B309" s="1" t="s">
        <v>1021</v>
      </c>
      <c r="C309" s="302">
        <f>M204</f>
        <v>2414</v>
      </c>
      <c r="D309" s="242">
        <f t="shared" si="29"/>
        <v>0.20934871216720147</v>
      </c>
      <c r="E309" s="1"/>
      <c r="F309" s="242">
        <f t="shared" ref="F309:F311" si="30">C309/$C$312</f>
        <v>0.21830349068547658</v>
      </c>
      <c r="G309" s="242"/>
      <c r="H309" s="1"/>
      <c r="I309" s="133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>
      <c r="A310" s="1"/>
      <c r="B310" s="1" t="s">
        <v>1022</v>
      </c>
      <c r="C310" s="302">
        <f>M205</f>
        <v>4</v>
      </c>
      <c r="D310" s="242">
        <f t="shared" si="29"/>
        <v>3.4689098950654759E-4</v>
      </c>
      <c r="E310" s="1"/>
      <c r="F310" s="242">
        <f t="shared" si="30"/>
        <v>3.6172906493036716E-4</v>
      </c>
      <c r="G310" s="242"/>
      <c r="H310" s="1"/>
      <c r="I310" s="133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>
      <c r="A311" s="1"/>
      <c r="B311" s="1" t="s">
        <v>1023</v>
      </c>
      <c r="C311" s="302">
        <f>M206</f>
        <v>8380</v>
      </c>
      <c r="D311" s="242">
        <f t="shared" si="29"/>
        <v>0.72673662301621711</v>
      </c>
      <c r="E311" s="1"/>
      <c r="F311" s="242">
        <f t="shared" si="30"/>
        <v>0.75782239102911919</v>
      </c>
      <c r="G311" s="242"/>
      <c r="H311" s="1"/>
      <c r="I311" s="133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3.5" thickBot="1">
      <c r="A312" s="1"/>
      <c r="B312" s="202" t="s">
        <v>1024</v>
      </c>
      <c r="C312" s="306">
        <f>SUM(C308:C311)</f>
        <v>11058</v>
      </c>
      <c r="D312" s="320">
        <f>SUM(D308:D311)</f>
        <v>0.95898014049085067</v>
      </c>
      <c r="E312" s="1"/>
      <c r="F312" s="308">
        <f>SUM(F308:F311)</f>
        <v>1</v>
      </c>
      <c r="G312" s="309"/>
      <c r="H312" s="1"/>
      <c r="I312" s="133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3.5" thickTop="1">
      <c r="A313" s="1"/>
      <c r="B313" s="202"/>
      <c r="C313" s="319"/>
      <c r="D313" s="273"/>
      <c r="E313" s="1"/>
      <c r="F313" s="309"/>
      <c r="G313" s="309"/>
      <c r="H313" s="1"/>
      <c r="I313" s="133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>
      <c r="A314" s="1"/>
      <c r="B314" s="137" t="s">
        <v>306</v>
      </c>
      <c r="C314" s="319">
        <f>M208</f>
        <v>2</v>
      </c>
      <c r="D314" s="242">
        <f>C314/$C$317</f>
        <v>1.7344549475327379E-4</v>
      </c>
      <c r="E314" s="1"/>
      <c r="F314" s="309"/>
      <c r="G314" s="309"/>
      <c r="H314" s="1"/>
      <c r="I314" s="133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"/>
      <c r="B315" s="202" t="s">
        <v>1025</v>
      </c>
      <c r="C315" s="306">
        <f>SUM(C314)</f>
        <v>2</v>
      </c>
      <c r="D315" s="320">
        <f>SUM(D314)</f>
        <v>1.7344549475327379E-4</v>
      </c>
      <c r="E315" s="1"/>
      <c r="F315" s="309"/>
      <c r="G315" s="309"/>
      <c r="H315" s="1"/>
      <c r="I315" s="133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>
      <c r="A316" s="1"/>
      <c r="B316" s="1"/>
      <c r="C316" s="302"/>
      <c r="D316" s="1"/>
      <c r="E316" s="1"/>
      <c r="F316" s="1"/>
      <c r="G316" s="1"/>
      <c r="H316" s="1"/>
      <c r="I316" s="133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3.5" thickBot="1">
      <c r="A317" s="1"/>
      <c r="B317" s="202" t="s">
        <v>1026</v>
      </c>
      <c r="C317" s="312">
        <f>C312+C306+C315</f>
        <v>11531</v>
      </c>
      <c r="D317" s="317">
        <f>D312+D306+D315</f>
        <v>0.99999999999999989</v>
      </c>
      <c r="E317" s="1"/>
      <c r="F317" s="1"/>
      <c r="G317" s="1"/>
      <c r="H317" s="1"/>
      <c r="I317" s="133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3.5" thickTop="1">
      <c r="A318" s="1"/>
      <c r="B318" s="1"/>
      <c r="C318" s="280"/>
      <c r="D318" s="1"/>
      <c r="E318" s="1"/>
      <c r="F318" s="1"/>
      <c r="G318" s="1"/>
      <c r="H318" s="1"/>
      <c r="I318" s="133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3.5">
      <c r="A319" s="1"/>
      <c r="B319" s="301" t="s">
        <v>658</v>
      </c>
      <c r="C319" s="280"/>
      <c r="D319" s="1"/>
      <c r="E319" s="1"/>
      <c r="F319" s="1"/>
      <c r="G319" s="1"/>
      <c r="H319" s="1"/>
      <c r="I319" s="133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>
      <c r="A320" s="1"/>
      <c r="B320" s="1" t="s">
        <v>306</v>
      </c>
      <c r="C320" s="302">
        <f t="shared" ref="C320:C325" si="31">M209</f>
        <v>4721</v>
      </c>
      <c r="D320" s="242">
        <f t="shared" ref="D320:D327" si="32">C320/$C$339</f>
        <v>0.27606572715045902</v>
      </c>
      <c r="E320" s="242"/>
      <c r="F320" s="242">
        <f>C320/$C$328</f>
        <v>0.27614646700982687</v>
      </c>
      <c r="G320" s="242"/>
      <c r="H320" s="1"/>
      <c r="I320" s="133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>
      <c r="A321" s="1"/>
      <c r="B321" s="1" t="s">
        <v>1027</v>
      </c>
      <c r="C321" s="302">
        <f t="shared" si="31"/>
        <v>6494</v>
      </c>
      <c r="D321" s="242">
        <f t="shared" si="32"/>
        <v>0.37974387462721476</v>
      </c>
      <c r="E321" s="242"/>
      <c r="F321" s="242">
        <f t="shared" ref="F321:F327" si="33">C321/$C$328</f>
        <v>0.37985493682732802</v>
      </c>
      <c r="G321" s="242"/>
      <c r="H321" s="1"/>
      <c r="I321" s="133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>
      <c r="A322" s="1"/>
      <c r="B322" s="1" t="s">
        <v>1028</v>
      </c>
      <c r="C322" s="302">
        <f t="shared" si="31"/>
        <v>2515</v>
      </c>
      <c r="D322" s="242">
        <f t="shared" si="32"/>
        <v>0.14706742295772177</v>
      </c>
      <c r="E322" s="242"/>
      <c r="F322" s="242">
        <f t="shared" si="33"/>
        <v>0.14711043518951802</v>
      </c>
      <c r="G322" s="242"/>
      <c r="H322" s="1"/>
      <c r="I322" s="133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>
      <c r="A323" s="1"/>
      <c r="B323" s="1" t="s">
        <v>1029</v>
      </c>
      <c r="C323" s="302">
        <f t="shared" si="31"/>
        <v>246</v>
      </c>
      <c r="D323" s="242">
        <f t="shared" si="32"/>
        <v>1.4385123676977954E-2</v>
      </c>
      <c r="E323" s="242"/>
      <c r="F323" s="242">
        <f t="shared" si="33"/>
        <v>1.4389330837622836E-2</v>
      </c>
      <c r="G323" s="242"/>
      <c r="H323" s="1"/>
      <c r="I323" s="133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>
      <c r="A324" s="1"/>
      <c r="B324" s="1" t="s">
        <v>1030</v>
      </c>
      <c r="C324" s="302">
        <f t="shared" si="31"/>
        <v>1511</v>
      </c>
      <c r="D324" s="242">
        <f t="shared" si="32"/>
        <v>8.8357405999649141E-2</v>
      </c>
      <c r="E324" s="242"/>
      <c r="F324" s="242">
        <f t="shared" si="33"/>
        <v>8.8383247543284985E-2</v>
      </c>
      <c r="G324" s="242"/>
      <c r="H324" s="1"/>
      <c r="I324" s="133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>
      <c r="A325" s="1"/>
      <c r="B325" s="1" t="s">
        <v>1031</v>
      </c>
      <c r="C325" s="302">
        <f t="shared" si="31"/>
        <v>1563</v>
      </c>
      <c r="D325" s="242">
        <f t="shared" si="32"/>
        <v>9.1398163850067243E-2</v>
      </c>
      <c r="E325" s="242"/>
      <c r="F325" s="242">
        <f t="shared" si="33"/>
        <v>9.1424894712213378E-2</v>
      </c>
      <c r="G325" s="242"/>
      <c r="H325" s="1"/>
      <c r="I325" s="133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>
      <c r="A326" s="1"/>
      <c r="B326" s="1" t="s">
        <v>1032</v>
      </c>
      <c r="C326" s="302">
        <v>0</v>
      </c>
      <c r="D326" s="242">
        <f t="shared" si="32"/>
        <v>0</v>
      </c>
      <c r="E326" s="242"/>
      <c r="F326" s="242">
        <f t="shared" si="33"/>
        <v>0</v>
      </c>
      <c r="G326" s="242"/>
      <c r="H326" s="1"/>
      <c r="I326" s="133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>
      <c r="A327" s="1"/>
      <c r="B327" s="1" t="s">
        <v>1033</v>
      </c>
      <c r="C327" s="302">
        <f>M215</f>
        <v>46</v>
      </c>
      <c r="D327" s="242">
        <f t="shared" si="32"/>
        <v>2.6899011753698616E-3</v>
      </c>
      <c r="E327" s="242"/>
      <c r="F327" s="242">
        <f t="shared" si="33"/>
        <v>2.6906878802058962E-3</v>
      </c>
      <c r="G327" s="242"/>
      <c r="H327" s="1"/>
      <c r="I327" s="133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3.5" thickBot="1">
      <c r="A328" s="1"/>
      <c r="B328" s="202" t="s">
        <v>1034</v>
      </c>
      <c r="C328" s="306">
        <f>SUM(C320:C327)</f>
        <v>17096</v>
      </c>
      <c r="D328" s="334">
        <f>SUM(D320:D327)</f>
        <v>0.99970761943745978</v>
      </c>
      <c r="E328" s="330"/>
      <c r="F328" s="308">
        <f>SUM(F320:F327)</f>
        <v>1</v>
      </c>
      <c r="G328" s="309"/>
      <c r="H328" s="1"/>
      <c r="I328" s="133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3.5" thickTop="1">
      <c r="A329" s="1"/>
      <c r="B329" s="202"/>
      <c r="C329" s="319"/>
      <c r="D329" s="309"/>
      <c r="E329" s="330"/>
      <c r="F329" s="309"/>
      <c r="G329" s="309"/>
      <c r="H329" s="1"/>
      <c r="I329" s="133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>
      <c r="A330" s="1"/>
      <c r="B330" s="1" t="s">
        <v>306</v>
      </c>
      <c r="C330" s="302">
        <f>M218</f>
        <v>1</v>
      </c>
      <c r="D330" s="242">
        <f t="shared" ref="D330" si="34">C330/$C$339</f>
        <v>5.8476112508040469E-5</v>
      </c>
      <c r="E330" s="330"/>
      <c r="F330" s="242">
        <f>C330/$C$331</f>
        <v>1</v>
      </c>
      <c r="G330" s="242"/>
      <c r="H330" s="1"/>
      <c r="I330" s="133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3.5" thickBot="1">
      <c r="A331" s="1"/>
      <c r="B331" s="202" t="s">
        <v>1035</v>
      </c>
      <c r="C331" s="306">
        <f>+C330</f>
        <v>1</v>
      </c>
      <c r="D331" s="334">
        <f>+D330</f>
        <v>5.8476112508040469E-5</v>
      </c>
      <c r="E331" s="330"/>
      <c r="F331" s="308">
        <f>+F330</f>
        <v>1</v>
      </c>
      <c r="G331" s="309"/>
      <c r="H331" s="1"/>
      <c r="I331" s="133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3.5" thickTop="1">
      <c r="A332" s="1"/>
      <c r="B332" s="202"/>
      <c r="C332" s="319"/>
      <c r="D332" s="309"/>
      <c r="E332" s="330"/>
      <c r="F332" s="309"/>
      <c r="G332" s="309"/>
      <c r="H332" s="1"/>
      <c r="I332" s="133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>
      <c r="A333" s="1"/>
      <c r="B333" s="1" t="s">
        <v>306</v>
      </c>
      <c r="C333" s="302">
        <f>M216</f>
        <v>3</v>
      </c>
      <c r="D333" s="242">
        <f t="shared" ref="D333" si="35">C333/$C$339</f>
        <v>1.7542833752412141E-4</v>
      </c>
      <c r="E333" s="330"/>
      <c r="F333" s="242">
        <f>C333/$C$334</f>
        <v>1</v>
      </c>
      <c r="G333" s="242"/>
      <c r="H333" s="1"/>
      <c r="I333" s="133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3.5" thickBot="1">
      <c r="A334" s="1"/>
      <c r="B334" s="202" t="s">
        <v>1036</v>
      </c>
      <c r="C334" s="306">
        <f>+C333</f>
        <v>3</v>
      </c>
      <c r="D334" s="334">
        <f>+D333</f>
        <v>1.7542833752412141E-4</v>
      </c>
      <c r="E334" s="330"/>
      <c r="F334" s="308">
        <f>+F333</f>
        <v>1</v>
      </c>
      <c r="G334" s="309"/>
      <c r="H334" s="1"/>
      <c r="I334" s="133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3.5" thickTop="1">
      <c r="A335" s="1"/>
      <c r="B335" s="202"/>
      <c r="C335" s="319"/>
      <c r="D335" s="309"/>
      <c r="E335" s="330"/>
      <c r="F335" s="309"/>
      <c r="G335" s="309"/>
      <c r="H335" s="1"/>
      <c r="I335" s="133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>
      <c r="A336" s="1"/>
      <c r="B336" s="1" t="s">
        <v>306</v>
      </c>
      <c r="C336" s="302">
        <f>M217</f>
        <v>1</v>
      </c>
      <c r="D336" s="242">
        <f t="shared" ref="D336" si="36">C336/$C$339</f>
        <v>5.8476112508040469E-5</v>
      </c>
      <c r="E336" s="330"/>
      <c r="F336" s="242">
        <f>C336/$C$337</f>
        <v>1</v>
      </c>
      <c r="G336" s="309"/>
      <c r="H336" s="1"/>
      <c r="I336" s="133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3.5" thickBot="1">
      <c r="A337" s="1"/>
      <c r="B337" s="202" t="s">
        <v>1115</v>
      </c>
      <c r="C337" s="306">
        <f>+C336</f>
        <v>1</v>
      </c>
      <c r="D337" s="334">
        <f>+D336</f>
        <v>5.8476112508040469E-5</v>
      </c>
      <c r="E337" s="330"/>
      <c r="F337" s="308">
        <f>+F336</f>
        <v>1</v>
      </c>
      <c r="G337" s="309"/>
      <c r="H337" s="1"/>
      <c r="I337" s="133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3.5" thickTop="1">
      <c r="A338" s="1"/>
      <c r="B338" s="1"/>
      <c r="C338" s="302"/>
      <c r="D338" s="1"/>
      <c r="E338" s="1"/>
      <c r="F338" s="1"/>
      <c r="G338" s="1"/>
      <c r="H338" s="1"/>
      <c r="I338" s="133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3.5" thickBot="1">
      <c r="A339" s="1"/>
      <c r="B339" s="202" t="s">
        <v>1037</v>
      </c>
      <c r="C339" s="312">
        <f>+C334+C331+C328+C337</f>
        <v>17101</v>
      </c>
      <c r="D339" s="308">
        <f>+D328+D331+D334+D337</f>
        <v>1</v>
      </c>
      <c r="E339" s="1"/>
      <c r="F339" s="1"/>
      <c r="G339" s="1"/>
      <c r="H339" s="1"/>
      <c r="I339" s="133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3.5" thickTop="1">
      <c r="A340" s="1"/>
      <c r="B340" s="1"/>
      <c r="C340" s="280"/>
      <c r="D340" s="1"/>
      <c r="E340" s="1"/>
      <c r="F340" s="1"/>
      <c r="G340" s="1"/>
      <c r="H340" s="1"/>
      <c r="I340" s="133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3.5">
      <c r="A341" s="1"/>
      <c r="B341" s="301" t="s">
        <v>651</v>
      </c>
      <c r="C341" s="280"/>
      <c r="D341" s="1"/>
      <c r="E341" s="1"/>
      <c r="F341" s="1"/>
      <c r="G341" s="1"/>
      <c r="H341" s="1"/>
      <c r="I341" s="133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>
      <c r="A342" s="1"/>
      <c r="B342" s="1" t="s">
        <v>306</v>
      </c>
      <c r="C342" s="302">
        <f>M220</f>
        <v>11012</v>
      </c>
      <c r="D342" s="242">
        <f>C342/$C$362</f>
        <v>0.27721276809988926</v>
      </c>
      <c r="E342" s="1"/>
      <c r="F342" s="242">
        <f>C342/$C$346</f>
        <v>0.532417927766765</v>
      </c>
      <c r="G342" s="242"/>
      <c r="H342" s="1"/>
      <c r="I342" s="133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>
      <c r="A343" s="1"/>
      <c r="B343" s="1" t="s">
        <v>1038</v>
      </c>
      <c r="C343" s="302">
        <f>M222</f>
        <v>9579</v>
      </c>
      <c r="D343" s="242">
        <f t="shared" ref="D343:D345" si="37">C343/$C$362</f>
        <v>0.24113885812103514</v>
      </c>
      <c r="E343" s="1"/>
      <c r="F343" s="242">
        <f t="shared" ref="F343:F345" si="38">C343/$C$346</f>
        <v>0.46313397476188173</v>
      </c>
      <c r="G343" s="242"/>
      <c r="H343" s="1"/>
      <c r="I343" s="133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>
      <c r="A344" s="1"/>
      <c r="B344" s="1" t="s">
        <v>1039</v>
      </c>
      <c r="C344" s="302">
        <f>M224</f>
        <v>78</v>
      </c>
      <c r="D344" s="242">
        <f t="shared" si="37"/>
        <v>1.9635484845433493E-3</v>
      </c>
      <c r="E344" s="1"/>
      <c r="F344" s="242">
        <f t="shared" si="38"/>
        <v>3.771213073538655E-3</v>
      </c>
      <c r="G344" s="242"/>
      <c r="H344" s="1"/>
      <c r="I344" s="133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>
      <c r="A345" s="1"/>
      <c r="B345" s="1" t="s">
        <v>1040</v>
      </c>
      <c r="C345" s="302">
        <f>M225</f>
        <v>14</v>
      </c>
      <c r="D345" s="242">
        <f t="shared" si="37"/>
        <v>3.5243177927701136E-4</v>
      </c>
      <c r="E345" s="1"/>
      <c r="F345" s="242">
        <f t="shared" si="38"/>
        <v>6.7688439781463041E-4</v>
      </c>
      <c r="G345" s="242"/>
      <c r="H345" s="1"/>
      <c r="I345" s="133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3.5" thickBot="1">
      <c r="A346" s="1"/>
      <c r="B346" s="202" t="s">
        <v>1041</v>
      </c>
      <c r="C346" s="306">
        <f>SUM(C342:C345)</f>
        <v>20683</v>
      </c>
      <c r="D346" s="320">
        <f>SUM(D342:D345)</f>
        <v>0.52066760648474486</v>
      </c>
      <c r="E346" s="1"/>
      <c r="F346" s="317">
        <f>SUM(F342:F345)</f>
        <v>1</v>
      </c>
      <c r="G346" s="315"/>
      <c r="H346" s="1"/>
      <c r="I346" s="133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3.5" thickTop="1">
      <c r="A347" s="1"/>
      <c r="B347" s="1"/>
      <c r="C347" s="302"/>
      <c r="D347" s="1"/>
      <c r="E347" s="1"/>
      <c r="F347" s="1"/>
      <c r="G347" s="1"/>
      <c r="H347" s="1"/>
      <c r="I347" s="133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>
      <c r="A348" s="1"/>
      <c r="B348" s="1" t="s">
        <v>1042</v>
      </c>
      <c r="C348" s="302">
        <f>M219</f>
        <v>8</v>
      </c>
      <c r="D348" s="242">
        <f t="shared" ref="D348:D349" si="39">C348/$C$362</f>
        <v>2.013895881582922E-4</v>
      </c>
      <c r="E348" s="1"/>
      <c r="F348" s="330">
        <f>C348/$C$350</f>
        <v>4.3040834992198848E-4</v>
      </c>
      <c r="G348" s="330"/>
      <c r="H348" s="1"/>
      <c r="I348" s="133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>
      <c r="A349" s="1"/>
      <c r="B349" s="1" t="s">
        <v>306</v>
      </c>
      <c r="C349" s="302">
        <f>M223</f>
        <v>18579</v>
      </c>
      <c r="D349" s="242">
        <f t="shared" si="39"/>
        <v>0.46770214479911387</v>
      </c>
      <c r="E349" s="1"/>
      <c r="F349" s="330">
        <f>C349/$C$350</f>
        <v>0.99956959165007797</v>
      </c>
      <c r="G349" s="330"/>
      <c r="H349" s="1"/>
      <c r="I349" s="133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3.5" thickBot="1">
      <c r="A350" s="1"/>
      <c r="B350" s="202" t="s">
        <v>1043</v>
      </c>
      <c r="C350" s="306">
        <f>SUM(C348:C349)</f>
        <v>18587</v>
      </c>
      <c r="D350" s="320">
        <f>SUM(D348:D349)</f>
        <v>0.46790353438727217</v>
      </c>
      <c r="E350" s="1"/>
      <c r="F350" s="317">
        <f>SUM(F348:F349)</f>
        <v>1</v>
      </c>
      <c r="G350" s="315"/>
      <c r="H350" s="1"/>
      <c r="I350" s="133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3.5" thickTop="1">
      <c r="A351" s="1"/>
      <c r="B351" s="1"/>
      <c r="C351" s="302"/>
      <c r="D351" s="1"/>
      <c r="E351" s="1"/>
      <c r="F351" s="1"/>
      <c r="G351" s="1"/>
      <c r="H351" s="1"/>
      <c r="I351" s="133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>
      <c r="A352" s="1"/>
      <c r="B352" s="1" t="s">
        <v>306</v>
      </c>
      <c r="C352" s="302">
        <f>M226</f>
        <v>3</v>
      </c>
      <c r="D352" s="242">
        <f t="shared" ref="D352" si="40">C352/$C$362</f>
        <v>7.5521095559359576E-5</v>
      </c>
      <c r="E352" s="1"/>
      <c r="F352" s="330">
        <f>C352/C353</f>
        <v>1</v>
      </c>
      <c r="G352" s="330"/>
      <c r="H352" s="1"/>
      <c r="I352" s="133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3.5" thickBot="1">
      <c r="A353" s="1"/>
      <c r="B353" s="202" t="s">
        <v>1044</v>
      </c>
      <c r="C353" s="306">
        <f>SUM(C352)</f>
        <v>3</v>
      </c>
      <c r="D353" s="320">
        <f>SUM(D352)</f>
        <v>7.5521095559359576E-5</v>
      </c>
      <c r="E353" s="1"/>
      <c r="F353" s="317">
        <f>SUM(F352)</f>
        <v>1</v>
      </c>
      <c r="G353" s="315"/>
      <c r="H353" s="1"/>
      <c r="I353" s="133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3.5" thickTop="1">
      <c r="A354" s="1"/>
      <c r="B354" s="202"/>
      <c r="C354" s="319"/>
      <c r="D354" s="273"/>
      <c r="E354" s="1"/>
      <c r="F354" s="315"/>
      <c r="G354" s="315"/>
      <c r="H354" s="1"/>
      <c r="I354" s="133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>
      <c r="A355" s="1"/>
      <c r="B355" s="1" t="s">
        <v>306</v>
      </c>
      <c r="C355" s="302">
        <f>M221</f>
        <v>1</v>
      </c>
      <c r="D355" s="242">
        <f t="shared" ref="D355" si="41">C355/$C$362</f>
        <v>2.5173698519786525E-5</v>
      </c>
      <c r="E355" s="1"/>
      <c r="F355" s="330">
        <f>C355/C356</f>
        <v>1</v>
      </c>
      <c r="G355" s="330"/>
      <c r="H355" s="1"/>
      <c r="I355" s="133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3.5" thickBot="1">
      <c r="A356" s="1"/>
      <c r="B356" s="202" t="s">
        <v>1045</v>
      </c>
      <c r="C356" s="306">
        <f>SUM(C355)</f>
        <v>1</v>
      </c>
      <c r="D356" s="320">
        <f>SUM(D355)</f>
        <v>2.5173698519786525E-5</v>
      </c>
      <c r="E356" s="1"/>
      <c r="F356" s="317">
        <f>SUM(F355)</f>
        <v>1</v>
      </c>
      <c r="G356" s="315"/>
      <c r="H356" s="1"/>
      <c r="I356" s="133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3.5" thickTop="1">
      <c r="A357" s="1"/>
      <c r="B357" s="1"/>
      <c r="C357" s="302"/>
      <c r="D357" s="1"/>
      <c r="E357" s="1"/>
      <c r="F357" s="1"/>
      <c r="G357" s="1"/>
      <c r="H357" s="1"/>
      <c r="I357" s="133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>
      <c r="A358" s="1"/>
      <c r="B358" s="1" t="s">
        <v>306</v>
      </c>
      <c r="C358" s="302">
        <f>M227</f>
        <v>2</v>
      </c>
      <c r="D358" s="242">
        <f t="shared" ref="D358:D359" si="42">C358/$C$362</f>
        <v>5.0347397039573051E-5</v>
      </c>
      <c r="E358" s="1"/>
      <c r="F358" s="1"/>
      <c r="G358" s="1"/>
      <c r="H358" s="1"/>
      <c r="I358" s="133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>
      <c r="A359" s="1"/>
      <c r="B359" s="1" t="s">
        <v>1046</v>
      </c>
      <c r="C359" s="302">
        <f>M228</f>
        <v>448</v>
      </c>
      <c r="D359" s="242">
        <f t="shared" si="42"/>
        <v>1.1277816936864363E-2</v>
      </c>
      <c r="E359" s="1"/>
      <c r="F359" s="1"/>
      <c r="G359" s="1"/>
      <c r="H359" s="1"/>
      <c r="I359" s="133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>
      <c r="A360" s="1"/>
      <c r="B360" s="202" t="s">
        <v>895</v>
      </c>
      <c r="C360" s="306">
        <f>SUM(C358:C359)</f>
        <v>450</v>
      </c>
      <c r="D360" s="320">
        <f>SUM(D358:D359)</f>
        <v>1.1328164333903936E-2</v>
      </c>
      <c r="E360" s="1"/>
      <c r="F360" s="1"/>
      <c r="G360" s="1"/>
      <c r="H360" s="1"/>
      <c r="I360" s="133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>
      <c r="A361" s="1"/>
      <c r="B361" s="1"/>
      <c r="C361" s="302"/>
      <c r="D361" s="1"/>
      <c r="E361" s="1"/>
      <c r="F361" s="1"/>
      <c r="G361" s="1"/>
      <c r="H361" s="1"/>
      <c r="I361" s="133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3.5" thickBot="1">
      <c r="A362" s="1"/>
      <c r="B362" s="202" t="s">
        <v>1047</v>
      </c>
      <c r="C362" s="312">
        <f>C346+C350+C353+C356+C360</f>
        <v>39724</v>
      </c>
      <c r="D362" s="308">
        <f>D346+D350+D353+D360+D356</f>
        <v>1</v>
      </c>
      <c r="E362" s="1"/>
      <c r="F362" s="1"/>
      <c r="G362" s="1"/>
      <c r="H362" s="1"/>
      <c r="I362" s="133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3.5" thickTop="1">
      <c r="A363" s="1"/>
      <c r="B363" s="1"/>
      <c r="C363" s="280"/>
      <c r="D363" s="1"/>
      <c r="E363" s="1"/>
      <c r="F363" s="1"/>
      <c r="G363" s="1"/>
      <c r="H363" s="1"/>
      <c r="I363" s="133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3.5">
      <c r="A364" s="1"/>
      <c r="B364" s="301" t="s">
        <v>656</v>
      </c>
      <c r="C364" s="280"/>
      <c r="D364" s="1"/>
      <c r="E364" s="1"/>
      <c r="F364" s="1"/>
      <c r="G364" s="1"/>
      <c r="H364" s="1"/>
      <c r="I364" s="133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>
      <c r="A365" s="1"/>
      <c r="B365" s="1" t="s">
        <v>306</v>
      </c>
      <c r="C365" s="302">
        <f>M229</f>
        <v>448</v>
      </c>
      <c r="D365" s="242">
        <f>C365/$C$382</f>
        <v>4.6759210938315414E-2</v>
      </c>
      <c r="E365" s="1"/>
      <c r="F365" s="242">
        <f>C365/$C$369</f>
        <v>0.50736126840317097</v>
      </c>
      <c r="G365" s="242"/>
      <c r="H365" s="1"/>
      <c r="I365" s="133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>
      <c r="A366" s="1"/>
      <c r="B366" s="1" t="s">
        <v>1048</v>
      </c>
      <c r="C366" s="302">
        <f>M235</f>
        <v>435</v>
      </c>
      <c r="D366" s="242">
        <f>C366/$C$382</f>
        <v>4.5402358835194653E-2</v>
      </c>
      <c r="E366" s="1"/>
      <c r="F366" s="242">
        <f>C366/$C$369</f>
        <v>0.49263873159682897</v>
      </c>
      <c r="G366" s="242"/>
      <c r="H366" s="1"/>
      <c r="I366" s="133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>
      <c r="A367" s="1"/>
      <c r="B367" s="202" t="s">
        <v>1049</v>
      </c>
      <c r="C367" s="306">
        <f>SUM(C365:C366)</f>
        <v>883</v>
      </c>
      <c r="D367" s="320">
        <f>SUM(D365:D366)</f>
        <v>9.216156977351006E-2</v>
      </c>
      <c r="E367" s="1"/>
      <c r="F367" s="320">
        <f>SUM(F365:F366)</f>
        <v>1</v>
      </c>
      <c r="G367" s="273"/>
      <c r="H367" s="1"/>
      <c r="I367" s="133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>
      <c r="A368" s="1"/>
      <c r="B368" s="1" t="s">
        <v>1050</v>
      </c>
      <c r="C368" s="335">
        <v>0</v>
      </c>
      <c r="D368" s="1"/>
      <c r="E368" s="1"/>
      <c r="F368" s="242">
        <f>C368/$C$369</f>
        <v>0</v>
      </c>
      <c r="G368" s="242"/>
      <c r="H368" s="1"/>
      <c r="I368" s="133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3.5" thickBot="1">
      <c r="A369" s="1"/>
      <c r="B369" s="202" t="s">
        <v>1051</v>
      </c>
      <c r="C369" s="306">
        <f>SUM(C367:C368)</f>
        <v>883</v>
      </c>
      <c r="D369" s="1"/>
      <c r="E369" s="1"/>
      <c r="F369" s="317">
        <f>SUM(F367:F368)</f>
        <v>1</v>
      </c>
      <c r="G369" s="315"/>
      <c r="H369" s="1"/>
      <c r="I369" s="133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3.5" thickTop="1">
      <c r="A370" s="1"/>
      <c r="B370" s="1"/>
      <c r="C370" s="302"/>
      <c r="D370" s="1"/>
      <c r="E370" s="1"/>
      <c r="F370" s="1"/>
      <c r="G370" s="1"/>
      <c r="H370" s="1"/>
      <c r="I370" s="133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>
      <c r="A371" s="1"/>
      <c r="B371" s="137" t="s">
        <v>306</v>
      </c>
      <c r="C371" s="302">
        <f>M230</f>
        <v>3769</v>
      </c>
      <c r="D371" s="242">
        <f t="shared" ref="D371:D375" si="43">C371/$C$382</f>
        <v>0.39338273666631873</v>
      </c>
      <c r="E371" s="1"/>
      <c r="F371" s="242">
        <f>C371/$C$376</f>
        <v>0.79936373276776251</v>
      </c>
      <c r="G371" s="242"/>
      <c r="H371" s="1"/>
      <c r="I371" s="133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>
      <c r="A372" s="1"/>
      <c r="B372" s="1" t="s">
        <v>1052</v>
      </c>
      <c r="C372" s="302">
        <f>M232</f>
        <v>143</v>
      </c>
      <c r="D372" s="242">
        <f t="shared" si="43"/>
        <v>1.4925373134328358E-2</v>
      </c>
      <c r="E372" s="1"/>
      <c r="F372" s="242">
        <f t="shared" ref="F372:F375" si="44">C372/$C$376</f>
        <v>3.0328738069989397E-2</v>
      </c>
      <c r="G372" s="242"/>
      <c r="H372" s="1"/>
      <c r="I372" s="133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>
      <c r="A373" s="1"/>
      <c r="B373" s="1" t="s">
        <v>1053</v>
      </c>
      <c r="C373" s="302">
        <f>M233</f>
        <v>44</v>
      </c>
      <c r="D373" s="242">
        <f t="shared" si="43"/>
        <v>4.5924225028702642E-3</v>
      </c>
      <c r="E373" s="1"/>
      <c r="F373" s="242">
        <f t="shared" si="44"/>
        <v>9.3319194061505829E-3</v>
      </c>
      <c r="G373" s="242"/>
      <c r="H373" s="1"/>
      <c r="I373" s="133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>
      <c r="A374" s="1"/>
      <c r="B374" s="1" t="s">
        <v>1054</v>
      </c>
      <c r="C374" s="302">
        <f>M234</f>
        <v>121</v>
      </c>
      <c r="D374" s="242">
        <f t="shared" si="43"/>
        <v>1.2629161882893225E-2</v>
      </c>
      <c r="E374" s="1"/>
      <c r="F374" s="242">
        <f t="shared" si="44"/>
        <v>2.5662778366914104E-2</v>
      </c>
      <c r="G374" s="242"/>
      <c r="H374" s="1"/>
      <c r="I374" s="133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>
      <c r="A375" s="1"/>
      <c r="B375" s="1" t="s">
        <v>1055</v>
      </c>
      <c r="C375" s="302">
        <f>M236</f>
        <v>638</v>
      </c>
      <c r="D375" s="242">
        <f t="shared" si="43"/>
        <v>6.6590126291618826E-2</v>
      </c>
      <c r="E375" s="1"/>
      <c r="F375" s="242">
        <f t="shared" si="44"/>
        <v>0.13531283138918346</v>
      </c>
      <c r="G375" s="242"/>
      <c r="H375" s="1"/>
      <c r="I375" s="133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3.5" thickBot="1">
      <c r="A376" s="1"/>
      <c r="B376" s="202" t="s">
        <v>1056</v>
      </c>
      <c r="C376" s="306">
        <f>SUM(C371:C375)</f>
        <v>4715</v>
      </c>
      <c r="D376" s="320">
        <f>SUM(D371:D375)</f>
        <v>0.49211982047802938</v>
      </c>
      <c r="E376" s="1"/>
      <c r="F376" s="317">
        <f>SUM(F371:F375)</f>
        <v>1</v>
      </c>
      <c r="G376" s="315"/>
      <c r="H376" s="1"/>
      <c r="I376" s="133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3.5" thickTop="1">
      <c r="A377" s="1"/>
      <c r="B377" s="1"/>
      <c r="C377" s="302"/>
      <c r="D377" s="1"/>
      <c r="E377" s="1"/>
      <c r="F377" s="1"/>
      <c r="G377" s="1"/>
      <c r="H377" s="1"/>
      <c r="I377" s="133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>
      <c r="A378" s="1"/>
      <c r="B378" s="1" t="s">
        <v>306</v>
      </c>
      <c r="C378" s="302">
        <f>M231</f>
        <v>3287</v>
      </c>
      <c r="D378" s="242">
        <f t="shared" ref="D378:D379" si="45">C378/$C$382</f>
        <v>0.34307483561214902</v>
      </c>
      <c r="E378" s="1"/>
      <c r="F378" s="242">
        <f>C378/C380</f>
        <v>0.82525734371077075</v>
      </c>
      <c r="G378" s="242"/>
      <c r="H378" s="1"/>
      <c r="I378" s="133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>
      <c r="A379" s="1"/>
      <c r="B379" s="1" t="s">
        <v>1057</v>
      </c>
      <c r="C379" s="302">
        <f>M237</f>
        <v>696</v>
      </c>
      <c r="D379" s="242">
        <f t="shared" si="45"/>
        <v>7.2643774136311456E-2</v>
      </c>
      <c r="E379" s="1"/>
      <c r="F379" s="242">
        <f>C379/C380</f>
        <v>0.17474265628922922</v>
      </c>
      <c r="G379" s="242"/>
      <c r="H379" s="1"/>
      <c r="I379" s="133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3.5" thickBot="1">
      <c r="A380" s="1"/>
      <c r="B380" s="202" t="s">
        <v>1058</v>
      </c>
      <c r="C380" s="306">
        <f>SUM(C378:C379)</f>
        <v>3983</v>
      </c>
      <c r="D380" s="320">
        <f>SUM(D378:D379)</f>
        <v>0.41571860974846048</v>
      </c>
      <c r="E380" s="1"/>
      <c r="F380" s="308">
        <f>SUM(F378:F379)</f>
        <v>1</v>
      </c>
      <c r="G380" s="309"/>
      <c r="H380" s="1"/>
      <c r="I380" s="133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3.5" thickTop="1">
      <c r="A381" s="1"/>
      <c r="B381" s="1"/>
      <c r="C381" s="302"/>
      <c r="D381" s="1"/>
      <c r="E381" s="1"/>
      <c r="F381" s="1"/>
      <c r="G381" s="1"/>
      <c r="H381" s="1"/>
      <c r="I381" s="133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3.5" thickBot="1">
      <c r="A382" s="1"/>
      <c r="B382" s="202" t="s">
        <v>1059</v>
      </c>
      <c r="C382" s="312">
        <f>C369+C376+C380</f>
        <v>9581</v>
      </c>
      <c r="D382" s="308">
        <f>D380+D376+D367</f>
        <v>1</v>
      </c>
      <c r="E382" s="1"/>
      <c r="F382" s="1"/>
      <c r="G382" s="1"/>
      <c r="H382" s="1"/>
      <c r="I382" s="133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3.5" thickTop="1">
      <c r="A383" s="1"/>
      <c r="B383" s="1"/>
      <c r="C383" s="280"/>
      <c r="D383" s="1"/>
      <c r="E383" s="1"/>
      <c r="F383" s="1"/>
      <c r="G383" s="1"/>
      <c r="H383" s="1"/>
      <c r="I383" s="133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>
      <c r="A384" s="1"/>
      <c r="B384" s="1"/>
      <c r="C384" s="280"/>
      <c r="D384" s="1"/>
      <c r="E384" s="1"/>
      <c r="F384" s="1"/>
      <c r="G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>
      <c r="A385" s="1"/>
      <c r="B385" s="1"/>
      <c r="C385" s="280"/>
      <c r="D385" s="1"/>
      <c r="E385" s="1"/>
      <c r="F385" s="1"/>
      <c r="G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>
      <c r="C386" s="280"/>
    </row>
    <row r="387" spans="1:19">
      <c r="C387" s="280"/>
    </row>
    <row r="388" spans="1:19">
      <c r="C388" s="348">
        <f>C386-C387</f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M804"/>
  <sheetViews>
    <sheetView showGridLines="0" workbookViewId="0">
      <selection activeCell="C11" sqref="C11"/>
    </sheetView>
  </sheetViews>
  <sheetFormatPr defaultColWidth="9.140625" defaultRowHeight="15.75"/>
  <cols>
    <col min="1" max="1" width="19.28515625" style="3" customWidth="1"/>
    <col min="2" max="2" width="22.140625" style="5" customWidth="1"/>
    <col min="3" max="3" width="41.140625" style="3" customWidth="1"/>
    <col min="4" max="4" width="16.28515625" style="277" customWidth="1"/>
    <col min="5" max="5" width="15.140625" style="3" customWidth="1"/>
    <col min="6" max="6" width="20.7109375" style="3" customWidth="1"/>
    <col min="7" max="7" width="17" style="3" customWidth="1"/>
    <col min="8" max="16384" width="9.140625" style="3"/>
  </cols>
  <sheetData>
    <row r="1" spans="1:9" ht="18.75">
      <c r="A1" s="53" t="s">
        <v>1170</v>
      </c>
      <c r="B1" s="53"/>
      <c r="C1" s="53"/>
      <c r="D1" s="381"/>
    </row>
    <row r="2" spans="1:9" ht="18.75">
      <c r="A2" s="53" t="s">
        <v>1202</v>
      </c>
      <c r="B2" s="53"/>
      <c r="C2" s="53"/>
      <c r="D2" s="381"/>
    </row>
    <row r="3" spans="1:9">
      <c r="A3" s="11"/>
      <c r="C3" s="11"/>
      <c r="D3" s="381"/>
    </row>
    <row r="4" spans="1:9">
      <c r="D4" s="382" t="s">
        <v>1060</v>
      </c>
    </row>
    <row r="5" spans="1:9">
      <c r="A5" s="3" t="s">
        <v>313</v>
      </c>
      <c r="B5" s="5" t="s">
        <v>381</v>
      </c>
      <c r="C5" s="3" t="s">
        <v>311</v>
      </c>
      <c r="D5" s="278">
        <f>'101 &amp; 106 By County'!H8</f>
        <v>2045559.74</v>
      </c>
    </row>
    <row r="6" spans="1:9">
      <c r="A6" s="3" t="s">
        <v>313</v>
      </c>
      <c r="B6" s="5" t="s">
        <v>384</v>
      </c>
      <c r="C6" s="3" t="s">
        <v>314</v>
      </c>
      <c r="D6" s="278">
        <f>'101 &amp; 106 By County'!H9</f>
        <v>15819.69</v>
      </c>
      <c r="G6" s="438" t="s">
        <v>1171</v>
      </c>
    </row>
    <row r="7" spans="1:9">
      <c r="A7" s="3" t="s">
        <v>313</v>
      </c>
      <c r="B7" s="5" t="s">
        <v>385</v>
      </c>
      <c r="C7" s="3" t="s">
        <v>316</v>
      </c>
      <c r="D7" s="278">
        <f>33342+2</f>
        <v>33344</v>
      </c>
    </row>
    <row r="8" spans="1:9">
      <c r="A8" s="3" t="s">
        <v>313</v>
      </c>
      <c r="B8" s="5">
        <v>38100</v>
      </c>
      <c r="C8" s="3" t="s">
        <v>216</v>
      </c>
      <c r="D8" s="278">
        <f>'101 &amp; 106 By County'!H11</f>
        <v>4269.8819841359864</v>
      </c>
    </row>
    <row r="9" spans="1:9">
      <c r="A9" s="3" t="s">
        <v>313</v>
      </c>
      <c r="B9" s="5">
        <v>38200</v>
      </c>
      <c r="C9" s="3" t="s">
        <v>217</v>
      </c>
      <c r="D9" s="278">
        <f>'101 &amp; 106 By County'!H12</f>
        <v>4291.3987952397274</v>
      </c>
    </row>
    <row r="10" spans="1:9">
      <c r="A10" s="3" t="s">
        <v>313</v>
      </c>
      <c r="B10" s="5">
        <v>38300</v>
      </c>
      <c r="C10" s="3" t="s">
        <v>218</v>
      </c>
      <c r="D10" s="278">
        <f>'101 &amp; 106 By County'!H13</f>
        <v>2310.7036828444097</v>
      </c>
    </row>
    <row r="11" spans="1:9">
      <c r="A11" s="3" t="s">
        <v>313</v>
      </c>
      <c r="B11" s="5">
        <v>38400</v>
      </c>
      <c r="C11" s="3" t="s">
        <v>317</v>
      </c>
      <c r="D11" s="278">
        <f>'101 &amp; 106 By County'!H14</f>
        <v>1841.7944561437873</v>
      </c>
    </row>
    <row r="12" spans="1:9">
      <c r="A12" s="3" t="s">
        <v>313</v>
      </c>
      <c r="B12" s="5">
        <v>38500</v>
      </c>
      <c r="C12" s="3" t="s">
        <v>318</v>
      </c>
      <c r="D12" s="278">
        <f>'101 &amp; 106 By County'!H15</f>
        <v>3410.876046819139</v>
      </c>
    </row>
    <row r="13" spans="1:9">
      <c r="A13" s="3" t="s">
        <v>313</v>
      </c>
      <c r="B13" s="5">
        <v>38700</v>
      </c>
      <c r="C13" s="3" t="s">
        <v>319</v>
      </c>
      <c r="D13" s="278">
        <f>'101 &amp; 106 By County'!H16</f>
        <v>432.19630001469221</v>
      </c>
    </row>
    <row r="14" spans="1:9" ht="16.5" thickBot="1">
      <c r="C14" s="48" t="s">
        <v>1061</v>
      </c>
      <c r="D14" s="336">
        <f>SUM(D5:D13)</f>
        <v>2111280.2812651978</v>
      </c>
      <c r="E14" s="336">
        <f>SUM(D7:D13)</f>
        <v>49900.851265197751</v>
      </c>
      <c r="G14" s="410">
        <f>D14*0.41179</f>
        <v>869404.10702219582</v>
      </c>
      <c r="I14" s="3" t="s">
        <v>1178</v>
      </c>
    </row>
    <row r="15" spans="1:9" ht="16.5" thickTop="1">
      <c r="C15" s="48"/>
      <c r="D15" s="337"/>
    </row>
    <row r="16" spans="1:9">
      <c r="B16" s="5" t="s">
        <v>1111</v>
      </c>
      <c r="C16" s="5" t="s">
        <v>1111</v>
      </c>
      <c r="D16" s="337">
        <f>D5+D6</f>
        <v>2061379.43</v>
      </c>
    </row>
    <row r="17" spans="1:7">
      <c r="B17" s="5" t="s">
        <v>306</v>
      </c>
      <c r="C17" s="3" t="s">
        <v>1142</v>
      </c>
      <c r="D17" s="337">
        <f>($D$14-$D$16)*Bills!F222</f>
        <v>17964.306455471225</v>
      </c>
    </row>
    <row r="18" spans="1:7">
      <c r="B18" s="5" t="s">
        <v>961</v>
      </c>
      <c r="C18" s="3" t="s">
        <v>1142</v>
      </c>
      <c r="D18" s="337">
        <f>($D$14-$D$16)*Bills!F223</f>
        <v>31936.544809726627</v>
      </c>
    </row>
    <row r="19" spans="1:7" ht="16.5" thickBot="1">
      <c r="B19" s="5" t="s">
        <v>963</v>
      </c>
      <c r="C19" s="48"/>
      <c r="D19" s="336">
        <f>SUM(D16:D18)</f>
        <v>2111280.2812651978</v>
      </c>
    </row>
    <row r="20" spans="1:7" ht="16.5" thickTop="1">
      <c r="C20" s="48"/>
      <c r="D20" s="337"/>
    </row>
    <row r="21" spans="1:7">
      <c r="A21" s="3" t="s">
        <v>322</v>
      </c>
      <c r="B21" s="5" t="s">
        <v>381</v>
      </c>
      <c r="C21" s="3" t="s">
        <v>311</v>
      </c>
      <c r="D21" s="278">
        <f>'101 &amp; 106 By County'!H18</f>
        <v>15193180.85</v>
      </c>
      <c r="E21" s="3" t="str">
        <f t="shared" ref="E21:E34" si="0">MID(F21,10,50)</f>
        <v/>
      </c>
    </row>
    <row r="22" spans="1:7">
      <c r="A22" s="3" t="s">
        <v>322</v>
      </c>
      <c r="B22" s="5" t="s">
        <v>383</v>
      </c>
      <c r="C22" s="3" t="s">
        <v>363</v>
      </c>
      <c r="D22" s="278">
        <f>'101 &amp; 106 By County'!H19</f>
        <v>311934.84000000003</v>
      </c>
      <c r="E22" s="3" t="str">
        <f t="shared" si="0"/>
        <v/>
      </c>
    </row>
    <row r="23" spans="1:7">
      <c r="A23" s="3" t="s">
        <v>322</v>
      </c>
      <c r="B23" s="5" t="s">
        <v>384</v>
      </c>
      <c r="C23" s="3" t="s">
        <v>314</v>
      </c>
      <c r="D23" s="278">
        <f>'101 &amp; 106 By County'!H20</f>
        <v>1915402.95</v>
      </c>
      <c r="E23" s="3" t="str">
        <f t="shared" si="0"/>
        <v/>
      </c>
    </row>
    <row r="24" spans="1:7">
      <c r="A24" s="3" t="s">
        <v>322</v>
      </c>
      <c r="B24" s="5" t="s">
        <v>385</v>
      </c>
      <c r="C24" s="3" t="s">
        <v>370</v>
      </c>
      <c r="D24" s="278">
        <v>9347070</v>
      </c>
      <c r="E24" s="3" t="str">
        <f t="shared" si="0"/>
        <v/>
      </c>
    </row>
    <row r="25" spans="1:7">
      <c r="A25" s="3" t="s">
        <v>322</v>
      </c>
      <c r="B25" s="5" t="s">
        <v>443</v>
      </c>
      <c r="C25" s="3" t="s">
        <v>216</v>
      </c>
      <c r="D25" s="278">
        <f>'101 &amp; 106 By County'!H22</f>
        <v>2919916.0960315531</v>
      </c>
      <c r="E25" s="3" t="str">
        <f t="shared" si="0"/>
        <v/>
      </c>
    </row>
    <row r="26" spans="1:7">
      <c r="A26" s="3" t="s">
        <v>322</v>
      </c>
      <c r="B26" s="5" t="s">
        <v>387</v>
      </c>
      <c r="C26" s="3" t="s">
        <v>217</v>
      </c>
      <c r="D26" s="278">
        <f>'101 &amp; 106 By County'!H23</f>
        <v>1997992.9838690059</v>
      </c>
      <c r="E26" s="3" t="str">
        <f t="shared" si="0"/>
        <v/>
      </c>
    </row>
    <row r="27" spans="1:7">
      <c r="A27" s="3" t="s">
        <v>322</v>
      </c>
      <c r="B27" s="5" t="s">
        <v>389</v>
      </c>
      <c r="C27" s="3" t="s">
        <v>218</v>
      </c>
      <c r="D27" s="278">
        <f>'101 &amp; 106 By County'!H24</f>
        <v>1009036.1229333334</v>
      </c>
      <c r="E27" s="3" t="str">
        <f t="shared" si="0"/>
        <v/>
      </c>
    </row>
    <row r="28" spans="1:7">
      <c r="A28" s="3" t="s">
        <v>322</v>
      </c>
      <c r="B28" s="5" t="s">
        <v>391</v>
      </c>
      <c r="C28" s="3" t="s">
        <v>317</v>
      </c>
      <c r="D28" s="278">
        <f>'101 &amp; 106 By County'!H25</f>
        <v>1027382.3404163743</v>
      </c>
      <c r="E28" s="3" t="str">
        <f t="shared" si="0"/>
        <v/>
      </c>
    </row>
    <row r="29" spans="1:7">
      <c r="A29" s="3" t="s">
        <v>322</v>
      </c>
      <c r="B29" s="5" t="s">
        <v>393</v>
      </c>
      <c r="C29" s="3" t="s">
        <v>318</v>
      </c>
      <c r="D29" s="278">
        <f>'101 &amp; 106 By County'!H26</f>
        <v>70722.582835087727</v>
      </c>
      <c r="E29" s="3" t="str">
        <f t="shared" si="0"/>
        <v/>
      </c>
    </row>
    <row r="30" spans="1:7">
      <c r="A30" s="3" t="s">
        <v>322</v>
      </c>
      <c r="B30" s="5" t="s">
        <v>394</v>
      </c>
      <c r="C30" s="3" t="s">
        <v>319</v>
      </c>
      <c r="D30" s="278">
        <f>'101 &amp; 106 By County'!H27</f>
        <v>131597.27980818716</v>
      </c>
      <c r="E30" s="3" t="str">
        <f t="shared" si="0"/>
        <v/>
      </c>
    </row>
    <row r="31" spans="1:7">
      <c r="A31" s="3" t="s">
        <v>322</v>
      </c>
      <c r="B31" s="5" t="s">
        <v>198</v>
      </c>
      <c r="C31" s="3" t="s">
        <v>397</v>
      </c>
      <c r="D31" s="278">
        <f>'101 &amp; 106 By County'!H28</f>
        <v>189836.86</v>
      </c>
      <c r="E31" s="3" t="str">
        <f t="shared" si="0"/>
        <v/>
      </c>
      <c r="G31" s="277">
        <f>(D37-D36)*0.41179</f>
        <v>14144188.6798914</v>
      </c>
    </row>
    <row r="32" spans="1:7">
      <c r="A32" s="3" t="s">
        <v>322</v>
      </c>
      <c r="B32" s="5" t="s">
        <v>201</v>
      </c>
      <c r="C32" s="3" t="s">
        <v>400</v>
      </c>
      <c r="D32" s="278">
        <f>'101 &amp; 106 By County'!H29</f>
        <v>126912.53</v>
      </c>
      <c r="E32" s="3" t="str">
        <f t="shared" si="0"/>
        <v/>
      </c>
      <c r="G32" s="277">
        <f>D36</f>
        <v>210386</v>
      </c>
    </row>
    <row r="33" spans="1:9">
      <c r="A33" s="3" t="s">
        <v>322</v>
      </c>
      <c r="B33" s="5" t="s">
        <v>203</v>
      </c>
      <c r="C33" s="3" t="s">
        <v>403</v>
      </c>
      <c r="D33" s="278">
        <f>'101 &amp; 106 By County'!H30</f>
        <v>64096.14</v>
      </c>
      <c r="E33" s="3" t="str">
        <f t="shared" si="0"/>
        <v/>
      </c>
      <c r="G33" s="277">
        <f>SUM(G31:G32)</f>
        <v>14354574.6798914</v>
      </c>
    </row>
    <row r="34" spans="1:9">
      <c r="A34" s="3" t="s">
        <v>322</v>
      </c>
      <c r="B34" s="5" t="s">
        <v>204</v>
      </c>
      <c r="C34" s="3" t="s">
        <v>227</v>
      </c>
      <c r="D34" s="278">
        <f>'101 &amp; 106 By County'!H31</f>
        <v>35249.17</v>
      </c>
      <c r="E34" s="3" t="str">
        <f t="shared" si="0"/>
        <v/>
      </c>
    </row>
    <row r="35" spans="1:9">
      <c r="A35" s="3" t="s">
        <v>322</v>
      </c>
      <c r="B35" s="5" t="s">
        <v>205</v>
      </c>
      <c r="C35" s="3" t="s">
        <v>408</v>
      </c>
      <c r="D35" s="278">
        <f>'101 &amp; 106 By County'!H32</f>
        <v>7731.81</v>
      </c>
    </row>
    <row r="36" spans="1:9">
      <c r="A36" s="3" t="s">
        <v>322</v>
      </c>
      <c r="C36" s="3" t="s">
        <v>241</v>
      </c>
      <c r="D36" s="278">
        <f>'Alloc. Factors'!F9</f>
        <v>210386</v>
      </c>
    </row>
    <row r="37" spans="1:9" ht="16.5" thickBot="1">
      <c r="C37" s="48" t="s">
        <v>1062</v>
      </c>
      <c r="D37" s="336">
        <f>SUM(D21:D36)</f>
        <v>34558448.55589354</v>
      </c>
      <c r="E37" s="336">
        <f>SUM(D24:D30)</f>
        <v>16503717.405893542</v>
      </c>
      <c r="G37" s="410">
        <f>D37*0.41179</f>
        <v>14230823.5308314</v>
      </c>
      <c r="I37" s="3" t="s">
        <v>1178</v>
      </c>
    </row>
    <row r="38" spans="1:9" ht="16.5" thickTop="1">
      <c r="C38" s="48"/>
      <c r="D38" s="337"/>
      <c r="G38" s="278">
        <v>127078.71</v>
      </c>
    </row>
    <row r="39" spans="1:9">
      <c r="B39" s="5" t="s">
        <v>1111</v>
      </c>
      <c r="C39" s="5" t="s">
        <v>1111</v>
      </c>
      <c r="D39" s="383">
        <f>SUM(D21:D23)</f>
        <v>17420518.640000001</v>
      </c>
      <c r="G39" s="452">
        <f>SUM(G37:G38)</f>
        <v>14357902.240831401</v>
      </c>
    </row>
    <row r="40" spans="1:9">
      <c r="B40" s="5" t="s">
        <v>306</v>
      </c>
      <c r="C40" s="3" t="s">
        <v>1142</v>
      </c>
      <c r="D40" s="337">
        <f>($D$37-$D$39)*Bills!F320</f>
        <v>4732578.7981360201</v>
      </c>
    </row>
    <row r="41" spans="1:9">
      <c r="B41" s="5" t="s">
        <v>1027</v>
      </c>
      <c r="C41" s="3" t="s">
        <v>1142</v>
      </c>
      <c r="D41" s="337">
        <f>($D$37-$D$39)*Bills!F321</f>
        <v>6509927.2855529152</v>
      </c>
    </row>
    <row r="42" spans="1:9">
      <c r="B42" s="5" t="s">
        <v>1028</v>
      </c>
      <c r="C42" s="3" t="s">
        <v>1142</v>
      </c>
      <c r="D42" s="337">
        <f>($D$37-$D$39)*Bills!F322</f>
        <v>2521168.3281745585</v>
      </c>
    </row>
    <row r="43" spans="1:9">
      <c r="B43" s="5" t="s">
        <v>1029</v>
      </c>
      <c r="C43" s="3" t="s">
        <v>1142</v>
      </c>
      <c r="D43" s="337">
        <f>($D$37-$D$39)*Bills!F323</f>
        <v>246603.34343178585</v>
      </c>
    </row>
    <row r="44" spans="1:9">
      <c r="B44" s="5" t="s">
        <v>1030</v>
      </c>
      <c r="C44" s="3" t="s">
        <v>1142</v>
      </c>
      <c r="D44" s="337">
        <f>($D$37-$D$39)*Bills!F324</f>
        <v>1514705.9021358879</v>
      </c>
    </row>
    <row r="45" spans="1:9">
      <c r="B45" s="5" t="s">
        <v>1031</v>
      </c>
      <c r="C45" s="3" t="s">
        <v>1142</v>
      </c>
      <c r="D45" s="337">
        <f>($D$37-$D$39)*Bills!F325</f>
        <v>1566833.4381458587</v>
      </c>
    </row>
    <row r="46" spans="1:9">
      <c r="B46" s="5" t="s">
        <v>1032</v>
      </c>
      <c r="C46" s="3" t="s">
        <v>1142</v>
      </c>
      <c r="D46" s="337">
        <f>($D$37-$D$39)*Bills!F326</f>
        <v>0</v>
      </c>
    </row>
    <row r="47" spans="1:9">
      <c r="B47" s="5" t="s">
        <v>1033</v>
      </c>
      <c r="C47" s="3" t="s">
        <v>1142</v>
      </c>
      <c r="D47" s="337">
        <f>($D$37-$D$39)*Bills!F327</f>
        <v>46112.8203165128</v>
      </c>
    </row>
    <row r="48" spans="1:9" ht="16.5" thickBot="1">
      <c r="B48" s="5" t="s">
        <v>1034</v>
      </c>
      <c r="C48" s="48"/>
      <c r="D48" s="336">
        <f>SUM(D39:D47)</f>
        <v>34558448.55589354</v>
      </c>
    </row>
    <row r="49" spans="1:7" ht="16.5" thickTop="1">
      <c r="C49" s="48"/>
      <c r="D49" s="337"/>
    </row>
    <row r="50" spans="1:7">
      <c r="A50" s="3" t="s">
        <v>338</v>
      </c>
      <c r="B50" s="5" t="s">
        <v>381</v>
      </c>
      <c r="C50" s="3" t="s">
        <v>311</v>
      </c>
      <c r="D50" s="278">
        <f>'101 &amp; 106 By County'!H34</f>
        <v>98906.46</v>
      </c>
    </row>
    <row r="51" spans="1:7">
      <c r="A51" s="3" t="s">
        <v>338</v>
      </c>
      <c r="B51" s="5" t="s">
        <v>383</v>
      </c>
      <c r="C51" s="3" t="s">
        <v>363</v>
      </c>
      <c r="D51" s="278">
        <f>'101 &amp; 106 By County'!H35</f>
        <v>268144.71999999997</v>
      </c>
    </row>
    <row r="52" spans="1:7">
      <c r="A52" s="3" t="s">
        <v>338</v>
      </c>
      <c r="B52" s="5">
        <v>38100</v>
      </c>
      <c r="C52" s="3" t="s">
        <v>216</v>
      </c>
      <c r="D52" s="278">
        <f>'101 &amp; 106 By County'!H36</f>
        <v>170.79527936543948</v>
      </c>
    </row>
    <row r="53" spans="1:7" ht="16.5" thickBot="1">
      <c r="C53" s="48" t="s">
        <v>1063</v>
      </c>
      <c r="D53" s="336">
        <f>SUM(D50:D52)</f>
        <v>367221.97527936543</v>
      </c>
      <c r="E53" s="336">
        <f>D52</f>
        <v>170.79527936543948</v>
      </c>
      <c r="G53" s="410">
        <f>D53*0.41179</f>
        <v>151218.33720028988</v>
      </c>
    </row>
    <row r="54" spans="1:7" ht="16.5" thickTop="1">
      <c r="C54" s="48"/>
      <c r="D54" s="337"/>
    </row>
    <row r="55" spans="1:7" ht="16.5" thickBot="1">
      <c r="A55" s="3" t="s">
        <v>1161</v>
      </c>
      <c r="B55" s="5" t="s">
        <v>384</v>
      </c>
      <c r="C55" s="3" t="s">
        <v>314</v>
      </c>
      <c r="D55" s="336">
        <f>'101 &amp; 106 By County'!H39</f>
        <v>2952795.08</v>
      </c>
    </row>
    <row r="56" spans="1:7" ht="16.5" thickTop="1">
      <c r="C56" s="48"/>
      <c r="D56" s="337"/>
    </row>
    <row r="57" spans="1:7">
      <c r="A57" s="3" t="s">
        <v>342</v>
      </c>
      <c r="B57" s="5" t="s">
        <v>381</v>
      </c>
      <c r="C57" s="3" t="s">
        <v>311</v>
      </c>
      <c r="D57" s="278">
        <f>'101 &amp; 106 By County'!H41</f>
        <v>38113595.530000001</v>
      </c>
    </row>
    <row r="58" spans="1:7">
      <c r="A58" s="3" t="s">
        <v>342</v>
      </c>
      <c r="B58" s="5" t="s">
        <v>383</v>
      </c>
      <c r="C58" s="3" t="s">
        <v>363</v>
      </c>
      <c r="D58" s="278">
        <f>'101 &amp; 106 By County'!H42</f>
        <v>390920.59</v>
      </c>
    </row>
    <row r="59" spans="1:7">
      <c r="A59" s="3" t="s">
        <v>342</v>
      </c>
      <c r="B59" s="5" t="s">
        <v>384</v>
      </c>
      <c r="C59" s="3" t="s">
        <v>314</v>
      </c>
      <c r="D59" s="278">
        <f>'101 &amp; 106 By County'!H43</f>
        <v>712994.92</v>
      </c>
    </row>
    <row r="60" spans="1:7">
      <c r="A60" s="3" t="s">
        <v>342</v>
      </c>
      <c r="B60" s="5" t="s">
        <v>385</v>
      </c>
      <c r="C60" s="3" t="s">
        <v>370</v>
      </c>
      <c r="D60" s="278">
        <f>'101 &amp; 106 By County'!H44-66</f>
        <v>22398279.18</v>
      </c>
    </row>
    <row r="61" spans="1:7">
      <c r="A61" s="3" t="s">
        <v>342</v>
      </c>
      <c r="B61" s="5">
        <v>38100</v>
      </c>
      <c r="C61" s="3" t="s">
        <v>216</v>
      </c>
      <c r="D61" s="278">
        <f>'101 &amp; 106 By County'!H45</f>
        <v>5053832.3164233537</v>
      </c>
    </row>
    <row r="62" spans="1:7">
      <c r="A62" s="3" t="s">
        <v>342</v>
      </c>
      <c r="B62" s="5">
        <v>38200</v>
      </c>
      <c r="C62" s="3" t="s">
        <v>217</v>
      </c>
      <c r="D62" s="278">
        <f>'101 &amp; 106 By County'!H46</f>
        <v>2793929.54</v>
      </c>
    </row>
    <row r="63" spans="1:7">
      <c r="A63" s="3" t="s">
        <v>342</v>
      </c>
      <c r="B63" s="5" t="s">
        <v>389</v>
      </c>
      <c r="C63" s="3" t="s">
        <v>218</v>
      </c>
      <c r="D63" s="278">
        <f>'101 &amp; 106 By County'!H47</f>
        <v>984888.62</v>
      </c>
    </row>
    <row r="64" spans="1:7">
      <c r="A64" s="3" t="s">
        <v>342</v>
      </c>
      <c r="B64" s="5" t="s">
        <v>391</v>
      </c>
      <c r="C64" s="3" t="s">
        <v>317</v>
      </c>
      <c r="D64" s="278">
        <f>'101 &amp; 106 By County'!H48</f>
        <v>1166177.06</v>
      </c>
    </row>
    <row r="65" spans="1:9">
      <c r="A65" s="3" t="s">
        <v>342</v>
      </c>
      <c r="B65" s="5" t="s">
        <v>393</v>
      </c>
      <c r="C65" s="3" t="s">
        <v>318</v>
      </c>
      <c r="D65" s="278">
        <f>'101 &amp; 106 By County'!H49</f>
        <v>323704.21999999997</v>
      </c>
    </row>
    <row r="66" spans="1:9">
      <c r="A66" s="3" t="s">
        <v>342</v>
      </c>
      <c r="B66" s="5" t="s">
        <v>394</v>
      </c>
      <c r="C66" s="3" t="s">
        <v>319</v>
      </c>
      <c r="D66" s="278">
        <f>'101 &amp; 106 By County'!H50</f>
        <v>279782.90000000002</v>
      </c>
    </row>
    <row r="67" spans="1:9">
      <c r="A67" s="3" t="s">
        <v>342</v>
      </c>
      <c r="B67" s="5" t="s">
        <v>396</v>
      </c>
      <c r="C67" s="3" t="s">
        <v>397</v>
      </c>
      <c r="D67" s="278">
        <f>'101 &amp; 106 By County'!H51</f>
        <v>248938.72</v>
      </c>
    </row>
    <row r="68" spans="1:9">
      <c r="A68" s="3" t="s">
        <v>342</v>
      </c>
      <c r="B68" s="5" t="s">
        <v>399</v>
      </c>
      <c r="C68" s="3" t="s">
        <v>400</v>
      </c>
      <c r="D68" s="278">
        <f>'101 &amp; 106 By County'!H52</f>
        <v>57534.48</v>
      </c>
    </row>
    <row r="69" spans="1:9">
      <c r="A69" s="3" t="s">
        <v>342</v>
      </c>
      <c r="B69" s="5" t="s">
        <v>405</v>
      </c>
      <c r="C69" s="3" t="s">
        <v>227</v>
      </c>
      <c r="D69" s="278">
        <f>'101 &amp; 106 By County'!H53</f>
        <v>179714.44</v>
      </c>
    </row>
    <row r="70" spans="1:9" ht="16.5" thickBot="1">
      <c r="C70" s="48" t="s">
        <v>1064</v>
      </c>
      <c r="D70" s="336">
        <f>SUM(D57:D69)</f>
        <v>72704292.516423374</v>
      </c>
      <c r="E70" s="336">
        <f>SUM(D60:D66)</f>
        <v>33000593.836423349</v>
      </c>
      <c r="G70" s="410">
        <f>D70*0.41179</f>
        <v>29938900.615337979</v>
      </c>
      <c r="I70" s="3" t="s">
        <v>1178</v>
      </c>
    </row>
    <row r="71" spans="1:9" ht="16.5" thickTop="1">
      <c r="C71" s="48"/>
      <c r="D71" s="337"/>
    </row>
    <row r="72" spans="1:9">
      <c r="B72" s="5" t="s">
        <v>1111</v>
      </c>
      <c r="C72" s="5" t="s">
        <v>1111</v>
      </c>
      <c r="D72" s="337">
        <f>SUM(D57:D59)</f>
        <v>39217511.040000007</v>
      </c>
    </row>
    <row r="73" spans="1:9">
      <c r="B73" s="5" t="s">
        <v>306</v>
      </c>
      <c r="C73" s="3" t="s">
        <v>1142</v>
      </c>
      <c r="D73" s="337">
        <f>($D$70-$D$72)*Bills!F57</f>
        <v>1921613.8880353794</v>
      </c>
    </row>
    <row r="74" spans="1:9">
      <c r="B74" s="5" t="s">
        <v>683</v>
      </c>
      <c r="C74" s="3" t="s">
        <v>1142</v>
      </c>
      <c r="D74" s="337">
        <f>($D$70-$D$72)*Bills!F58</f>
        <v>50926.163110478257</v>
      </c>
    </row>
    <row r="75" spans="1:9">
      <c r="B75" s="5" t="s">
        <v>684</v>
      </c>
      <c r="C75" s="3" t="s">
        <v>1142</v>
      </c>
      <c r="D75" s="337">
        <f>($D$70-$D$72)*Bills!F59</f>
        <v>27160.620325588403</v>
      </c>
    </row>
    <row r="76" spans="1:9">
      <c r="B76" s="5" t="s">
        <v>685</v>
      </c>
      <c r="C76" s="3" t="s">
        <v>1142</v>
      </c>
      <c r="D76" s="337">
        <f>($D$70-$D$72)*Bills!F60</f>
        <v>157305.25938569949</v>
      </c>
    </row>
    <row r="77" spans="1:9">
      <c r="B77" s="5" t="s">
        <v>686</v>
      </c>
      <c r="C77" s="3" t="s">
        <v>1142</v>
      </c>
      <c r="D77" s="337">
        <f>($D$70-$D$72)*Bills!F61</f>
        <v>355351.44925978163</v>
      </c>
    </row>
    <row r="78" spans="1:9">
      <c r="B78" s="5" t="s">
        <v>688</v>
      </c>
      <c r="C78" s="3" t="s">
        <v>1142</v>
      </c>
      <c r="D78" s="337">
        <f>($D$70-$D$72)*Bills!F62</f>
        <v>217284.96260470722</v>
      </c>
    </row>
    <row r="79" spans="1:9">
      <c r="B79" s="5" t="s">
        <v>690</v>
      </c>
      <c r="C79" s="3" t="s">
        <v>1142</v>
      </c>
      <c r="D79" s="337">
        <f>($D$70-$D$72)*Bills!F63</f>
        <v>129012.94654654492</v>
      </c>
    </row>
    <row r="80" spans="1:9">
      <c r="B80" s="5" t="s">
        <v>692</v>
      </c>
      <c r="C80" s="3" t="s">
        <v>1142</v>
      </c>
      <c r="D80" s="337">
        <f>($D$70-$D$72)*Bills!F64</f>
        <v>7804151.5735524017</v>
      </c>
    </row>
    <row r="81" spans="2:4">
      <c r="B81" s="5" t="s">
        <v>694</v>
      </c>
      <c r="C81" s="3" t="s">
        <v>1142</v>
      </c>
      <c r="D81" s="337">
        <f>($D$70-$D$72)*Bills!F65</f>
        <v>806896.76217268873</v>
      </c>
    </row>
    <row r="82" spans="2:4">
      <c r="B82" s="5" t="s">
        <v>696</v>
      </c>
      <c r="C82" s="3" t="s">
        <v>1142</v>
      </c>
      <c r="D82" s="337">
        <f>($D$70-$D$72)*Bills!F66</f>
        <v>8596336.3330487292</v>
      </c>
    </row>
    <row r="83" spans="2:4">
      <c r="B83" s="5" t="s">
        <v>698</v>
      </c>
      <c r="C83" s="3" t="s">
        <v>1142</v>
      </c>
      <c r="D83" s="337">
        <f>($D$70-$D$72)*Bills!F67</f>
        <v>20370.465244191302</v>
      </c>
    </row>
    <row r="84" spans="2:4">
      <c r="B84" s="5" t="s">
        <v>700</v>
      </c>
      <c r="C84" s="3" t="s">
        <v>1142</v>
      </c>
      <c r="D84" s="337">
        <f>($D$70-$D$72)*Bills!F68</f>
        <v>298766.82358147245</v>
      </c>
    </row>
    <row r="85" spans="2:4">
      <c r="B85" s="5" t="s">
        <v>702</v>
      </c>
      <c r="C85" s="3" t="s">
        <v>1142</v>
      </c>
      <c r="D85" s="337">
        <f>($D$70-$D$72)*Bills!F69</f>
        <v>165227.10698066276</v>
      </c>
    </row>
    <row r="86" spans="2:4">
      <c r="B86" s="5" t="s">
        <v>704</v>
      </c>
      <c r="C86" s="3" t="s">
        <v>1142</v>
      </c>
      <c r="D86" s="337">
        <f>($D$70-$D$72)*Bills!F70</f>
        <v>24897.235298456035</v>
      </c>
    </row>
    <row r="87" spans="2:4">
      <c r="B87" s="5" t="s">
        <v>706</v>
      </c>
      <c r="C87" s="3" t="s">
        <v>1142</v>
      </c>
      <c r="D87" s="337">
        <f>($D$70-$D$72)*Bills!F71</f>
        <v>761629.06163004145</v>
      </c>
    </row>
    <row r="88" spans="2:4">
      <c r="B88" s="5" t="s">
        <v>708</v>
      </c>
      <c r="C88" s="3" t="s">
        <v>1142</v>
      </c>
      <c r="D88" s="337">
        <f>($D$70-$D$72)*Bills!F72</f>
        <v>0</v>
      </c>
    </row>
    <row r="89" spans="2:4">
      <c r="B89" s="5" t="s">
        <v>710</v>
      </c>
      <c r="C89" s="3" t="s">
        <v>1142</v>
      </c>
      <c r="D89" s="337">
        <f>($D$70-$D$72)*Bills!F73</f>
        <v>3395.0775406985504</v>
      </c>
    </row>
    <row r="90" spans="2:4">
      <c r="B90" s="5" t="s">
        <v>712</v>
      </c>
      <c r="C90" s="3" t="s">
        <v>1142</v>
      </c>
      <c r="D90" s="337">
        <f>($D$70-$D$72)*Bills!F74</f>
        <v>793316.45200989454</v>
      </c>
    </row>
    <row r="91" spans="2:4">
      <c r="B91" s="5" t="s">
        <v>714</v>
      </c>
      <c r="C91" s="3" t="s">
        <v>1142</v>
      </c>
      <c r="D91" s="337">
        <f>($D$70-$D$72)*Bills!F75</f>
        <v>126749.56151941254</v>
      </c>
    </row>
    <row r="92" spans="2:4">
      <c r="B92" s="5" t="s">
        <v>716</v>
      </c>
      <c r="C92" s="3" t="s">
        <v>1142</v>
      </c>
      <c r="D92" s="337">
        <f>($D$70-$D$72)*Bills!F76</f>
        <v>0</v>
      </c>
    </row>
    <row r="93" spans="2:4">
      <c r="B93" s="5" t="s">
        <v>718</v>
      </c>
      <c r="C93" s="3" t="s">
        <v>1142</v>
      </c>
      <c r="D93" s="337">
        <f>($D$70-$D$72)*Bills!F77</f>
        <v>5658462.5678309174</v>
      </c>
    </row>
    <row r="94" spans="2:4">
      <c r="B94" s="5" t="s">
        <v>720</v>
      </c>
      <c r="C94" s="3" t="s">
        <v>1142</v>
      </c>
      <c r="D94" s="337">
        <f>($D$70-$D$72)*Bills!F78</f>
        <v>1416879.0269848616</v>
      </c>
    </row>
    <row r="95" spans="2:4">
      <c r="B95" s="5" t="s">
        <v>722</v>
      </c>
      <c r="C95" s="3" t="s">
        <v>1142</v>
      </c>
      <c r="D95" s="337">
        <f>($D$70-$D$72)*Bills!F79</f>
        <v>4075224.7413518266</v>
      </c>
    </row>
    <row r="96" spans="2:4">
      <c r="B96" s="5" t="s">
        <v>724</v>
      </c>
      <c r="C96" s="3" t="s">
        <v>1142</v>
      </c>
      <c r="D96" s="337">
        <f>($D$70-$D$72)*Bills!F80</f>
        <v>1131.6925135661834</v>
      </c>
    </row>
    <row r="97" spans="1:10">
      <c r="B97" s="5" t="s">
        <v>726</v>
      </c>
      <c r="C97" s="3" t="s">
        <v>1142</v>
      </c>
      <c r="D97" s="337">
        <f>($D$70-$D$72)*Bills!F81</f>
        <v>14712.002676360384</v>
      </c>
    </row>
    <row r="98" spans="1:10">
      <c r="B98" s="5" t="s">
        <v>728</v>
      </c>
      <c r="C98" s="3" t="s">
        <v>1142</v>
      </c>
      <c r="D98" s="337">
        <f>($D$70-$D$72)*Bills!F82</f>
        <v>59979.703219007723</v>
      </c>
    </row>
    <row r="99" spans="1:10" ht="16.5" thickBot="1">
      <c r="B99" s="5" t="s">
        <v>730</v>
      </c>
      <c r="C99" s="48"/>
      <c r="D99" s="336">
        <f>SUM(D72:D98)</f>
        <v>72704292.516423374</v>
      </c>
    </row>
    <row r="100" spans="1:10" ht="16.5" thickTop="1">
      <c r="C100" s="48"/>
      <c r="D100" s="337"/>
    </row>
    <row r="101" spans="1:10">
      <c r="A101" s="3" t="s">
        <v>355</v>
      </c>
      <c r="B101" s="5" t="s">
        <v>381</v>
      </c>
      <c r="C101" s="3" t="s">
        <v>311</v>
      </c>
      <c r="D101" s="278">
        <f>'101 &amp; 106 By County'!H55</f>
        <v>15025835.960000001</v>
      </c>
    </row>
    <row r="102" spans="1:10">
      <c r="A102" s="3" t="s">
        <v>355</v>
      </c>
      <c r="B102" s="5" t="s">
        <v>383</v>
      </c>
      <c r="C102" s="3" t="s">
        <v>363</v>
      </c>
      <c r="D102" s="278">
        <f>'101 &amp; 106 By County'!H56</f>
        <v>170814.98</v>
      </c>
    </row>
    <row r="103" spans="1:10">
      <c r="A103" s="3" t="s">
        <v>355</v>
      </c>
      <c r="B103" s="5" t="s">
        <v>654</v>
      </c>
      <c r="C103" s="3" t="s">
        <v>365</v>
      </c>
      <c r="D103" s="278">
        <f>'101 &amp; 106 By County'!H57-1</f>
        <v>81678.570000000007</v>
      </c>
    </row>
    <row r="104" spans="1:10">
      <c r="A104" s="3" t="s">
        <v>355</v>
      </c>
      <c r="B104" s="5">
        <v>38100</v>
      </c>
      <c r="C104" s="3" t="s">
        <v>216</v>
      </c>
      <c r="D104" s="278">
        <f>'101 &amp; 106 By County'!H58</f>
        <v>152861.77503206831</v>
      </c>
    </row>
    <row r="105" spans="1:10">
      <c r="A105" s="3" t="s">
        <v>355</v>
      </c>
      <c r="B105" s="5" t="s">
        <v>387</v>
      </c>
      <c r="C105" s="3" t="s">
        <v>217</v>
      </c>
      <c r="D105" s="278">
        <f>'101 &amp; 106 By County'!H59</f>
        <v>0</v>
      </c>
    </row>
    <row r="106" spans="1:10">
      <c r="A106" s="3" t="s">
        <v>355</v>
      </c>
      <c r="B106" s="5" t="s">
        <v>389</v>
      </c>
      <c r="C106" s="3" t="s">
        <v>218</v>
      </c>
      <c r="D106" s="278">
        <f>'101 &amp; 106 By County'!H60</f>
        <v>271052.81</v>
      </c>
    </row>
    <row r="107" spans="1:10">
      <c r="A107" s="3" t="s">
        <v>355</v>
      </c>
      <c r="B107" s="5" t="s">
        <v>391</v>
      </c>
      <c r="C107" s="3" t="s">
        <v>317</v>
      </c>
      <c r="D107" s="278">
        <f>'101 &amp; 106 By County'!H61</f>
        <v>0</v>
      </c>
    </row>
    <row r="108" spans="1:10" ht="16.5" thickBot="1">
      <c r="C108" s="48" t="s">
        <v>1065</v>
      </c>
      <c r="D108" s="336">
        <f>SUBTOTAL(9,D101:D107)</f>
        <v>15702244.09503207</v>
      </c>
      <c r="E108" s="336">
        <f>SUM(D103:D107)</f>
        <v>505593.15503206832</v>
      </c>
      <c r="J108" s="3" t="s">
        <v>1178</v>
      </c>
    </row>
    <row r="109" spans="1:10" ht="16.5" thickTop="1">
      <c r="C109" s="48"/>
      <c r="D109" s="337"/>
    </row>
    <row r="110" spans="1:10">
      <c r="B110" s="5" t="s">
        <v>1111</v>
      </c>
      <c r="C110" s="5" t="s">
        <v>1111</v>
      </c>
      <c r="D110" s="383">
        <f>SUM(D101:D102)</f>
        <v>15196650.940000001</v>
      </c>
    </row>
    <row r="111" spans="1:10">
      <c r="B111" s="5" t="s">
        <v>306</v>
      </c>
      <c r="C111" s="3" t="s">
        <v>1142</v>
      </c>
      <c r="D111" s="337">
        <f>($D$108-$D$110)*(Bills!F365+Bills!F368)</f>
        <v>256518.38443303134</v>
      </c>
    </row>
    <row r="112" spans="1:10">
      <c r="B112" s="5" t="s">
        <v>1048</v>
      </c>
      <c r="C112" s="3" t="s">
        <v>1142</v>
      </c>
      <c r="D112" s="337">
        <f>($D$108-$D$110)*(Bills!F366)</f>
        <v>249074.77059903712</v>
      </c>
    </row>
    <row r="113" spans="1:5" ht="16.5" thickBot="1">
      <c r="B113" s="5" t="s">
        <v>1112</v>
      </c>
      <c r="C113" s="48"/>
      <c r="D113" s="336">
        <f>SUM(D110:D112)</f>
        <v>15702244.09503207</v>
      </c>
    </row>
    <row r="114" spans="1:5" ht="16.5" thickTop="1">
      <c r="C114" s="48"/>
      <c r="D114" s="337"/>
    </row>
    <row r="115" spans="1:5">
      <c r="A115" s="3" t="s">
        <v>362</v>
      </c>
      <c r="B115" s="5" t="s">
        <v>187</v>
      </c>
      <c r="C115" s="3" t="s">
        <v>311</v>
      </c>
      <c r="D115" s="278">
        <f>'101 &amp; 106 By County'!H63</f>
        <v>5391301.9100000001</v>
      </c>
    </row>
    <row r="116" spans="1:5">
      <c r="A116" s="3" t="s">
        <v>362</v>
      </c>
      <c r="B116" s="5" t="s">
        <v>188</v>
      </c>
      <c r="C116" s="3" t="s">
        <v>363</v>
      </c>
      <c r="D116" s="278">
        <f>'101 &amp; 106 By County'!H64</f>
        <v>12851.77</v>
      </c>
    </row>
    <row r="117" spans="1:5">
      <c r="A117" s="3" t="s">
        <v>362</v>
      </c>
      <c r="B117" s="5" t="s">
        <v>189</v>
      </c>
      <c r="C117" s="3" t="s">
        <v>314</v>
      </c>
      <c r="D117" s="278">
        <f>'101 &amp; 106 By County'!H65</f>
        <v>1843238.51</v>
      </c>
    </row>
    <row r="118" spans="1:5">
      <c r="A118" s="3" t="s">
        <v>362</v>
      </c>
      <c r="B118" s="5" t="s">
        <v>190</v>
      </c>
      <c r="C118" s="3" t="s">
        <v>365</v>
      </c>
      <c r="D118" s="278">
        <f>'101 &amp; 106 By County'!H66</f>
        <v>244062.99332190608</v>
      </c>
    </row>
    <row r="119" spans="1:5">
      <c r="A119" s="3" t="s">
        <v>362</v>
      </c>
      <c r="B119" s="5">
        <v>38100</v>
      </c>
      <c r="C119" s="3" t="s">
        <v>216</v>
      </c>
      <c r="D119" s="278">
        <f>'101 &amp; 106 By County'!H67</f>
        <v>31255.536123875427</v>
      </c>
    </row>
    <row r="120" spans="1:5">
      <c r="A120" s="3" t="s">
        <v>362</v>
      </c>
      <c r="B120" s="5" t="s">
        <v>192</v>
      </c>
      <c r="C120" s="3" t="s">
        <v>217</v>
      </c>
      <c r="D120" s="278">
        <f>'101 &amp; 106 By County'!H68</f>
        <v>31413.039181154811</v>
      </c>
    </row>
    <row r="121" spans="1:5">
      <c r="A121" s="3" t="s">
        <v>362</v>
      </c>
      <c r="B121" s="5">
        <v>38300</v>
      </c>
      <c r="C121" s="3" t="s">
        <v>218</v>
      </c>
      <c r="D121" s="278">
        <f>'101 &amp; 106 By County'!H69</f>
        <v>16914.350958421081</v>
      </c>
    </row>
    <row r="122" spans="1:5">
      <c r="A122" s="3" t="s">
        <v>362</v>
      </c>
      <c r="B122" s="5" t="s">
        <v>194</v>
      </c>
      <c r="C122" s="3" t="s">
        <v>317</v>
      </c>
      <c r="D122" s="278">
        <f>'101 &amp; 106 By County'!H70</f>
        <v>13481.935418972525</v>
      </c>
    </row>
    <row r="123" spans="1:5">
      <c r="A123" s="3" t="s">
        <v>362</v>
      </c>
      <c r="B123" s="5" t="s">
        <v>195</v>
      </c>
      <c r="C123" s="3" t="s">
        <v>318</v>
      </c>
      <c r="D123" s="278">
        <f>'101 &amp; 106 By County'!H71</f>
        <v>24967.612662716103</v>
      </c>
    </row>
    <row r="124" spans="1:5">
      <c r="A124" s="3" t="s">
        <v>362</v>
      </c>
      <c r="B124" s="5">
        <v>38700</v>
      </c>
      <c r="C124" s="3" t="s">
        <v>319</v>
      </c>
      <c r="D124" s="278">
        <f>'101 &amp; 106 By County'!H72</f>
        <v>3163.6769161075472</v>
      </c>
    </row>
    <row r="125" spans="1:5" ht="16.5" thickBot="1">
      <c r="A125" s="48"/>
      <c r="C125" s="48" t="s">
        <v>1066</v>
      </c>
      <c r="D125" s="336">
        <f>SUM(D115:D124)</f>
        <v>7612651.334583153</v>
      </c>
      <c r="E125" s="336">
        <f>SUM(D118:D124)</f>
        <v>365259.14458315354</v>
      </c>
    </row>
    <row r="126" spans="1:5" ht="16.5" thickTop="1">
      <c r="A126" s="48"/>
      <c r="C126" s="48"/>
      <c r="D126" s="337"/>
    </row>
    <row r="127" spans="1:5">
      <c r="A127" s="48"/>
      <c r="B127" s="5" t="s">
        <v>1111</v>
      </c>
      <c r="C127" s="5" t="s">
        <v>1111</v>
      </c>
      <c r="D127" s="337">
        <f>SUM(D115:D117)</f>
        <v>7247392.1899999995</v>
      </c>
    </row>
    <row r="128" spans="1:5">
      <c r="A128" s="48"/>
      <c r="B128" s="5" t="s">
        <v>306</v>
      </c>
      <c r="C128" s="3" t="s">
        <v>1142</v>
      </c>
      <c r="D128" s="337">
        <f>($D$125-$D$127)*(Bills!F206)</f>
        <v>175643.74165747274</v>
      </c>
    </row>
    <row r="129" spans="1:11">
      <c r="A129" s="48"/>
      <c r="B129" s="5" t="s">
        <v>937</v>
      </c>
      <c r="C129" s="3" t="s">
        <v>1142</v>
      </c>
      <c r="D129" s="337">
        <f>($D$125-$D$127)*(Bills!F207)</f>
        <v>189615.4029256808</v>
      </c>
    </row>
    <row r="130" spans="1:11">
      <c r="A130" s="48"/>
      <c r="B130" s="5" t="s">
        <v>939</v>
      </c>
      <c r="C130" s="48"/>
      <c r="D130" s="338">
        <f>SUM(D127:D129)</f>
        <v>7612651.334583153</v>
      </c>
    </row>
    <row r="131" spans="1:11">
      <c r="A131" s="48"/>
      <c r="C131" s="48"/>
      <c r="D131" s="337"/>
    </row>
    <row r="132" spans="1:11">
      <c r="A132" s="3" t="s">
        <v>369</v>
      </c>
      <c r="B132" s="5" t="s">
        <v>381</v>
      </c>
      <c r="C132" s="3" t="s">
        <v>311</v>
      </c>
      <c r="D132" s="278">
        <f>'101 &amp; 106 By County'!H74</f>
        <v>21093625.760000002</v>
      </c>
    </row>
    <row r="133" spans="1:11">
      <c r="A133" s="3" t="s">
        <v>369</v>
      </c>
      <c r="B133" s="5" t="s">
        <v>383</v>
      </c>
      <c r="C133" s="3" t="s">
        <v>363</v>
      </c>
      <c r="D133" s="278">
        <f>'101 &amp; 106 By County'!H75</f>
        <v>186967.88</v>
      </c>
    </row>
    <row r="134" spans="1:11">
      <c r="A134" s="3" t="s">
        <v>369</v>
      </c>
      <c r="B134" s="5">
        <v>38000</v>
      </c>
      <c r="C134" s="3" t="s">
        <v>370</v>
      </c>
      <c r="D134" s="278">
        <f>'101 &amp; 106 By County'!H76-18</f>
        <v>6351767.1232616687</v>
      </c>
    </row>
    <row r="135" spans="1:11">
      <c r="A135" s="3" t="s">
        <v>369</v>
      </c>
      <c r="B135" s="5">
        <v>38100</v>
      </c>
      <c r="C135" s="3" t="s">
        <v>216</v>
      </c>
      <c r="D135" s="278">
        <f>'101 &amp; 106 By County'!H77</f>
        <v>680277.59771254542</v>
      </c>
    </row>
    <row r="136" spans="1:11">
      <c r="A136" s="3" t="s">
        <v>369</v>
      </c>
      <c r="B136" s="5">
        <v>38200</v>
      </c>
      <c r="C136" s="3" t="s">
        <v>217</v>
      </c>
      <c r="D136" s="278">
        <f>'101 &amp; 106 By County'!H78</f>
        <v>1027981.2208772133</v>
      </c>
    </row>
    <row r="137" spans="1:11">
      <c r="A137" s="3" t="s">
        <v>369</v>
      </c>
      <c r="B137" s="5">
        <v>38300</v>
      </c>
      <c r="C137" s="3" t="s">
        <v>218</v>
      </c>
      <c r="D137" s="278">
        <f>'101 &amp; 106 By County'!H79</f>
        <v>159879.80428489306</v>
      </c>
    </row>
    <row r="138" spans="1:11">
      <c r="A138" s="3" t="s">
        <v>369</v>
      </c>
      <c r="B138" s="5">
        <v>38400</v>
      </c>
      <c r="C138" s="3" t="s">
        <v>317</v>
      </c>
      <c r="D138" s="278">
        <f>'101 &amp; 106 By County'!H80</f>
        <v>476603.92083927337</v>
      </c>
    </row>
    <row r="139" spans="1:11">
      <c r="A139" s="3" t="s">
        <v>369</v>
      </c>
      <c r="B139" s="5">
        <v>38500</v>
      </c>
      <c r="C139" s="3" t="s">
        <v>318</v>
      </c>
      <c r="D139" s="278">
        <f>'101 &amp; 106 By County'!H81</f>
        <v>33971.409054955162</v>
      </c>
    </row>
    <row r="140" spans="1:11">
      <c r="A140" s="3" t="s">
        <v>369</v>
      </c>
      <c r="B140" s="5">
        <v>38700</v>
      </c>
      <c r="C140" s="3" t="s">
        <v>319</v>
      </c>
      <c r="D140" s="278">
        <f>'101 &amp; 106 By County'!H82</f>
        <v>102978.41351230167</v>
      </c>
    </row>
    <row r="141" spans="1:11" ht="16.5" thickBot="1">
      <c r="A141" s="48"/>
      <c r="C141" s="48" t="s">
        <v>1067</v>
      </c>
      <c r="D141" s="336">
        <f>SUBTOTAL(9,D132:D140)</f>
        <v>30114053.129542846</v>
      </c>
      <c r="E141" s="336">
        <f>SUM(D134:D140)</f>
        <v>8833459.4895428531</v>
      </c>
      <c r="K141" s="3" t="s">
        <v>1178</v>
      </c>
    </row>
    <row r="142" spans="1:11" ht="16.5" thickTop="1">
      <c r="A142" s="48"/>
      <c r="C142" s="48"/>
      <c r="D142" s="337"/>
    </row>
    <row r="143" spans="1:11">
      <c r="A143" s="48"/>
      <c r="B143" s="5" t="s">
        <v>1111</v>
      </c>
      <c r="C143" s="5" t="s">
        <v>1111</v>
      </c>
      <c r="D143" s="337">
        <f>SUM(D132:D133)</f>
        <v>21280593.640000001</v>
      </c>
    </row>
    <row r="144" spans="1:11">
      <c r="A144" s="48"/>
      <c r="B144" s="5" t="s">
        <v>306</v>
      </c>
      <c r="C144" s="3" t="s">
        <v>1142</v>
      </c>
      <c r="D144" s="337">
        <f>($D$141-$D$143)*(Bills!F378)</f>
        <v>7289877.31411683</v>
      </c>
    </row>
    <row r="145" spans="1:11">
      <c r="A145" s="48"/>
      <c r="B145" s="5" t="s">
        <v>1057</v>
      </c>
      <c r="C145" s="3" t="s">
        <v>1142</v>
      </c>
      <c r="D145" s="337">
        <f>($D$141-$D$143)*(Bills!F379)</f>
        <v>1543582.1754260156</v>
      </c>
    </row>
    <row r="146" spans="1:11">
      <c r="A146" s="48"/>
      <c r="B146" s="5" t="s">
        <v>1058</v>
      </c>
      <c r="C146" s="48"/>
      <c r="D146" s="338">
        <f>SUM(D143:D145)</f>
        <v>30114053.129542843</v>
      </c>
    </row>
    <row r="147" spans="1:11">
      <c r="A147" s="48"/>
      <c r="C147" s="48"/>
      <c r="D147" s="337"/>
    </row>
    <row r="148" spans="1:11">
      <c r="A148" s="3" t="s">
        <v>1068</v>
      </c>
      <c r="B148" s="5" t="s">
        <v>381</v>
      </c>
      <c r="C148" s="3" t="s">
        <v>311</v>
      </c>
      <c r="D148" s="278">
        <f>'101 &amp; 106 By County'!H84</f>
        <v>209636.34</v>
      </c>
    </row>
    <row r="149" spans="1:11">
      <c r="A149" s="3" t="s">
        <v>1068</v>
      </c>
      <c r="B149" s="5">
        <v>38000</v>
      </c>
      <c r="C149" s="3" t="s">
        <v>370</v>
      </c>
      <c r="D149" s="278">
        <f>'101 &amp; 106 By County'!H85+1</f>
        <v>4002.0326774082955</v>
      </c>
    </row>
    <row r="150" spans="1:11">
      <c r="A150" s="3" t="s">
        <v>1068</v>
      </c>
      <c r="B150" s="5">
        <v>38100</v>
      </c>
      <c r="C150" s="3" t="s">
        <v>216</v>
      </c>
      <c r="D150" s="278">
        <f>'101 &amp; 106 By County'!H86</f>
        <v>512.38583809631837</v>
      </c>
    </row>
    <row r="151" spans="1:11">
      <c r="A151" s="3" t="s">
        <v>1068</v>
      </c>
      <c r="B151" s="5">
        <v>38200</v>
      </c>
      <c r="C151" s="3" t="s">
        <v>217</v>
      </c>
      <c r="D151" s="278">
        <f>'101 &amp; 106 By County'!H87</f>
        <v>514.96785542876728</v>
      </c>
    </row>
    <row r="152" spans="1:11">
      <c r="A152" s="3" t="s">
        <v>1068</v>
      </c>
      <c r="B152" s="5">
        <v>38300</v>
      </c>
      <c r="C152" s="3" t="s">
        <v>218</v>
      </c>
      <c r="D152" s="278">
        <f>'101 &amp; 106 By County'!H88</f>
        <v>277.28444194132913</v>
      </c>
    </row>
    <row r="153" spans="1:11">
      <c r="A153" s="3" t="s">
        <v>1068</v>
      </c>
      <c r="B153" s="5">
        <v>38400</v>
      </c>
      <c r="C153" s="3" t="s">
        <v>317</v>
      </c>
      <c r="D153" s="278">
        <f>'101 &amp; 106 By County'!H89</f>
        <v>221.01533473725448</v>
      </c>
    </row>
    <row r="154" spans="1:11">
      <c r="A154" s="3" t="s">
        <v>1068</v>
      </c>
      <c r="B154" s="5">
        <v>38500</v>
      </c>
      <c r="C154" s="3" t="s">
        <v>318</v>
      </c>
      <c r="D154" s="278">
        <f>'101 &amp; 106 By County'!H90</f>
        <v>409.3051256182967</v>
      </c>
    </row>
    <row r="155" spans="1:11">
      <c r="A155" s="3" t="s">
        <v>1068</v>
      </c>
      <c r="B155" s="5">
        <v>38700</v>
      </c>
      <c r="C155" s="3" t="s">
        <v>319</v>
      </c>
      <c r="D155" s="278">
        <f>'101 &amp; 106 By County'!H91</f>
        <v>51.863556001763065</v>
      </c>
    </row>
    <row r="156" spans="1:11" ht="16.5" thickBot="1">
      <c r="A156" s="48"/>
      <c r="C156" s="48" t="s">
        <v>1069</v>
      </c>
      <c r="D156" s="336">
        <f>SUBTOTAL(9,D148:D155)</f>
        <v>215625.19482923203</v>
      </c>
      <c r="E156" s="336">
        <f>SUM(D149:D155)</f>
        <v>5988.8548292320256</v>
      </c>
      <c r="K156" s="3" t="s">
        <v>1178</v>
      </c>
    </row>
    <row r="157" spans="1:11" ht="16.5" thickTop="1">
      <c r="A157" s="48"/>
      <c r="C157" s="48"/>
      <c r="D157" s="337"/>
    </row>
    <row r="158" spans="1:11">
      <c r="A158" s="3" t="s">
        <v>373</v>
      </c>
      <c r="B158" s="5" t="s">
        <v>381</v>
      </c>
      <c r="C158" s="3" t="s">
        <v>311</v>
      </c>
      <c r="D158" s="278">
        <f>'101 &amp; 106 By County'!H93</f>
        <v>43265777.049999997</v>
      </c>
    </row>
    <row r="159" spans="1:11">
      <c r="A159" s="3" t="s">
        <v>373</v>
      </c>
      <c r="B159" s="5" t="s">
        <v>383</v>
      </c>
      <c r="C159" s="3" t="s">
        <v>363</v>
      </c>
      <c r="D159" s="278">
        <f>'101 &amp; 106 By County'!H94</f>
        <v>442897.07</v>
      </c>
    </row>
    <row r="160" spans="1:11">
      <c r="A160" s="3" t="s">
        <v>373</v>
      </c>
      <c r="B160" s="5" t="s">
        <v>384</v>
      </c>
      <c r="C160" s="3" t="s">
        <v>314</v>
      </c>
      <c r="D160" s="278">
        <f>'101 &amp; 106 By County'!H95</f>
        <v>322631.99</v>
      </c>
    </row>
    <row r="161" spans="1:11">
      <c r="A161" s="3" t="s">
        <v>373</v>
      </c>
      <c r="B161" s="5" t="s">
        <v>385</v>
      </c>
      <c r="C161" s="3" t="s">
        <v>370</v>
      </c>
      <c r="D161" s="278">
        <f>'101 &amp; 106 By County'!H96-68</f>
        <v>22835041.120000001</v>
      </c>
    </row>
    <row r="162" spans="1:11">
      <c r="A162" s="3" t="s">
        <v>373</v>
      </c>
      <c r="B162" s="5">
        <v>38100</v>
      </c>
      <c r="C162" s="3" t="s">
        <v>216</v>
      </c>
      <c r="D162" s="278">
        <f>'101 &amp; 106 By County'!H97</f>
        <v>5152381.1926172124</v>
      </c>
    </row>
    <row r="163" spans="1:11">
      <c r="A163" s="3" t="s">
        <v>373</v>
      </c>
      <c r="B163" s="5" t="s">
        <v>387</v>
      </c>
      <c r="C163" s="3" t="s">
        <v>217</v>
      </c>
      <c r="D163" s="278">
        <f>'101 &amp; 106 By County'!H98</f>
        <v>2848410.7</v>
      </c>
    </row>
    <row r="164" spans="1:11">
      <c r="A164" s="3" t="s">
        <v>373</v>
      </c>
      <c r="B164" s="5" t="s">
        <v>389</v>
      </c>
      <c r="C164" s="3" t="s">
        <v>218</v>
      </c>
      <c r="D164" s="278">
        <f>'101 &amp; 106 By County'!H99</f>
        <v>1004093.78</v>
      </c>
    </row>
    <row r="165" spans="1:11">
      <c r="A165" s="3" t="s">
        <v>373</v>
      </c>
      <c r="B165" s="5" t="s">
        <v>391</v>
      </c>
      <c r="C165" s="3" t="s">
        <v>317</v>
      </c>
      <c r="D165" s="278">
        <f>'101 &amp; 106 By County'!H100</f>
        <v>1188917.31</v>
      </c>
    </row>
    <row r="166" spans="1:11">
      <c r="A166" s="3" t="s">
        <v>373</v>
      </c>
      <c r="B166" s="5" t="s">
        <v>393</v>
      </c>
      <c r="C166" s="3" t="s">
        <v>318</v>
      </c>
      <c r="D166" s="278">
        <f>'101 &amp; 106 By County'!H101</f>
        <v>330016.39</v>
      </c>
    </row>
    <row r="167" spans="1:11">
      <c r="A167" s="3" t="s">
        <v>373</v>
      </c>
      <c r="B167" s="5" t="s">
        <v>394</v>
      </c>
      <c r="C167" s="3" t="s">
        <v>319</v>
      </c>
      <c r="D167" s="278">
        <f>'101 &amp; 106 By County'!H102</f>
        <v>285238.61</v>
      </c>
    </row>
    <row r="168" spans="1:11">
      <c r="A168" s="3" t="s">
        <v>373</v>
      </c>
      <c r="B168" s="5" t="s">
        <v>396</v>
      </c>
      <c r="C168" s="3" t="s">
        <v>397</v>
      </c>
      <c r="D168" s="278">
        <f>'101 &amp; 106 By County'!H103</f>
        <v>1236333.79</v>
      </c>
    </row>
    <row r="169" spans="1:11">
      <c r="A169" s="3" t="s">
        <v>373</v>
      </c>
      <c r="B169" s="5" t="s">
        <v>451</v>
      </c>
      <c r="C169" s="3" t="s">
        <v>452</v>
      </c>
      <c r="D169" s="278">
        <f>'101 &amp; 106 By County'!H104</f>
        <v>0</v>
      </c>
    </row>
    <row r="170" spans="1:11">
      <c r="A170" s="3" t="s">
        <v>373</v>
      </c>
      <c r="B170" s="5" t="s">
        <v>399</v>
      </c>
      <c r="C170" s="3" t="s">
        <v>400</v>
      </c>
      <c r="D170" s="278">
        <f>'101 &amp; 106 By County'!H105</f>
        <v>598218.88</v>
      </c>
    </row>
    <row r="171" spans="1:11">
      <c r="A171" s="3" t="s">
        <v>373</v>
      </c>
      <c r="B171" s="5" t="s">
        <v>455</v>
      </c>
      <c r="C171" s="3" t="s">
        <v>225</v>
      </c>
      <c r="D171" s="278">
        <f>'101 &amp; 106 By County'!H106</f>
        <v>16833.22</v>
      </c>
    </row>
    <row r="172" spans="1:11">
      <c r="A172" s="3" t="s">
        <v>373</v>
      </c>
      <c r="B172" s="5" t="s">
        <v>402</v>
      </c>
      <c r="C172" s="3" t="s">
        <v>403</v>
      </c>
      <c r="D172" s="278">
        <f>'101 &amp; 106 By County'!H107</f>
        <v>478971.97</v>
      </c>
    </row>
    <row r="173" spans="1:11">
      <c r="A173" s="3" t="s">
        <v>373</v>
      </c>
      <c r="B173" s="5" t="s">
        <v>405</v>
      </c>
      <c r="C173" s="3" t="s">
        <v>227</v>
      </c>
      <c r="D173" s="278">
        <f>'101 &amp; 106 By County'!H108</f>
        <v>797938.06</v>
      </c>
    </row>
    <row r="174" spans="1:11">
      <c r="A174" s="3" t="s">
        <v>373</v>
      </c>
      <c r="B174" s="5" t="s">
        <v>407</v>
      </c>
      <c r="C174" s="3" t="s">
        <v>408</v>
      </c>
      <c r="D174" s="278">
        <f>'101 &amp; 106 By County'!H109</f>
        <v>71037.55</v>
      </c>
    </row>
    <row r="175" spans="1:11">
      <c r="A175" s="3" t="s">
        <v>373</v>
      </c>
      <c r="C175" s="3" t="s">
        <v>241</v>
      </c>
      <c r="D175" s="278">
        <f>'Alloc. Factors'!F17</f>
        <v>404936</v>
      </c>
    </row>
    <row r="176" spans="1:11" ht="16.5" thickBot="1">
      <c r="C176" s="48" t="s">
        <v>1070</v>
      </c>
      <c r="D176" s="338">
        <f>SUM(D158:D175)</f>
        <v>81279674.682617217</v>
      </c>
      <c r="E176" s="336">
        <f>SUM(D161:D167)</f>
        <v>33644099.102617212</v>
      </c>
      <c r="K176" s="3" t="s">
        <v>1178</v>
      </c>
    </row>
    <row r="177" spans="2:4" ht="16.5" thickTop="1">
      <c r="C177" s="48"/>
      <c r="D177" s="337"/>
    </row>
    <row r="178" spans="2:4">
      <c r="B178" s="5" t="s">
        <v>1111</v>
      </c>
      <c r="C178" s="5" t="s">
        <v>1111</v>
      </c>
      <c r="D178" s="383">
        <f>SUM(D158:D160)</f>
        <v>44031306.109999999</v>
      </c>
    </row>
    <row r="179" spans="2:4">
      <c r="B179" s="5" t="s">
        <v>733</v>
      </c>
      <c r="C179" s="3" t="s">
        <v>1142</v>
      </c>
      <c r="D179" s="337">
        <f>($D$176-$D$178)*(Bills!F85)</f>
        <v>317327.89880208921</v>
      </c>
    </row>
    <row r="180" spans="2:4">
      <c r="B180" s="5" t="s">
        <v>735</v>
      </c>
      <c r="C180" s="3" t="s">
        <v>1142</v>
      </c>
      <c r="D180" s="337">
        <f>($D$176-$D$178)*(Bills!F86)</f>
        <v>197558.22493515283</v>
      </c>
    </row>
    <row r="181" spans="2:4">
      <c r="B181" s="5" t="s">
        <v>737</v>
      </c>
      <c r="C181" s="3" t="s">
        <v>1142</v>
      </c>
      <c r="D181" s="337">
        <f>($D$176-$D$178)*(Bills!F87)</f>
        <v>889012.01220818772</v>
      </c>
    </row>
    <row r="182" spans="2:4">
      <c r="B182" s="5" t="s">
        <v>739</v>
      </c>
      <c r="C182" s="3" t="s">
        <v>1142</v>
      </c>
      <c r="D182" s="337">
        <f>($D$176-$D$178)*(Bills!F88)</f>
        <v>313623.6820845551</v>
      </c>
    </row>
    <row r="183" spans="2:4">
      <c r="B183" s="5" t="s">
        <v>306</v>
      </c>
      <c r="C183" s="3" t="s">
        <v>1142</v>
      </c>
      <c r="D183" s="337">
        <f>($D$176-$D$178)*(Bills!F89)</f>
        <v>108657.02371433403</v>
      </c>
    </row>
    <row r="184" spans="2:4">
      <c r="B184" s="5" t="s">
        <v>742</v>
      </c>
      <c r="C184" s="3" t="s">
        <v>1142</v>
      </c>
      <c r="D184" s="337">
        <f>($D$176-$D$178)*(Bills!F90)</f>
        <v>69145.378727303483</v>
      </c>
    </row>
    <row r="185" spans="2:4">
      <c r="B185" s="5" t="s">
        <v>744</v>
      </c>
      <c r="C185" s="3" t="s">
        <v>1142</v>
      </c>
      <c r="D185" s="337">
        <f>($D$176-$D$178)*(Bills!F91)</f>
        <v>234600.39211049394</v>
      </c>
    </row>
    <row r="186" spans="2:4">
      <c r="B186" s="5" t="s">
        <v>746</v>
      </c>
      <c r="C186" s="3" t="s">
        <v>1142</v>
      </c>
      <c r="D186" s="337">
        <f>($D$176-$D$178)*(Bills!F92)</f>
        <v>32103.211551962329</v>
      </c>
    </row>
    <row r="187" spans="2:4">
      <c r="B187" s="5" t="s">
        <v>748</v>
      </c>
      <c r="C187" s="3" t="s">
        <v>1142</v>
      </c>
      <c r="D187" s="337">
        <f>($D$176-$D$178)*(Bills!F93)</f>
        <v>39511.644987030566</v>
      </c>
    </row>
    <row r="188" spans="2:4">
      <c r="B188" s="5" t="s">
        <v>748</v>
      </c>
      <c r="C188" s="3" t="s">
        <v>1142</v>
      </c>
      <c r="D188" s="337">
        <f>($D$176-$D$178)*(Bills!F94)</f>
        <v>10253271.874134433</v>
      </c>
    </row>
    <row r="189" spans="2:4">
      <c r="B189" s="5" t="s">
        <v>751</v>
      </c>
      <c r="C189" s="3" t="s">
        <v>1142</v>
      </c>
      <c r="D189" s="337">
        <f>($D$176-$D$178)*(Bills!F95)</f>
        <v>2475651.5062186336</v>
      </c>
    </row>
    <row r="190" spans="2:4">
      <c r="B190" s="5" t="s">
        <v>753</v>
      </c>
      <c r="C190" s="3" t="s">
        <v>1142</v>
      </c>
      <c r="D190" s="337">
        <f>($D$176-$D$178)*(Bills!F96)</f>
        <v>16888758.754143875</v>
      </c>
    </row>
    <row r="191" spans="2:4">
      <c r="B191" s="5" t="s">
        <v>755</v>
      </c>
      <c r="C191" s="3" t="s">
        <v>1142</v>
      </c>
      <c r="D191" s="337">
        <f>($D$176-$D$178)*(Bills!F97)</f>
        <v>661820.05353276199</v>
      </c>
    </row>
    <row r="192" spans="2:4">
      <c r="B192" s="5" t="s">
        <v>757</v>
      </c>
      <c r="C192" s="3" t="s">
        <v>1142</v>
      </c>
      <c r="D192" s="337">
        <f>($D$176-$D$178)*(Bills!F98)</f>
        <v>397585.92768199503</v>
      </c>
    </row>
    <row r="193" spans="1:4">
      <c r="B193" s="5" t="s">
        <v>759</v>
      </c>
      <c r="C193" s="3" t="s">
        <v>1142</v>
      </c>
      <c r="D193" s="337">
        <f>($D$176-$D$178)*(Bills!F99)</f>
        <v>1753329.2462994813</v>
      </c>
    </row>
    <row r="194" spans="1:4">
      <c r="B194" s="5" t="s">
        <v>761</v>
      </c>
      <c r="C194" s="3" t="s">
        <v>1142</v>
      </c>
      <c r="D194" s="337">
        <f>($D$176-$D$178)*(Bills!F100)</f>
        <v>1454522.4310850624</v>
      </c>
    </row>
    <row r="195" spans="1:4">
      <c r="B195" s="5" t="s">
        <v>763</v>
      </c>
      <c r="C195" s="3" t="s">
        <v>1142</v>
      </c>
      <c r="D195" s="337">
        <f>($D$176-$D$178)*(Bills!F101)</f>
        <v>260529.90913323278</v>
      </c>
    </row>
    <row r="196" spans="1:4">
      <c r="B196" s="5" t="s">
        <v>765</v>
      </c>
      <c r="C196" s="3" t="s">
        <v>1142</v>
      </c>
      <c r="D196" s="337">
        <f>($D$176-$D$178)*(Bills!F102)</f>
        <v>901359.4012666347</v>
      </c>
    </row>
    <row r="197" spans="1:4">
      <c r="B197" s="5" t="s">
        <v>767</v>
      </c>
      <c r="C197" s="48"/>
      <c r="D197" s="338">
        <f>SUM(D178:D196)</f>
        <v>81279674.682617202</v>
      </c>
    </row>
    <row r="198" spans="1:4">
      <c r="C198" s="48"/>
      <c r="D198" s="337"/>
    </row>
    <row r="199" spans="1:4">
      <c r="A199" s="3" t="s">
        <v>382</v>
      </c>
      <c r="B199" s="5" t="s">
        <v>381</v>
      </c>
      <c r="C199" s="3" t="s">
        <v>311</v>
      </c>
      <c r="D199" s="278">
        <f>'101 &amp; 106 By County'!H111</f>
        <v>87394838.689999998</v>
      </c>
    </row>
    <row r="200" spans="1:4">
      <c r="A200" s="3" t="s">
        <v>382</v>
      </c>
      <c r="B200" s="5" t="s">
        <v>383</v>
      </c>
      <c r="C200" s="3" t="s">
        <v>363</v>
      </c>
      <c r="D200" s="278">
        <f>'101 &amp; 106 By County'!H112</f>
        <v>3392816.07</v>
      </c>
    </row>
    <row r="201" spans="1:4">
      <c r="A201" s="3" t="s">
        <v>382</v>
      </c>
      <c r="B201" s="5" t="s">
        <v>384</v>
      </c>
      <c r="C201" s="3" t="s">
        <v>314</v>
      </c>
      <c r="D201" s="278">
        <f>'101 &amp; 106 By County'!H113</f>
        <v>1464980.06</v>
      </c>
    </row>
    <row r="202" spans="1:4">
      <c r="A202" s="3" t="s">
        <v>382</v>
      </c>
      <c r="B202" s="5" t="s">
        <v>385</v>
      </c>
      <c r="C202" s="3" t="s">
        <v>370</v>
      </c>
      <c r="D202" s="278">
        <f>'101 &amp; 106 By County'!H114-66</f>
        <v>21705536.274940006</v>
      </c>
    </row>
    <row r="203" spans="1:4">
      <c r="A203" s="3" t="s">
        <v>382</v>
      </c>
      <c r="B203" s="5">
        <v>38100</v>
      </c>
      <c r="C203" s="3" t="s">
        <v>216</v>
      </c>
      <c r="D203" s="278">
        <f>'101 &amp; 106 By County'!H115</f>
        <v>2779693.1716725277</v>
      </c>
    </row>
    <row r="204" spans="1:4">
      <c r="A204" s="3" t="s">
        <v>382</v>
      </c>
      <c r="B204" s="5" t="s">
        <v>387</v>
      </c>
      <c r="C204" s="3" t="s">
        <v>217</v>
      </c>
      <c r="D204" s="278">
        <f>'101 &amp; 106 By County'!H116</f>
        <v>2793700.6157010631</v>
      </c>
    </row>
    <row r="205" spans="1:4">
      <c r="A205" s="3" t="s">
        <v>382</v>
      </c>
      <c r="B205" s="5" t="s">
        <v>389</v>
      </c>
      <c r="C205" s="3" t="s">
        <v>218</v>
      </c>
      <c r="D205" s="278">
        <f>'101 &amp; 106 By County'!H117</f>
        <v>1504268.0975317108</v>
      </c>
    </row>
    <row r="206" spans="1:4">
      <c r="A206" s="3" t="s">
        <v>382</v>
      </c>
      <c r="B206" s="5" t="s">
        <v>391</v>
      </c>
      <c r="C206" s="3" t="s">
        <v>317</v>
      </c>
      <c r="D206" s="278">
        <f>'101 &amp; 106 By County'!H118</f>
        <v>1199008.1909496058</v>
      </c>
    </row>
    <row r="207" spans="1:4">
      <c r="A207" s="3" t="s">
        <v>382</v>
      </c>
      <c r="B207" s="5" t="s">
        <v>393</v>
      </c>
      <c r="C207" s="3" t="s">
        <v>318</v>
      </c>
      <c r="D207" s="278">
        <f>'101 &amp; 106 By County'!H119</f>
        <v>2220480.3064792599</v>
      </c>
    </row>
    <row r="208" spans="1:4">
      <c r="A208" s="3" t="s">
        <v>382</v>
      </c>
      <c r="B208" s="5" t="s">
        <v>394</v>
      </c>
      <c r="C208" s="3" t="s">
        <v>319</v>
      </c>
      <c r="D208" s="278">
        <f>'101 &amp; 106 By County'!H120</f>
        <v>281359.79130956467</v>
      </c>
    </row>
    <row r="209" spans="1:11">
      <c r="A209" s="3" t="s">
        <v>382</v>
      </c>
      <c r="B209" s="5" t="s">
        <v>396</v>
      </c>
      <c r="C209" s="3" t="s">
        <v>397</v>
      </c>
      <c r="D209" s="278">
        <f>'101 &amp; 106 By County'!H121</f>
        <v>400700.39</v>
      </c>
    </row>
    <row r="210" spans="1:11">
      <c r="A210" s="3" t="s">
        <v>382</v>
      </c>
      <c r="B210" s="5" t="s">
        <v>399</v>
      </c>
      <c r="C210" s="3" t="s">
        <v>400</v>
      </c>
      <c r="D210" s="278">
        <f>'101 &amp; 106 By County'!H122</f>
        <v>391723.54</v>
      </c>
    </row>
    <row r="211" spans="1:11">
      <c r="A211" s="3" t="s">
        <v>382</v>
      </c>
      <c r="B211" s="5" t="s">
        <v>402</v>
      </c>
      <c r="C211" s="3" t="s">
        <v>403</v>
      </c>
      <c r="D211" s="278">
        <f>'101 &amp; 106 By County'!H123</f>
        <v>235746.45</v>
      </c>
    </row>
    <row r="212" spans="1:11">
      <c r="A212" s="3" t="s">
        <v>382</v>
      </c>
      <c r="B212" s="5" t="s">
        <v>405</v>
      </c>
      <c r="C212" s="3" t="s">
        <v>227</v>
      </c>
      <c r="D212" s="278">
        <f>'101 &amp; 106 By County'!H124</f>
        <v>305990.21000000002</v>
      </c>
    </row>
    <row r="213" spans="1:11">
      <c r="A213" s="3" t="s">
        <v>382</v>
      </c>
      <c r="B213" s="5" t="s">
        <v>407</v>
      </c>
      <c r="C213" s="3" t="s">
        <v>408</v>
      </c>
      <c r="D213" s="278">
        <f>'101 &amp; 106 By County'!H125</f>
        <v>9699.66</v>
      </c>
    </row>
    <row r="214" spans="1:11">
      <c r="A214" s="3" t="s">
        <v>382</v>
      </c>
      <c r="C214" s="3" t="s">
        <v>241</v>
      </c>
      <c r="D214" s="278">
        <f>'Alloc. Factors'!F18</f>
        <v>374171</v>
      </c>
    </row>
    <row r="215" spans="1:11" ht="16.5" thickBot="1">
      <c r="C215" s="48" t="s">
        <v>1071</v>
      </c>
      <c r="D215" s="338">
        <f>SUM(D199:D214)</f>
        <v>126454712.51858373</v>
      </c>
      <c r="E215" s="336">
        <f>SUM(D202:D208)</f>
        <v>32484046.448583737</v>
      </c>
      <c r="K215" s="3" t="s">
        <v>1178</v>
      </c>
    </row>
    <row r="216" spans="1:11" ht="16.5" thickTop="1">
      <c r="C216" s="48"/>
      <c r="D216" s="337"/>
    </row>
    <row r="217" spans="1:11">
      <c r="B217" s="5" t="s">
        <v>1111</v>
      </c>
      <c r="C217" s="5" t="s">
        <v>1111</v>
      </c>
      <c r="D217" s="337">
        <f>SUM(D199:D201)</f>
        <v>92252634.819999993</v>
      </c>
    </row>
    <row r="218" spans="1:11">
      <c r="B218" s="5" t="s">
        <v>306</v>
      </c>
      <c r="C218" s="3" t="s">
        <v>1142</v>
      </c>
      <c r="D218" s="337">
        <f>($D$215-$D$217)*(Bills!F210)</f>
        <v>6621858.4840698829</v>
      </c>
    </row>
    <row r="219" spans="1:11">
      <c r="B219" s="5" t="s">
        <v>943</v>
      </c>
      <c r="C219" s="3" t="s">
        <v>1142</v>
      </c>
      <c r="D219" s="337">
        <f>($D$215-$D$217)*(Bills!F211)</f>
        <v>27365865.179167889</v>
      </c>
    </row>
    <row r="220" spans="1:11">
      <c r="B220" s="5" t="s">
        <v>945</v>
      </c>
      <c r="C220" s="3" t="s">
        <v>1142</v>
      </c>
      <c r="D220" s="337">
        <f>($D$215-$D$217)*(Bills!F212)</f>
        <v>39928.692858561662</v>
      </c>
    </row>
    <row r="221" spans="1:11">
      <c r="B221" s="5" t="s">
        <v>947</v>
      </c>
      <c r="C221" s="3" t="s">
        <v>1142</v>
      </c>
      <c r="D221" s="337">
        <f>($D$215-$D$217)*(Bills!F213)</f>
        <v>170222.32218649972</v>
      </c>
    </row>
    <row r="222" spans="1:11">
      <c r="B222" s="5" t="s">
        <v>1119</v>
      </c>
      <c r="C222" s="3" t="s">
        <v>1142</v>
      </c>
      <c r="D222" s="337">
        <f>($D$215-$D$217)*(Bills!F214)</f>
        <v>4203.0203009012275</v>
      </c>
    </row>
    <row r="223" spans="1:11">
      <c r="B223" s="5" t="s">
        <v>949</v>
      </c>
      <c r="C223" s="48"/>
      <c r="D223" s="338">
        <f>SUM(D217:D222)</f>
        <v>126454712.51858373</v>
      </c>
      <c r="F223" s="277">
        <f>D223-D215</f>
        <v>0</v>
      </c>
    </row>
    <row r="224" spans="1:11">
      <c r="C224" s="48"/>
      <c r="D224" s="337"/>
    </row>
    <row r="225" spans="1:5">
      <c r="A225" s="3" t="s">
        <v>412</v>
      </c>
      <c r="B225" s="5" t="s">
        <v>381</v>
      </c>
      <c r="C225" s="3" t="s">
        <v>311</v>
      </c>
      <c r="D225" s="278">
        <f>'101 &amp; 106 By County'!H127</f>
        <v>5636293.9500000002</v>
      </c>
    </row>
    <row r="226" spans="1:5">
      <c r="A226" s="3" t="s">
        <v>412</v>
      </c>
      <c r="B226" s="5" t="s">
        <v>383</v>
      </c>
      <c r="C226" s="3" t="s">
        <v>363</v>
      </c>
      <c r="D226" s="278">
        <f>'101 &amp; 106 By County'!H128</f>
        <v>50914.3</v>
      </c>
    </row>
    <row r="227" spans="1:5">
      <c r="A227" s="3" t="s">
        <v>412</v>
      </c>
      <c r="B227" s="5" t="s">
        <v>385</v>
      </c>
      <c r="C227" s="3" t="s">
        <v>370</v>
      </c>
      <c r="D227" s="278">
        <f>'101 &amp; 106 By County'!H129</f>
        <v>5765.0082160001621</v>
      </c>
    </row>
    <row r="228" spans="1:5">
      <c r="A228" s="3" t="s">
        <v>412</v>
      </c>
      <c r="B228" s="5">
        <v>38100</v>
      </c>
      <c r="C228" s="3" t="s">
        <v>216</v>
      </c>
      <c r="D228" s="278">
        <f>'101 &amp; 106 By County'!H130</f>
        <v>32792.693638164375</v>
      </c>
    </row>
    <row r="229" spans="1:5">
      <c r="A229" s="3" t="s">
        <v>412</v>
      </c>
      <c r="B229" s="5" t="s">
        <v>387</v>
      </c>
      <c r="C229" s="3" t="s">
        <v>217</v>
      </c>
      <c r="D229" s="278">
        <f>'101 &amp; 106 By County'!H131</f>
        <v>677.75540799996816</v>
      </c>
    </row>
    <row r="230" spans="1:5">
      <c r="A230" s="3" t="s">
        <v>412</v>
      </c>
      <c r="B230" s="5" t="s">
        <v>389</v>
      </c>
      <c r="C230" s="3" t="s">
        <v>218</v>
      </c>
      <c r="D230" s="278">
        <f>'101 &amp; 106 By County'!H132</f>
        <v>245.76486400002614</v>
      </c>
    </row>
    <row r="231" spans="1:5">
      <c r="A231" s="3" t="s">
        <v>412</v>
      </c>
      <c r="B231" s="5" t="s">
        <v>391</v>
      </c>
      <c r="C231" s="3" t="s">
        <v>317</v>
      </c>
      <c r="D231" s="278">
        <f>'101 &amp; 106 By County'!H133</f>
        <v>268.28717600001255</v>
      </c>
    </row>
    <row r="232" spans="1:5">
      <c r="A232" s="3" t="s">
        <v>412</v>
      </c>
      <c r="B232" s="5" t="s">
        <v>393</v>
      </c>
      <c r="C232" s="3" t="s">
        <v>318</v>
      </c>
      <c r="D232" s="278">
        <f>'101 &amp; 106 By County'!H134</f>
        <v>71.290368000001763</v>
      </c>
    </row>
    <row r="233" spans="1:5">
      <c r="A233" s="3" t="s">
        <v>412</v>
      </c>
      <c r="B233" s="5" t="s">
        <v>394</v>
      </c>
      <c r="C233" s="3" t="s">
        <v>319</v>
      </c>
      <c r="D233" s="278">
        <f>'101 &amp; 106 By County'!H135</f>
        <v>95.144591999996919</v>
      </c>
    </row>
    <row r="234" spans="1:5" ht="16.5" thickBot="1">
      <c r="C234" s="48" t="s">
        <v>1072</v>
      </c>
      <c r="D234" s="336">
        <f>SUM(D225:D233)</f>
        <v>5727124.1942621656</v>
      </c>
      <c r="E234" s="336">
        <f>SUM(D227:D233)</f>
        <v>39915.944262164543</v>
      </c>
    </row>
    <row r="235" spans="1:5" ht="16.5" thickTop="1">
      <c r="C235" s="48"/>
      <c r="D235" s="337"/>
    </row>
    <row r="236" spans="1:5">
      <c r="B236" s="5" t="s">
        <v>1111</v>
      </c>
      <c r="C236" s="5" t="s">
        <v>1111</v>
      </c>
      <c r="D236" s="337">
        <f>D225+D226</f>
        <v>5687208.25</v>
      </c>
    </row>
    <row r="237" spans="1:5">
      <c r="B237" s="5" t="s">
        <v>306</v>
      </c>
      <c r="C237" s="3" t="s">
        <v>1142</v>
      </c>
      <c r="D237" s="337">
        <f>($D$234-$D$236)*(Bills!F260)</f>
        <v>1039.477715160562</v>
      </c>
    </row>
    <row r="238" spans="1:5">
      <c r="B238" s="5" t="s">
        <v>1116</v>
      </c>
      <c r="C238" s="3" t="s">
        <v>1142</v>
      </c>
      <c r="D238" s="337">
        <f>($D$234-$D$236)*(Bills!F261)</f>
        <v>1039.477715160562</v>
      </c>
    </row>
    <row r="239" spans="1:5">
      <c r="B239" s="5" t="s">
        <v>997</v>
      </c>
      <c r="C239" s="3" t="s">
        <v>1142</v>
      </c>
      <c r="D239" s="337">
        <f>($D$234-$D$236)*(Bills!F262)</f>
        <v>7068.4484630918214</v>
      </c>
    </row>
    <row r="240" spans="1:5">
      <c r="B240" s="5" t="s">
        <v>998</v>
      </c>
      <c r="C240" s="3" t="s">
        <v>1142</v>
      </c>
      <c r="D240" s="337">
        <f>($D$234-$D$236)*(Bills!F263)</f>
        <v>30768.540368752634</v>
      </c>
    </row>
    <row r="241" spans="1:11" ht="16.5" thickBot="1">
      <c r="B241" s="5" t="s">
        <v>999</v>
      </c>
      <c r="C241" s="48"/>
      <c r="D241" s="336">
        <f>SUM(D236:D240)</f>
        <v>5727124.1942621656</v>
      </c>
    </row>
    <row r="242" spans="1:11" ht="16.5" thickTop="1">
      <c r="C242" s="48"/>
      <c r="D242" s="337"/>
    </row>
    <row r="243" spans="1:11">
      <c r="A243" s="3" t="s">
        <v>415</v>
      </c>
      <c r="B243" s="5" t="s">
        <v>381</v>
      </c>
      <c r="C243" s="3" t="s">
        <v>311</v>
      </c>
      <c r="D243" s="278">
        <f>'101 &amp; 106 By County'!H137</f>
        <v>238051.89</v>
      </c>
    </row>
    <row r="244" spans="1:11">
      <c r="A244" s="3" t="s">
        <v>415</v>
      </c>
      <c r="B244" s="5" t="s">
        <v>384</v>
      </c>
      <c r="C244" s="3" t="s">
        <v>314</v>
      </c>
      <c r="D244" s="278">
        <f>'101 &amp; 106 By County'!H138</f>
        <v>796736.06</v>
      </c>
    </row>
    <row r="245" spans="1:11">
      <c r="A245" s="3" t="s">
        <v>415</v>
      </c>
      <c r="B245" s="5">
        <v>38100</v>
      </c>
      <c r="C245" s="3" t="s">
        <v>216</v>
      </c>
      <c r="D245" s="278">
        <f>Meters!E27-1</f>
        <v>169.79527936543948</v>
      </c>
    </row>
    <row r="246" spans="1:11" ht="16.5" thickBot="1">
      <c r="A246" s="48"/>
      <c r="C246" s="48" t="s">
        <v>1073</v>
      </c>
      <c r="D246" s="336">
        <f>SUM(D243:D245)</f>
        <v>1034957.7452793655</v>
      </c>
      <c r="E246" s="336">
        <f>D245</f>
        <v>169.79527936543948</v>
      </c>
      <c r="K246" s="3" t="s">
        <v>1178</v>
      </c>
    </row>
    <row r="247" spans="1:11" ht="16.5" thickTop="1">
      <c r="A247" s="48"/>
      <c r="C247" s="48"/>
      <c r="D247" s="337"/>
      <c r="E247" s="337"/>
    </row>
    <row r="248" spans="1:11" ht="16.5" thickBot="1">
      <c r="A248" s="3" t="s">
        <v>1164</v>
      </c>
      <c r="B248" s="5" t="s">
        <v>381</v>
      </c>
      <c r="C248" s="3" t="s">
        <v>311</v>
      </c>
      <c r="D248" s="336">
        <f>'101 &amp; 106 By County'!H142</f>
        <v>705003.66</v>
      </c>
      <c r="E248" s="337"/>
    </row>
    <row r="249" spans="1:11" ht="16.5" thickTop="1">
      <c r="A249" s="48"/>
      <c r="C249" s="48"/>
      <c r="D249" s="337"/>
      <c r="E249" s="337"/>
    </row>
    <row r="250" spans="1:11">
      <c r="A250" s="3" t="s">
        <v>419</v>
      </c>
      <c r="B250" s="5" t="s">
        <v>381</v>
      </c>
      <c r="C250" s="3" t="s">
        <v>311</v>
      </c>
      <c r="D250" s="278">
        <f>'101 &amp; 106 By County'!H144</f>
        <v>6584165.3300000001</v>
      </c>
    </row>
    <row r="251" spans="1:11">
      <c r="A251" s="3" t="s">
        <v>419</v>
      </c>
      <c r="B251" s="5" t="s">
        <v>383</v>
      </c>
      <c r="C251" s="3" t="s">
        <v>363</v>
      </c>
      <c r="D251" s="278">
        <f>'101 &amp; 106 By County'!H145</f>
        <v>50344.3</v>
      </c>
    </row>
    <row r="252" spans="1:11">
      <c r="A252" s="3" t="s">
        <v>419</v>
      </c>
      <c r="B252" s="5">
        <v>37900</v>
      </c>
      <c r="C252" s="3" t="s">
        <v>314</v>
      </c>
      <c r="D252" s="278">
        <f>'101 &amp; 106 By County'!H146</f>
        <v>515205.6</v>
      </c>
    </row>
    <row r="253" spans="1:11">
      <c r="A253" s="3" t="s">
        <v>419</v>
      </c>
      <c r="B253" s="5">
        <v>38000</v>
      </c>
      <c r="C253" s="3" t="s">
        <v>370</v>
      </c>
      <c r="D253" s="278">
        <f>'101 &amp; 106 By County'!H147-2</f>
        <v>596631.29048493423</v>
      </c>
    </row>
    <row r="254" spans="1:11">
      <c r="A254" s="3" t="s">
        <v>419</v>
      </c>
      <c r="B254" s="5">
        <v>38100</v>
      </c>
      <c r="C254" s="3" t="s">
        <v>216</v>
      </c>
      <c r="D254" s="278">
        <f>'101 &amp; 106 By County'!H148</f>
        <v>177627.09054005708</v>
      </c>
      <c r="E254" s="3" t="s">
        <v>216</v>
      </c>
    </row>
    <row r="255" spans="1:11">
      <c r="A255" s="3" t="s">
        <v>419</v>
      </c>
      <c r="B255" s="5">
        <v>38200</v>
      </c>
      <c r="C255" s="3" t="s">
        <v>217</v>
      </c>
      <c r="D255" s="278">
        <f>'101 &amp; 106 By County'!H149</f>
        <v>84068.877565395378</v>
      </c>
      <c r="E255" s="3" t="s">
        <v>217</v>
      </c>
    </row>
    <row r="256" spans="1:11">
      <c r="A256" s="3" t="s">
        <v>419</v>
      </c>
      <c r="B256" s="5">
        <v>38300</v>
      </c>
      <c r="C256" s="3" t="s">
        <v>218</v>
      </c>
      <c r="D256" s="278">
        <f>'101 &amp; 106 By County'!H150</f>
        <v>32981.794142259416</v>
      </c>
      <c r="E256" s="3" t="s">
        <v>218</v>
      </c>
    </row>
    <row r="257" spans="1:11">
      <c r="A257" s="3" t="s">
        <v>419</v>
      </c>
      <c r="B257" s="5">
        <v>38400</v>
      </c>
      <c r="C257" s="3" t="s">
        <v>317</v>
      </c>
      <c r="D257" s="278">
        <f>'101 &amp; 106 By County'!H151</f>
        <v>28118.363324403239</v>
      </c>
      <c r="E257" s="3" t="s">
        <v>317</v>
      </c>
    </row>
    <row r="258" spans="1:11">
      <c r="A258" s="3" t="s">
        <v>419</v>
      </c>
      <c r="B258" s="5">
        <v>38500</v>
      </c>
      <c r="C258" s="3" t="s">
        <v>318</v>
      </c>
      <c r="D258" s="278">
        <f>'101 &amp; 106 By County'!H152</f>
        <v>22352.632250684808</v>
      </c>
      <c r="E258" s="3" t="s">
        <v>318</v>
      </c>
    </row>
    <row r="259" spans="1:11">
      <c r="A259" s="3" t="s">
        <v>419</v>
      </c>
      <c r="B259" s="5">
        <v>38700</v>
      </c>
      <c r="C259" s="3" t="s">
        <v>319</v>
      </c>
      <c r="D259" s="278">
        <f>'101 &amp; 106 By County'!H153</f>
        <v>6713.4333824990208</v>
      </c>
      <c r="E259" s="3" t="s">
        <v>319</v>
      </c>
    </row>
    <row r="260" spans="1:11">
      <c r="A260" s="3" t="s">
        <v>419</v>
      </c>
      <c r="B260" s="5" t="s">
        <v>1074</v>
      </c>
      <c r="C260" s="3" t="s">
        <v>1075</v>
      </c>
      <c r="D260" s="278">
        <f>'101 &amp; 106 By County'!H154</f>
        <v>0</v>
      </c>
    </row>
    <row r="261" spans="1:11">
      <c r="A261" s="3" t="s">
        <v>419</v>
      </c>
      <c r="B261" s="5" t="s">
        <v>399</v>
      </c>
      <c r="C261" s="3" t="s">
        <v>400</v>
      </c>
      <c r="D261" s="278">
        <f>'101 &amp; 106 By County'!H155</f>
        <v>1925.04</v>
      </c>
    </row>
    <row r="262" spans="1:11" ht="16.5" thickBot="1">
      <c r="C262" s="48" t="s">
        <v>1076</v>
      </c>
      <c r="D262" s="336">
        <f>SUM(D250:D261)</f>
        <v>8100133.7516902322</v>
      </c>
      <c r="E262" s="336">
        <f>SUM(D253:D259)</f>
        <v>948493.48169023311</v>
      </c>
      <c r="K262" s="3" t="s">
        <v>1178</v>
      </c>
    </row>
    <row r="263" spans="1:11" ht="16.5" thickTop="1">
      <c r="C263" s="48"/>
      <c r="D263" s="337"/>
    </row>
    <row r="264" spans="1:11">
      <c r="B264" s="5" t="s">
        <v>1111</v>
      </c>
      <c r="C264" s="5" t="s">
        <v>1111</v>
      </c>
      <c r="D264" s="337">
        <f>SUM(D250:D251)</f>
        <v>6634509.6299999999</v>
      </c>
    </row>
    <row r="265" spans="1:11">
      <c r="B265" s="5" t="s">
        <v>306</v>
      </c>
      <c r="C265" s="3" t="s">
        <v>1142</v>
      </c>
      <c r="D265" s="337">
        <f>($D$262-$D$264)*(Bills!F146)</f>
        <v>1199275.1226522957</v>
      </c>
    </row>
    <row r="266" spans="1:11">
      <c r="B266" s="5" t="s">
        <v>841</v>
      </c>
      <c r="C266" s="3" t="s">
        <v>1142</v>
      </c>
      <c r="D266" s="337">
        <f>($D$262-$D$264)*(Bills!F147)</f>
        <v>266348.99903793645</v>
      </c>
    </row>
    <row r="267" spans="1:11" ht="16.5" thickBot="1">
      <c r="B267" s="5" t="s">
        <v>843</v>
      </c>
      <c r="C267" s="48"/>
      <c r="D267" s="336">
        <f>SUM(D264:D266)</f>
        <v>8100133.7516902322</v>
      </c>
    </row>
    <row r="268" spans="1:11" ht="16.5" thickTop="1">
      <c r="C268" s="48"/>
    </row>
    <row r="269" spans="1:11">
      <c r="A269" s="3" t="s">
        <v>425</v>
      </c>
      <c r="B269" s="5" t="s">
        <v>381</v>
      </c>
      <c r="C269" s="3" t="s">
        <v>311</v>
      </c>
      <c r="D269" s="278">
        <f>'101 &amp; 106 By County'!H157</f>
        <v>1827460.77</v>
      </c>
    </row>
    <row r="270" spans="1:11">
      <c r="A270" s="3" t="s">
        <v>425</v>
      </c>
      <c r="B270" s="5" t="s">
        <v>383</v>
      </c>
      <c r="C270" s="3" t="s">
        <v>363</v>
      </c>
      <c r="D270" s="278">
        <f>'101 &amp; 106 By County'!H158</f>
        <v>22263.35</v>
      </c>
    </row>
    <row r="271" spans="1:11">
      <c r="A271" s="3" t="s">
        <v>425</v>
      </c>
      <c r="B271" s="5" t="s">
        <v>384</v>
      </c>
      <c r="C271" s="3" t="s">
        <v>314</v>
      </c>
      <c r="D271" s="278">
        <f>'101 &amp; 106 By County'!H159</f>
        <v>41669.83</v>
      </c>
    </row>
    <row r="272" spans="1:11">
      <c r="A272" s="3" t="s">
        <v>425</v>
      </c>
      <c r="B272" s="5" t="s">
        <v>385</v>
      </c>
      <c r="C272" s="3" t="s">
        <v>370</v>
      </c>
      <c r="D272" s="278">
        <f>'101 &amp; 106 By County'!H160+12</f>
        <v>558085.63</v>
      </c>
    </row>
    <row r="273" spans="1:11">
      <c r="A273" s="3" t="s">
        <v>425</v>
      </c>
      <c r="B273" s="5">
        <v>38100</v>
      </c>
      <c r="C273" s="3" t="s">
        <v>216</v>
      </c>
      <c r="D273" s="278">
        <f>'101 &amp; 106 By County'!H161</f>
        <v>69172.088143002999</v>
      </c>
    </row>
    <row r="274" spans="1:11">
      <c r="A274" s="3" t="s">
        <v>425</v>
      </c>
      <c r="B274" s="5" t="s">
        <v>387</v>
      </c>
      <c r="C274" s="3" t="s">
        <v>217</v>
      </c>
      <c r="D274" s="278">
        <f>'101 &amp; 106 By County'!H162</f>
        <v>57848.66</v>
      </c>
    </row>
    <row r="275" spans="1:11">
      <c r="A275" s="3" t="s">
        <v>425</v>
      </c>
      <c r="B275" s="5" t="s">
        <v>389</v>
      </c>
      <c r="C275" s="3" t="s">
        <v>218</v>
      </c>
      <c r="D275" s="278">
        <f>'101 &amp; 106 By County'!H163</f>
        <v>18197.650000000001</v>
      </c>
    </row>
    <row r="276" spans="1:11">
      <c r="A276" s="3" t="s">
        <v>425</v>
      </c>
      <c r="B276" s="5" t="s">
        <v>391</v>
      </c>
      <c r="C276" s="3" t="s">
        <v>317</v>
      </c>
      <c r="D276" s="278">
        <f>'101 &amp; 106 By County'!H164</f>
        <v>20187.18</v>
      </c>
    </row>
    <row r="277" spans="1:11">
      <c r="A277" s="3" t="s">
        <v>425</v>
      </c>
      <c r="B277" s="5" t="s">
        <v>393</v>
      </c>
      <c r="C277" s="3" t="s">
        <v>318</v>
      </c>
      <c r="D277" s="278">
        <f>'101 &amp; 106 By County'!H165</f>
        <v>14883.51</v>
      </c>
    </row>
    <row r="278" spans="1:11">
      <c r="A278" s="3" t="s">
        <v>425</v>
      </c>
      <c r="B278" s="5" t="s">
        <v>394</v>
      </c>
      <c r="C278" s="3" t="s">
        <v>319</v>
      </c>
      <c r="D278" s="278">
        <f>'101 &amp; 106 By County'!H166</f>
        <v>47165.2</v>
      </c>
    </row>
    <row r="279" spans="1:11">
      <c r="A279" s="3" t="s">
        <v>425</v>
      </c>
      <c r="B279" s="5" t="s">
        <v>396</v>
      </c>
      <c r="C279" s="3" t="s">
        <v>397</v>
      </c>
      <c r="D279" s="278">
        <f>'101 &amp; 106 By County'!H167</f>
        <v>18983.22</v>
      </c>
    </row>
    <row r="280" spans="1:11">
      <c r="A280" s="3" t="s">
        <v>425</v>
      </c>
      <c r="B280" s="5" t="s">
        <v>399</v>
      </c>
      <c r="C280" s="3" t="s">
        <v>400</v>
      </c>
      <c r="D280" s="278">
        <f>'101 &amp; 106 By County'!H168</f>
        <v>41973.52</v>
      </c>
    </row>
    <row r="281" spans="1:11">
      <c r="A281" s="3" t="s">
        <v>425</v>
      </c>
      <c r="B281" s="5" t="s">
        <v>402</v>
      </c>
      <c r="C281" s="3" t="s">
        <v>403</v>
      </c>
      <c r="D281" s="278">
        <f>'101 &amp; 106 By County'!H169</f>
        <v>83331.23</v>
      </c>
    </row>
    <row r="282" spans="1:11">
      <c r="A282" s="3" t="s">
        <v>425</v>
      </c>
      <c r="B282" s="5" t="s">
        <v>407</v>
      </c>
      <c r="C282" s="3" t="s">
        <v>408</v>
      </c>
      <c r="D282" s="278">
        <f>'101 &amp; 106 By County'!H170</f>
        <v>4155.2</v>
      </c>
    </row>
    <row r="283" spans="1:11">
      <c r="A283" s="3" t="s">
        <v>425</v>
      </c>
      <c r="C283" s="3" t="s">
        <v>241</v>
      </c>
      <c r="D283" s="278">
        <f>'Alloc. Factors'!F23</f>
        <v>8715</v>
      </c>
    </row>
    <row r="284" spans="1:11" ht="16.5" thickBot="1">
      <c r="C284" s="48" t="s">
        <v>1077</v>
      </c>
      <c r="D284" s="336">
        <f>SUM(D269:D283)</f>
        <v>2834092.0381430038</v>
      </c>
      <c r="E284" s="336">
        <f>SUM(D272:D278)</f>
        <v>785539.91814300313</v>
      </c>
      <c r="K284" s="3" t="s">
        <v>1178</v>
      </c>
    </row>
    <row r="285" spans="1:11" ht="16.5" thickTop="1">
      <c r="C285" s="48"/>
      <c r="D285" s="337"/>
    </row>
    <row r="286" spans="1:11">
      <c r="B286" s="5" t="s">
        <v>1111</v>
      </c>
      <c r="C286" s="5" t="s">
        <v>1111</v>
      </c>
      <c r="D286" s="337">
        <f>SUM(D269:D271)</f>
        <v>1891393.9500000002</v>
      </c>
    </row>
    <row r="287" spans="1:11">
      <c r="B287" s="5" t="s">
        <v>306</v>
      </c>
      <c r="C287" s="3" t="s">
        <v>1142</v>
      </c>
      <c r="D287" s="337">
        <f>($D$284-$D$286)*(Bills!F269)</f>
        <v>53535.940808121195</v>
      </c>
    </row>
    <row r="288" spans="1:11">
      <c r="B288" s="5" t="s">
        <v>1002</v>
      </c>
      <c r="C288" s="3" t="s">
        <v>1142</v>
      </c>
      <c r="D288" s="337">
        <f>($D$284-$D$286)*(Bills!F270)</f>
        <v>889162.14733488241</v>
      </c>
    </row>
    <row r="289" spans="1:4" ht="16.5" thickBot="1">
      <c r="B289" s="5" t="s">
        <v>1003</v>
      </c>
      <c r="C289" s="48"/>
      <c r="D289" s="336">
        <f>SUM(D286:D288)</f>
        <v>2834092.0381430038</v>
      </c>
    </row>
    <row r="290" spans="1:4" ht="16.5" thickTop="1">
      <c r="C290" s="48"/>
      <c r="D290" s="337"/>
    </row>
    <row r="291" spans="1:4">
      <c r="A291" s="3" t="s">
        <v>243</v>
      </c>
      <c r="B291" s="5" t="s">
        <v>381</v>
      </c>
      <c r="C291" s="3" t="s">
        <v>311</v>
      </c>
      <c r="D291" s="400">
        <f>'101 &amp; 106 By County'!H172</f>
        <v>88154251.659999996</v>
      </c>
    </row>
    <row r="292" spans="1:4">
      <c r="A292" s="3" t="s">
        <v>243</v>
      </c>
      <c r="B292" s="5" t="s">
        <v>383</v>
      </c>
      <c r="C292" s="3" t="s">
        <v>363</v>
      </c>
      <c r="D292" s="278">
        <f>'101 &amp; 106 By County'!H173</f>
        <v>871719.99</v>
      </c>
    </row>
    <row r="293" spans="1:4">
      <c r="A293" s="3" t="s">
        <v>243</v>
      </c>
      <c r="B293" s="5" t="s">
        <v>384</v>
      </c>
      <c r="C293" s="3" t="s">
        <v>314</v>
      </c>
      <c r="D293" s="278">
        <f>'101 &amp; 106 By County'!H174</f>
        <v>5724043.2800000003</v>
      </c>
    </row>
    <row r="294" spans="1:4">
      <c r="A294" s="3" t="s">
        <v>243</v>
      </c>
      <c r="B294" s="5" t="s">
        <v>385</v>
      </c>
      <c r="C294" s="3" t="s">
        <v>370</v>
      </c>
      <c r="D294" s="278">
        <f>'101 &amp; 106 By County'!H175-142</f>
        <v>44959488.25</v>
      </c>
    </row>
    <row r="295" spans="1:4">
      <c r="A295" s="3" t="s">
        <v>243</v>
      </c>
      <c r="B295" s="5" t="s">
        <v>443</v>
      </c>
      <c r="C295" s="3" t="s">
        <v>216</v>
      </c>
      <c r="D295" s="278">
        <f>'101 &amp; 106 By County'!H176</f>
        <v>9238829.0467147175</v>
      </c>
    </row>
    <row r="296" spans="1:4">
      <c r="A296" s="3" t="s">
        <v>243</v>
      </c>
      <c r="B296" s="5" t="s">
        <v>387</v>
      </c>
      <c r="C296" s="3" t="s">
        <v>217</v>
      </c>
      <c r="D296" s="278">
        <f>'101 &amp; 106 By County'!H177</f>
        <v>9061216.75</v>
      </c>
    </row>
    <row r="297" spans="1:4">
      <c r="A297" s="3" t="s">
        <v>243</v>
      </c>
      <c r="B297" s="5" t="s">
        <v>389</v>
      </c>
      <c r="C297" s="3" t="s">
        <v>218</v>
      </c>
      <c r="D297" s="278">
        <f>'101 &amp; 106 By County'!H178</f>
        <v>2310093.84</v>
      </c>
    </row>
    <row r="298" spans="1:4">
      <c r="A298" s="3" t="s">
        <v>243</v>
      </c>
      <c r="B298" s="5" t="s">
        <v>391</v>
      </c>
      <c r="C298" s="3" t="s">
        <v>317</v>
      </c>
      <c r="D298" s="278">
        <f>'101 &amp; 106 By County'!H179</f>
        <v>3550742.48</v>
      </c>
    </row>
    <row r="299" spans="1:4">
      <c r="A299" s="3" t="s">
        <v>243</v>
      </c>
      <c r="B299" s="5" t="s">
        <v>393</v>
      </c>
      <c r="C299" s="3" t="s">
        <v>318</v>
      </c>
      <c r="D299" s="278">
        <f>'101 &amp; 106 By County'!H180</f>
        <v>1064837.3500000001</v>
      </c>
    </row>
    <row r="300" spans="1:4">
      <c r="A300" s="3" t="s">
        <v>243</v>
      </c>
      <c r="B300" s="5" t="s">
        <v>394</v>
      </c>
      <c r="C300" s="3" t="s">
        <v>319</v>
      </c>
      <c r="D300" s="278">
        <f>'101 &amp; 106 By County'!H181</f>
        <v>1110309.01</v>
      </c>
    </row>
    <row r="301" spans="1:4">
      <c r="A301" s="3" t="s">
        <v>243</v>
      </c>
      <c r="B301" s="5" t="s">
        <v>396</v>
      </c>
      <c r="C301" s="3" t="s">
        <v>397</v>
      </c>
      <c r="D301" s="278">
        <f>'101 &amp; 106 By County'!H182</f>
        <v>7426798.8200000003</v>
      </c>
    </row>
    <row r="302" spans="1:4">
      <c r="A302" s="3" t="s">
        <v>243</v>
      </c>
      <c r="B302" s="5" t="s">
        <v>451</v>
      </c>
      <c r="C302" s="3" t="s">
        <v>452</v>
      </c>
      <c r="D302" s="278">
        <f>'101 &amp; 106 By County'!H183</f>
        <v>0</v>
      </c>
    </row>
    <row r="303" spans="1:4">
      <c r="A303" s="3" t="s">
        <v>243</v>
      </c>
      <c r="B303" s="5" t="s">
        <v>399</v>
      </c>
      <c r="C303" s="3" t="s">
        <v>400</v>
      </c>
      <c r="D303" s="278">
        <f>'101 &amp; 106 By County'!H184</f>
        <v>983956.6</v>
      </c>
    </row>
    <row r="304" spans="1:4">
      <c r="A304" s="3" t="s">
        <v>243</v>
      </c>
      <c r="B304" s="5" t="s">
        <v>455</v>
      </c>
      <c r="C304" s="3" t="s">
        <v>225</v>
      </c>
      <c r="D304" s="278">
        <f>'101 &amp; 106 By County'!H185</f>
        <v>29611.34</v>
      </c>
    </row>
    <row r="305" spans="1:11">
      <c r="A305" s="3" t="s">
        <v>243</v>
      </c>
      <c r="B305" s="5" t="s">
        <v>402</v>
      </c>
      <c r="C305" s="3" t="s">
        <v>403</v>
      </c>
      <c r="D305" s="278">
        <f>'101 &amp; 106 By County'!H186</f>
        <v>327760.89</v>
      </c>
    </row>
    <row r="306" spans="1:11">
      <c r="A306" s="3" t="s">
        <v>243</v>
      </c>
      <c r="B306" s="5" t="s">
        <v>405</v>
      </c>
      <c r="C306" s="3" t="s">
        <v>227</v>
      </c>
      <c r="D306" s="278">
        <f>'101 &amp; 106 By County'!H187</f>
        <v>4192101.35</v>
      </c>
    </row>
    <row r="307" spans="1:11">
      <c r="A307" s="3" t="s">
        <v>243</v>
      </c>
      <c r="B307" s="5" t="s">
        <v>407</v>
      </c>
      <c r="C307" s="3" t="s">
        <v>1153</v>
      </c>
      <c r="D307" s="278">
        <f>'101 &amp; 106 By County'!H188</f>
        <v>21044.04</v>
      </c>
    </row>
    <row r="308" spans="1:11">
      <c r="A308" s="3" t="s">
        <v>243</v>
      </c>
      <c r="C308" s="3" t="s">
        <v>241</v>
      </c>
      <c r="D308" s="278">
        <f>'Alloc. Factors'!F24</f>
        <v>145716</v>
      </c>
    </row>
    <row r="309" spans="1:11" ht="16.5" thickBot="1">
      <c r="C309" s="48" t="s">
        <v>1078</v>
      </c>
      <c r="D309" s="401">
        <f>SUM(D291:D308)</f>
        <v>179172520.69671467</v>
      </c>
      <c r="E309" s="336">
        <f>SUM(D294:D300)</f>
        <v>71295516.726714715</v>
      </c>
      <c r="G309" s="410">
        <f>D309*0.40005</f>
        <v>71677966.904720709</v>
      </c>
      <c r="K309" s="3" t="s">
        <v>1178</v>
      </c>
    </row>
    <row r="310" spans="1:11" ht="16.5" thickTop="1">
      <c r="C310" s="48"/>
      <c r="D310" s="402"/>
      <c r="G310" s="3">
        <v>393358.74</v>
      </c>
    </row>
    <row r="311" spans="1:11" ht="18">
      <c r="C311" s="48"/>
      <c r="D311" s="403" t="s">
        <v>1158</v>
      </c>
      <c r="G311" s="410">
        <f>SUM(G309:G310)</f>
        <v>72071325.644720703</v>
      </c>
    </row>
    <row r="312" spans="1:11">
      <c r="B312" s="48" t="s">
        <v>1154</v>
      </c>
      <c r="C312" s="48" t="s">
        <v>306</v>
      </c>
      <c r="D312" s="402">
        <f>(Bills!$F$108*70716000)*(632548/(632548+38211527))</f>
        <v>679089.90764286695</v>
      </c>
    </row>
    <row r="313" spans="1:11">
      <c r="B313" s="48" t="s">
        <v>1155</v>
      </c>
      <c r="C313" s="48" t="s">
        <v>306</v>
      </c>
      <c r="D313" s="337">
        <f>(Bills!$F$108*70716000)*(38211527/(632548+38211527))</f>
        <v>41023072.306485705</v>
      </c>
    </row>
    <row r="314" spans="1:11">
      <c r="B314" s="48" t="s">
        <v>1156</v>
      </c>
      <c r="C314" s="48" t="s">
        <v>778</v>
      </c>
      <c r="D314" s="337">
        <f>Bills!F110*70716000</f>
        <v>28450348.055981807</v>
      </c>
    </row>
    <row r="315" spans="1:11">
      <c r="B315" s="48" t="s">
        <v>1157</v>
      </c>
      <c r="C315" s="48" t="s">
        <v>776</v>
      </c>
      <c r="D315" s="337">
        <f>Bills!F109*70716000</f>
        <v>563489.72988962638</v>
      </c>
    </row>
    <row r="316" spans="1:11" ht="16.5" thickBot="1">
      <c r="C316" s="48"/>
      <c r="D316" s="401">
        <f>SUM(D312:D315)</f>
        <v>70716000</v>
      </c>
    </row>
    <row r="317" spans="1:11" ht="16.5" thickTop="1">
      <c r="C317" s="48"/>
      <c r="D317" s="337"/>
    </row>
    <row r="318" spans="1:11">
      <c r="C318" s="48"/>
      <c r="D318" s="337"/>
    </row>
    <row r="319" spans="1:11">
      <c r="A319" s="3" t="s">
        <v>460</v>
      </c>
      <c r="B319" s="5">
        <v>37600</v>
      </c>
      <c r="C319" s="3" t="s">
        <v>311</v>
      </c>
      <c r="D319" s="278">
        <f>'101 &amp; 106 By County'!H190</f>
        <v>699829.36</v>
      </c>
    </row>
    <row r="320" spans="1:11">
      <c r="A320" s="3" t="s">
        <v>460</v>
      </c>
      <c r="B320" s="5">
        <v>37800</v>
      </c>
      <c r="C320" s="3" t="s">
        <v>363</v>
      </c>
      <c r="D320" s="278">
        <f>'101 &amp; 106 By County'!H191</f>
        <v>0</v>
      </c>
    </row>
    <row r="321" spans="1:5">
      <c r="B321" s="5">
        <v>38100</v>
      </c>
      <c r="C321" s="3" t="s">
        <v>216</v>
      </c>
      <c r="D321" s="278">
        <f>'101 &amp; 106 By County'!H193</f>
        <v>170.79527936543948</v>
      </c>
    </row>
    <row r="322" spans="1:5" ht="16.5" thickBot="1">
      <c r="C322" s="48" t="s">
        <v>1079</v>
      </c>
      <c r="D322" s="336">
        <f>SUM(D319:D321)</f>
        <v>700000.15527936537</v>
      </c>
      <c r="E322" s="277">
        <f>D321</f>
        <v>170.79527936543948</v>
      </c>
    </row>
    <row r="323" spans="1:5" ht="16.5" thickTop="1">
      <c r="C323" s="48"/>
      <c r="D323" s="337"/>
    </row>
    <row r="324" spans="1:5">
      <c r="A324" s="3" t="s">
        <v>464</v>
      </c>
      <c r="B324" s="5" t="s">
        <v>1080</v>
      </c>
      <c r="C324" s="3" t="s">
        <v>498</v>
      </c>
      <c r="D324" s="278">
        <f>'101 &amp; 106 By County'!H200</f>
        <v>67041.58</v>
      </c>
    </row>
    <row r="325" spans="1:5">
      <c r="A325" s="3" t="s">
        <v>464</v>
      </c>
      <c r="B325" s="5" t="s">
        <v>384</v>
      </c>
      <c r="C325" s="3" t="s">
        <v>314</v>
      </c>
      <c r="D325" s="278">
        <f>'101 &amp; 106 By County'!H201</f>
        <v>61449.15</v>
      </c>
    </row>
    <row r="326" spans="1:5">
      <c r="A326" s="3" t="s">
        <v>464</v>
      </c>
      <c r="B326" s="5" t="s">
        <v>385</v>
      </c>
      <c r="C326" s="3" t="s">
        <v>370</v>
      </c>
      <c r="D326" s="278">
        <f>'101 &amp; 106 By County'!H202</f>
        <v>473.53150379385858</v>
      </c>
    </row>
    <row r="327" spans="1:5">
      <c r="A327" s="3" t="s">
        <v>464</v>
      </c>
      <c r="B327" s="5">
        <v>38100</v>
      </c>
      <c r="C327" s="3" t="s">
        <v>216</v>
      </c>
      <c r="D327" s="278">
        <f>'101 &amp; 106 By County'!H203</f>
        <v>170.79527936543948</v>
      </c>
    </row>
    <row r="328" spans="1:5">
      <c r="A328" s="3" t="s">
        <v>464</v>
      </c>
      <c r="B328" s="5" t="s">
        <v>387</v>
      </c>
      <c r="C328" s="3" t="s">
        <v>217</v>
      </c>
      <c r="D328" s="278">
        <f>'101 &amp; 106 By County'!H204</f>
        <v>140.59135916891583</v>
      </c>
    </row>
    <row r="329" spans="1:5">
      <c r="A329" s="3" t="s">
        <v>464</v>
      </c>
      <c r="B329" s="5" t="s">
        <v>389</v>
      </c>
      <c r="C329" s="3" t="s">
        <v>218</v>
      </c>
      <c r="D329" s="278">
        <f>'101 &amp; 106 By County'!H205</f>
        <v>19.512606559046699</v>
      </c>
    </row>
    <row r="330" spans="1:5">
      <c r="A330" s="3" t="s">
        <v>464</v>
      </c>
      <c r="B330" s="5" t="s">
        <v>391</v>
      </c>
      <c r="C330" s="3" t="s">
        <v>317</v>
      </c>
      <c r="D330" s="278">
        <f>'101 &amp; 106 By County'!H206</f>
        <v>60.706857972195351</v>
      </c>
    </row>
    <row r="331" spans="1:5">
      <c r="A331" s="3" t="s">
        <v>464</v>
      </c>
      <c r="B331" s="5" t="s">
        <v>393</v>
      </c>
      <c r="C331" s="3" t="s">
        <v>318</v>
      </c>
      <c r="D331" s="278">
        <f>'101 &amp; 106 By County'!H207</f>
        <v>3.8688885776849831</v>
      </c>
    </row>
    <row r="332" spans="1:5">
      <c r="A332" s="3" t="s">
        <v>464</v>
      </c>
      <c r="B332" s="5" t="s">
        <v>394</v>
      </c>
      <c r="C332" s="3" t="s">
        <v>319</v>
      </c>
      <c r="D332" s="278">
        <f>'101 &amp; 106 By County'!H208</f>
        <v>5.1552248306767838</v>
      </c>
    </row>
    <row r="333" spans="1:5" ht="16.5" thickBot="1">
      <c r="C333" s="48" t="s">
        <v>1081</v>
      </c>
      <c r="D333" s="336">
        <f>SUM(D324:D332)</f>
        <v>129364.89172026783</v>
      </c>
      <c r="E333" s="336">
        <f>SUM(D326:D332)</f>
        <v>874.16172026781771</v>
      </c>
    </row>
    <row r="334" spans="1:5" ht="16.5" thickTop="1">
      <c r="C334" s="48"/>
      <c r="D334" s="337"/>
    </row>
    <row r="335" spans="1:5">
      <c r="A335" s="3" t="s">
        <v>466</v>
      </c>
      <c r="B335" s="5" t="s">
        <v>381</v>
      </c>
      <c r="C335" s="3" t="s">
        <v>311</v>
      </c>
      <c r="D335" s="278">
        <f>'101 &amp; 106 By County'!H210</f>
        <v>17518604.640000001</v>
      </c>
    </row>
    <row r="336" spans="1:5">
      <c r="A336" s="3" t="s">
        <v>466</v>
      </c>
      <c r="B336" s="5" t="s">
        <v>383</v>
      </c>
      <c r="C336" s="3" t="s">
        <v>363</v>
      </c>
      <c r="D336" s="278">
        <f>'101 &amp; 106 By County'!H211</f>
        <v>127641.77</v>
      </c>
    </row>
    <row r="337" spans="1:12">
      <c r="A337" s="3" t="s">
        <v>466</v>
      </c>
      <c r="B337" s="5" t="s">
        <v>384</v>
      </c>
      <c r="C337" s="3" t="s">
        <v>314</v>
      </c>
      <c r="D337" s="278">
        <f>'101 &amp; 106 By County'!H212</f>
        <v>817921.21</v>
      </c>
    </row>
    <row r="338" spans="1:12">
      <c r="A338" s="3" t="s">
        <v>466</v>
      </c>
      <c r="B338" s="5" t="s">
        <v>385</v>
      </c>
      <c r="C338" s="3" t="s">
        <v>370</v>
      </c>
      <c r="D338" s="278">
        <f>'101 &amp; 106 By County'!H213-14</f>
        <v>4064905.31</v>
      </c>
    </row>
    <row r="339" spans="1:12">
      <c r="A339" s="3" t="s">
        <v>466</v>
      </c>
      <c r="B339" s="5">
        <v>38100</v>
      </c>
      <c r="C339" s="3" t="s">
        <v>216</v>
      </c>
      <c r="D339" s="278">
        <f>'101 &amp; 106 By County'!H214</f>
        <v>1324858.982037714</v>
      </c>
    </row>
    <row r="340" spans="1:12">
      <c r="A340" s="3" t="s">
        <v>466</v>
      </c>
      <c r="B340" s="5" t="s">
        <v>387</v>
      </c>
      <c r="C340" s="3" t="s">
        <v>217</v>
      </c>
      <c r="D340" s="278">
        <f>'101 &amp; 106 By County'!H215</f>
        <v>607851.9</v>
      </c>
    </row>
    <row r="341" spans="1:12">
      <c r="A341" s="3" t="s">
        <v>466</v>
      </c>
      <c r="B341" s="5" t="s">
        <v>389</v>
      </c>
      <c r="C341" s="3" t="s">
        <v>218</v>
      </c>
      <c r="D341" s="278">
        <f>'101 &amp; 106 By County'!H216</f>
        <v>277682.24</v>
      </c>
    </row>
    <row r="342" spans="1:12">
      <c r="A342" s="3" t="s">
        <v>466</v>
      </c>
      <c r="B342" s="5" t="s">
        <v>391</v>
      </c>
      <c r="C342" s="3" t="s">
        <v>317</v>
      </c>
      <c r="D342" s="278">
        <f>'101 &amp; 106 By County'!H217</f>
        <v>274034.49</v>
      </c>
    </row>
    <row r="343" spans="1:12">
      <c r="A343" s="3" t="s">
        <v>466</v>
      </c>
      <c r="B343" s="5" t="s">
        <v>393</v>
      </c>
      <c r="C343" s="3" t="s">
        <v>318</v>
      </c>
      <c r="D343" s="278">
        <f>'101 &amp; 106 By County'!H218</f>
        <v>229473.9</v>
      </c>
    </row>
    <row r="344" spans="1:12">
      <c r="A344" s="3" t="s">
        <v>466</v>
      </c>
      <c r="B344" s="5" t="s">
        <v>394</v>
      </c>
      <c r="C344" s="3" t="s">
        <v>319</v>
      </c>
      <c r="D344" s="278">
        <f>'101 &amp; 106 By County'!H219</f>
        <v>192309.35</v>
      </c>
    </row>
    <row r="345" spans="1:12">
      <c r="A345" s="3" t="s">
        <v>466</v>
      </c>
      <c r="B345" s="5" t="s">
        <v>396</v>
      </c>
      <c r="C345" s="3" t="s">
        <v>397</v>
      </c>
      <c r="D345" s="278">
        <f>'101 &amp; 106 By County'!H220</f>
        <v>74708.25</v>
      </c>
    </row>
    <row r="346" spans="1:12">
      <c r="A346" s="3" t="s">
        <v>466</v>
      </c>
      <c r="B346" s="5" t="s">
        <v>451</v>
      </c>
      <c r="C346" s="3" t="s">
        <v>452</v>
      </c>
      <c r="D346" s="278">
        <f>'101 &amp; 106 By County'!H221</f>
        <v>1655.93</v>
      </c>
    </row>
    <row r="347" spans="1:12">
      <c r="A347" s="3" t="s">
        <v>466</v>
      </c>
      <c r="B347" s="5" t="s">
        <v>399</v>
      </c>
      <c r="C347" s="3" t="s">
        <v>400</v>
      </c>
      <c r="D347" s="278">
        <f>'101 &amp; 106 By County'!H222</f>
        <v>100517.69</v>
      </c>
    </row>
    <row r="348" spans="1:12">
      <c r="A348" s="3" t="s">
        <v>466</v>
      </c>
      <c r="B348" s="5" t="s">
        <v>402</v>
      </c>
      <c r="C348" s="3" t="s">
        <v>403</v>
      </c>
      <c r="D348" s="278">
        <f>'101 &amp; 106 By County'!H223</f>
        <v>86702.18</v>
      </c>
    </row>
    <row r="349" spans="1:12">
      <c r="A349" s="3" t="s">
        <v>466</v>
      </c>
      <c r="B349" s="5" t="s">
        <v>405</v>
      </c>
      <c r="C349" s="3" t="s">
        <v>227</v>
      </c>
      <c r="D349" s="278">
        <f>'101 &amp; 106 By County'!H224</f>
        <v>72830.759999999995</v>
      </c>
    </row>
    <row r="350" spans="1:12">
      <c r="A350" s="3" t="s">
        <v>466</v>
      </c>
      <c r="B350" s="5" t="s">
        <v>407</v>
      </c>
      <c r="C350" s="3" t="s">
        <v>408</v>
      </c>
      <c r="D350" s="278">
        <f>'101 &amp; 106 By County'!H225</f>
        <v>4277.41</v>
      </c>
    </row>
    <row r="351" spans="1:12">
      <c r="A351" s="3" t="s">
        <v>466</v>
      </c>
      <c r="C351" s="3" t="s">
        <v>241</v>
      </c>
      <c r="D351" s="278">
        <f>'Alloc. Factors'!F27</f>
        <v>60475</v>
      </c>
    </row>
    <row r="352" spans="1:12" ht="16.5" thickBot="1">
      <c r="C352" s="48" t="s">
        <v>1082</v>
      </c>
      <c r="D352" s="336">
        <f>SUM(D335:D351)</f>
        <v>25836451.012037713</v>
      </c>
      <c r="E352" s="336">
        <f>SUM(D338:D344)</f>
        <v>6971116.1720377151</v>
      </c>
      <c r="L352" s="3" t="s">
        <v>1178</v>
      </c>
    </row>
    <row r="353" spans="1:4" ht="16.5" thickTop="1">
      <c r="C353" s="48"/>
      <c r="D353" s="337"/>
    </row>
    <row r="354" spans="1:4">
      <c r="B354" s="5" t="s">
        <v>1111</v>
      </c>
      <c r="C354" s="5" t="s">
        <v>1111</v>
      </c>
      <c r="D354" s="277">
        <f>SUM(D335:D337)</f>
        <v>18464167.620000001</v>
      </c>
    </row>
    <row r="355" spans="1:4">
      <c r="B355" s="5" t="s">
        <v>306</v>
      </c>
      <c r="C355" s="3" t="s">
        <v>1142</v>
      </c>
      <c r="D355" s="337">
        <f>($D$352-$D$354)*(Bills!F186+Bills!F195+Bills!F196)</f>
        <v>2498918.5951722618</v>
      </c>
    </row>
    <row r="356" spans="1:4">
      <c r="B356" s="5" t="s">
        <v>904</v>
      </c>
      <c r="C356" s="3" t="s">
        <v>1142</v>
      </c>
      <c r="D356" s="337">
        <f>($D$352-$D$354)*(Bills!F187+Bills!F188)</f>
        <v>1501786.4865409909</v>
      </c>
    </row>
    <row r="357" spans="1:4">
      <c r="B357" s="5" t="s">
        <v>908</v>
      </c>
      <c r="C357" s="3" t="s">
        <v>1142</v>
      </c>
      <c r="D357" s="337">
        <f>($D$352-$D$354)*(+Bills!F189)</f>
        <v>83883.569518505799</v>
      </c>
    </row>
    <row r="358" spans="1:4">
      <c r="B358" s="5" t="s">
        <v>910</v>
      </c>
      <c r="C358" s="3" t="s">
        <v>1142</v>
      </c>
      <c r="D358" s="337">
        <f>($D$352-$D$354)*(Bills!F190+Bills!F191)</f>
        <v>1568081.5656765844</v>
      </c>
    </row>
    <row r="359" spans="1:4">
      <c r="B359" s="5" t="s">
        <v>913</v>
      </c>
      <c r="C359" s="3" t="s">
        <v>1142</v>
      </c>
      <c r="D359" s="337">
        <f>($D$352-$D$354)*(+Bills!F192)</f>
        <v>1480139.1137620218</v>
      </c>
    </row>
    <row r="360" spans="1:4">
      <c r="B360" s="5" t="s">
        <v>915</v>
      </c>
      <c r="C360" s="3" t="s">
        <v>1142</v>
      </c>
      <c r="D360" s="337">
        <f>($D$352-$D$354)*(+Bills!F193)</f>
        <v>239474.06136734723</v>
      </c>
    </row>
    <row r="361" spans="1:4">
      <c r="B361" s="5" t="s">
        <v>1046</v>
      </c>
      <c r="C361" s="3" t="s">
        <v>1142</v>
      </c>
      <c r="D361" s="337">
        <f>($D$352-$D$354)*(+Bills!F197)</f>
        <v>0</v>
      </c>
    </row>
    <row r="362" spans="1:4" ht="16.5" thickBot="1">
      <c r="B362" s="5" t="s">
        <v>1083</v>
      </c>
      <c r="D362" s="336">
        <f>SUM(D354:D361)</f>
        <v>25836451.012037713</v>
      </c>
    </row>
    <row r="363" spans="1:4" ht="16.5" thickTop="1">
      <c r="C363" s="48"/>
    </row>
    <row r="364" spans="1:4">
      <c r="A364" s="3" t="s">
        <v>482</v>
      </c>
      <c r="B364" s="5" t="s">
        <v>381</v>
      </c>
      <c r="C364" s="3" t="s">
        <v>311</v>
      </c>
      <c r="D364" s="278">
        <f>'101 &amp; 106 By County'!H227</f>
        <v>44552518</v>
      </c>
    </row>
    <row r="365" spans="1:4">
      <c r="A365" s="3" t="s">
        <v>482</v>
      </c>
      <c r="B365" s="5" t="s">
        <v>383</v>
      </c>
      <c r="C365" s="3" t="s">
        <v>363</v>
      </c>
      <c r="D365" s="278">
        <f>'101 &amp; 106 By County'!H228</f>
        <v>957471.96</v>
      </c>
    </row>
    <row r="366" spans="1:4">
      <c r="A366" s="3" t="s">
        <v>482</v>
      </c>
      <c r="B366" s="5" t="s">
        <v>384</v>
      </c>
      <c r="C366" s="3" t="s">
        <v>314</v>
      </c>
      <c r="D366" s="278">
        <f>'101 &amp; 106 By County'!H229</f>
        <v>411469.49</v>
      </c>
    </row>
    <row r="367" spans="1:4">
      <c r="A367" s="3" t="s">
        <v>482</v>
      </c>
      <c r="B367" s="5" t="s">
        <v>385</v>
      </c>
      <c r="C367" s="3" t="s">
        <v>370</v>
      </c>
      <c r="D367" s="278">
        <f>'101 &amp; 106 By County'!H230-22</f>
        <v>7519100.9867383307</v>
      </c>
    </row>
    <row r="368" spans="1:4">
      <c r="A368" s="3" t="s">
        <v>482</v>
      </c>
      <c r="B368" s="5">
        <v>38100</v>
      </c>
      <c r="C368" s="3" t="s">
        <v>216</v>
      </c>
      <c r="D368" s="278">
        <f>'101 &amp; 106 By County'!H231</f>
        <v>805299.74220804707</v>
      </c>
    </row>
    <row r="369" spans="1:12">
      <c r="A369" s="3" t="s">
        <v>482</v>
      </c>
      <c r="B369" s="5" t="s">
        <v>387</v>
      </c>
      <c r="C369" s="3" t="s">
        <v>217</v>
      </c>
      <c r="D369" s="278">
        <f>'101 &amp; 106 By County'!H232</f>
        <v>1216904.709122787</v>
      </c>
    </row>
    <row r="370" spans="1:12">
      <c r="A370" s="3" t="s">
        <v>482</v>
      </c>
      <c r="B370" s="5" t="s">
        <v>389</v>
      </c>
      <c r="C370" s="3" t="s">
        <v>218</v>
      </c>
      <c r="D370" s="278">
        <f>'101 &amp; 106 By County'!H233</f>
        <v>189262.68571510693</v>
      </c>
    </row>
    <row r="371" spans="1:12">
      <c r="A371" s="3" t="s">
        <v>482</v>
      </c>
      <c r="B371" s="5" t="s">
        <v>391</v>
      </c>
      <c r="C371" s="3" t="s">
        <v>317</v>
      </c>
      <c r="D371" s="278">
        <f>'101 &amp; 106 By County'!H234</f>
        <v>564194.69916072662</v>
      </c>
    </row>
    <row r="372" spans="1:12">
      <c r="A372" s="3" t="s">
        <v>482</v>
      </c>
      <c r="B372" s="5" t="s">
        <v>393</v>
      </c>
      <c r="C372" s="3" t="s">
        <v>318</v>
      </c>
      <c r="D372" s="278">
        <f>'101 &amp; 106 By County'!H235</f>
        <v>40214.710945044841</v>
      </c>
    </row>
    <row r="373" spans="1:12">
      <c r="A373" s="3" t="s">
        <v>482</v>
      </c>
      <c r="B373" s="5" t="s">
        <v>394</v>
      </c>
      <c r="C373" s="3" t="s">
        <v>319</v>
      </c>
      <c r="D373" s="278">
        <f>'101 &amp; 106 By County'!H236</f>
        <v>121903.89648769834</v>
      </c>
    </row>
    <row r="374" spans="1:12">
      <c r="A374" s="3" t="s">
        <v>482</v>
      </c>
      <c r="B374" s="5" t="s">
        <v>396</v>
      </c>
      <c r="C374" s="3" t="s">
        <v>397</v>
      </c>
      <c r="D374" s="278">
        <f>'101 &amp; 106 By County'!H237</f>
        <v>264427.19</v>
      </c>
    </row>
    <row r="375" spans="1:12">
      <c r="A375" s="3" t="s">
        <v>482</v>
      </c>
      <c r="B375" s="5" t="s">
        <v>451</v>
      </c>
      <c r="C375" s="3" t="s">
        <v>452</v>
      </c>
      <c r="D375" s="278">
        <f>'101 &amp; 106 By County'!H238</f>
        <v>4361.8500000000004</v>
      </c>
    </row>
    <row r="376" spans="1:12">
      <c r="A376" s="3" t="s">
        <v>482</v>
      </c>
      <c r="B376" s="5" t="s">
        <v>399</v>
      </c>
      <c r="C376" s="3" t="s">
        <v>400</v>
      </c>
      <c r="D376" s="278">
        <f>'101 &amp; 106 By County'!H239</f>
        <v>177621.22</v>
      </c>
    </row>
    <row r="377" spans="1:12">
      <c r="A377" s="3" t="s">
        <v>482</v>
      </c>
      <c r="B377" s="5" t="s">
        <v>402</v>
      </c>
      <c r="C377" s="3" t="s">
        <v>403</v>
      </c>
      <c r="D377" s="278">
        <f>'101 &amp; 106 By County'!H240</f>
        <v>13016.98</v>
      </c>
    </row>
    <row r="378" spans="1:12">
      <c r="A378" s="3" t="s">
        <v>482</v>
      </c>
      <c r="B378" s="5" t="s">
        <v>405</v>
      </c>
      <c r="C378" s="3" t="s">
        <v>227</v>
      </c>
      <c r="D378" s="278">
        <f>'101 &amp; 106 By County'!H241</f>
        <v>310455.21999999997</v>
      </c>
    </row>
    <row r="379" spans="1:12">
      <c r="A379" s="3" t="s">
        <v>482</v>
      </c>
      <c r="B379" s="5" t="s">
        <v>407</v>
      </c>
      <c r="C379" s="3" t="s">
        <v>408</v>
      </c>
      <c r="D379" s="278">
        <f>'101 &amp; 106 By County'!H242</f>
        <v>4414.4799999999996</v>
      </c>
    </row>
    <row r="380" spans="1:12">
      <c r="A380" s="3" t="s">
        <v>482</v>
      </c>
      <c r="C380" s="3" t="s">
        <v>241</v>
      </c>
      <c r="D380" s="278">
        <f>'Alloc. Factors'!F28</f>
        <v>492019</v>
      </c>
    </row>
    <row r="381" spans="1:12" ht="16.5" thickBot="1">
      <c r="C381" s="48" t="s">
        <v>1084</v>
      </c>
      <c r="D381" s="336">
        <f>SUM(D364:D380)</f>
        <v>57644656.820377737</v>
      </c>
      <c r="E381" s="336">
        <f>SUM(D367:D373)</f>
        <v>10456881.430377742</v>
      </c>
      <c r="L381" s="3" t="s">
        <v>1178</v>
      </c>
    </row>
    <row r="382" spans="1:12" ht="16.5" thickTop="1">
      <c r="C382" s="48"/>
      <c r="D382" s="337"/>
    </row>
    <row r="383" spans="1:12">
      <c r="B383" s="5" t="s">
        <v>1111</v>
      </c>
      <c r="C383" s="5" t="s">
        <v>1111</v>
      </c>
      <c r="D383" s="277">
        <f>SUM(D364:D366)</f>
        <v>45921459.450000003</v>
      </c>
    </row>
    <row r="384" spans="1:12">
      <c r="B384" s="5" t="s">
        <v>306</v>
      </c>
      <c r="C384" s="3" t="s">
        <v>1142</v>
      </c>
      <c r="D384" s="337">
        <f>($D$381-$D$383)*(Bills!F371)</f>
        <v>9371098.809958363</v>
      </c>
    </row>
    <row r="385" spans="1:12">
      <c r="B385" s="5" t="s">
        <v>1052</v>
      </c>
      <c r="C385" s="3" t="s">
        <v>1142</v>
      </c>
      <c r="D385" s="337">
        <f>($D$381-$D$383)*(Bills!F372)</f>
        <v>355549.7823889748</v>
      </c>
    </row>
    <row r="386" spans="1:12">
      <c r="B386" s="5" t="s">
        <v>1053</v>
      </c>
      <c r="C386" s="3" t="s">
        <v>1142</v>
      </c>
      <c r="D386" s="337">
        <f>($D$381-$D$383)*(Bills!F373)</f>
        <v>109399.93304276146</v>
      </c>
    </row>
    <row r="387" spans="1:12">
      <c r="B387" s="5" t="s">
        <v>1054</v>
      </c>
      <c r="C387" s="3" t="s">
        <v>1142</v>
      </c>
      <c r="D387" s="337">
        <f>($D$381-$D$383)*(Bills!F374)</f>
        <v>300849.81586759404</v>
      </c>
    </row>
    <row r="388" spans="1:12">
      <c r="B388" s="5" t="s">
        <v>1055</v>
      </c>
      <c r="C388" s="3" t="s">
        <v>1142</v>
      </c>
      <c r="D388" s="337">
        <f>($D$381-$D$383)*(Bills!F375)</f>
        <v>1586299.0291200413</v>
      </c>
    </row>
    <row r="389" spans="1:12" ht="16.5" thickBot="1">
      <c r="B389" s="5" t="s">
        <v>1056</v>
      </c>
      <c r="C389" s="48"/>
      <c r="D389" s="336">
        <f>SUM(D383:D388)</f>
        <v>57644656.820377745</v>
      </c>
    </row>
    <row r="390" spans="1:12" ht="16.5" thickTop="1">
      <c r="C390" s="48"/>
      <c r="D390" s="337"/>
    </row>
    <row r="391" spans="1:12">
      <c r="A391" s="3" t="s">
        <v>494</v>
      </c>
      <c r="B391" s="5">
        <v>37600</v>
      </c>
      <c r="C391" s="3" t="s">
        <v>311</v>
      </c>
      <c r="D391" s="278">
        <v>312522</v>
      </c>
    </row>
    <row r="392" spans="1:12">
      <c r="A392" s="3" t="s">
        <v>494</v>
      </c>
      <c r="B392" s="5">
        <v>37800</v>
      </c>
      <c r="C392" s="3" t="s">
        <v>363</v>
      </c>
      <c r="D392" s="278">
        <f>'101 &amp; 106 By County'!H245</f>
        <v>2859.66</v>
      </c>
    </row>
    <row r="393" spans="1:12">
      <c r="D393" s="278">
        <f>Meters!E35</f>
        <v>0</v>
      </c>
    </row>
    <row r="394" spans="1:12" ht="16.5" thickBot="1">
      <c r="C394" s="48" t="s">
        <v>1085</v>
      </c>
      <c r="D394" s="336">
        <f>SUM(D391:D393)</f>
        <v>315381.65999999997</v>
      </c>
      <c r="E394" s="277">
        <f>D393</f>
        <v>0</v>
      </c>
      <c r="L394" s="3" t="s">
        <v>1179</v>
      </c>
    </row>
    <row r="395" spans="1:12" ht="16.5" thickTop="1">
      <c r="C395" s="48"/>
      <c r="D395" s="337"/>
    </row>
    <row r="396" spans="1:12">
      <c r="A396" s="3" t="s">
        <v>496</v>
      </c>
      <c r="B396" s="5" t="s">
        <v>1080</v>
      </c>
      <c r="C396" s="3" t="s">
        <v>498</v>
      </c>
      <c r="D396" s="278">
        <v>578969</v>
      </c>
    </row>
    <row r="397" spans="1:12">
      <c r="A397" s="3" t="s">
        <v>496</v>
      </c>
      <c r="B397" s="5" t="s">
        <v>384</v>
      </c>
      <c r="C397" s="3" t="s">
        <v>314</v>
      </c>
      <c r="D397" s="278">
        <f>'101 &amp; 106 By County'!H248</f>
        <v>23564.93</v>
      </c>
    </row>
    <row r="398" spans="1:12">
      <c r="A398" s="3" t="s">
        <v>496</v>
      </c>
      <c r="B398" s="5">
        <v>38002</v>
      </c>
      <c r="C398" s="3" t="s">
        <v>365</v>
      </c>
      <c r="D398" s="278">
        <f>'101 &amp; 106 By County'!H249</f>
        <v>1420.5945113815756</v>
      </c>
    </row>
    <row r="399" spans="1:12">
      <c r="A399" s="3" t="s">
        <v>496</v>
      </c>
      <c r="B399" s="5">
        <v>38100</v>
      </c>
      <c r="C399" s="3" t="s">
        <v>216</v>
      </c>
      <c r="D399" s="278">
        <f>'101 &amp; 106 By County'!H250</f>
        <v>512.38583809631837</v>
      </c>
    </row>
    <row r="400" spans="1:12">
      <c r="A400" s="3" t="s">
        <v>496</v>
      </c>
      <c r="B400" s="5">
        <v>38200</v>
      </c>
      <c r="C400" s="3" t="s">
        <v>217</v>
      </c>
      <c r="D400" s="278">
        <f>'101 &amp; 106 By County'!H251</f>
        <v>421.77407750674746</v>
      </c>
    </row>
    <row r="401" spans="1:12">
      <c r="A401" s="3" t="s">
        <v>496</v>
      </c>
      <c r="B401" s="5">
        <v>38300</v>
      </c>
      <c r="C401" s="3" t="s">
        <v>218</v>
      </c>
      <c r="D401" s="278">
        <f>'101 &amp; 106 By County'!H252</f>
        <v>58.537819677140092</v>
      </c>
    </row>
    <row r="402" spans="1:12">
      <c r="A402" s="3" t="s">
        <v>496</v>
      </c>
      <c r="B402" s="5">
        <v>38400</v>
      </c>
      <c r="C402" s="3" t="s">
        <v>317</v>
      </c>
      <c r="D402" s="278">
        <f>'101 &amp; 106 By County'!H253</f>
        <v>182.12057391658604</v>
      </c>
    </row>
    <row r="403" spans="1:12">
      <c r="A403" s="3" t="s">
        <v>496</v>
      </c>
      <c r="B403" s="5">
        <v>38500</v>
      </c>
      <c r="C403" s="3" t="s">
        <v>318</v>
      </c>
      <c r="D403" s="278">
        <f>'101 &amp; 106 By County'!H254</f>
        <v>11.606665733054948</v>
      </c>
    </row>
    <row r="404" spans="1:12">
      <c r="A404" s="3" t="s">
        <v>496</v>
      </c>
      <c r="B404" s="5">
        <v>38700</v>
      </c>
      <c r="C404" s="3" t="s">
        <v>319</v>
      </c>
      <c r="D404" s="278">
        <f>'101 &amp; 106 By County'!H255</f>
        <v>15.465674492030349</v>
      </c>
    </row>
    <row r="405" spans="1:12" ht="16.5" thickBot="1">
      <c r="C405" s="48" t="s">
        <v>1086</v>
      </c>
      <c r="D405" s="336">
        <f>SUBTOTAL(9,D396:D404)</f>
        <v>605156.41516080347</v>
      </c>
      <c r="E405" s="336">
        <f>SUM(D398:D404)</f>
        <v>2622.4851608034528</v>
      </c>
      <c r="L405" s="3" t="s">
        <v>1180</v>
      </c>
    </row>
    <row r="406" spans="1:12" ht="16.5" thickTop="1">
      <c r="C406" s="48"/>
      <c r="D406" s="337"/>
    </row>
    <row r="407" spans="1:12">
      <c r="A407" s="3" t="s">
        <v>499</v>
      </c>
      <c r="B407" s="5">
        <v>37602</v>
      </c>
      <c r="C407" s="3" t="s">
        <v>498</v>
      </c>
      <c r="D407" s="278">
        <v>153267</v>
      </c>
    </row>
    <row r="408" spans="1:12">
      <c r="A408" s="3" t="s">
        <v>499</v>
      </c>
      <c r="B408" s="5">
        <v>37900</v>
      </c>
      <c r="C408" s="3" t="s">
        <v>314</v>
      </c>
      <c r="D408" s="278">
        <f>'101 &amp; 106 By County'!H258</f>
        <v>0</v>
      </c>
    </row>
    <row r="409" spans="1:12">
      <c r="A409" s="3" t="s">
        <v>499</v>
      </c>
      <c r="B409" s="5" t="s">
        <v>385</v>
      </c>
      <c r="C409" s="3" t="s">
        <v>370</v>
      </c>
      <c r="D409" s="278">
        <f>'101 &amp; 106 By County'!H259</f>
        <v>546.74210643274853</v>
      </c>
    </row>
    <row r="410" spans="1:12">
      <c r="A410" s="3" t="s">
        <v>499</v>
      </c>
      <c r="B410" s="5">
        <v>38100</v>
      </c>
      <c r="C410" s="3" t="s">
        <v>216</v>
      </c>
      <c r="D410" s="278">
        <f>'101 &amp; 106 By County'!H260</f>
        <v>170.79527936543948</v>
      </c>
    </row>
    <row r="411" spans="1:12">
      <c r="A411" s="3" t="s">
        <v>499</v>
      </c>
      <c r="B411" s="5" t="s">
        <v>387</v>
      </c>
      <c r="C411" s="3" t="s">
        <v>217</v>
      </c>
      <c r="D411" s="278">
        <f>'101 &amp; 106 By County'!H261</f>
        <v>116.86903274853802</v>
      </c>
    </row>
    <row r="412" spans="1:12">
      <c r="A412" s="3" t="s">
        <v>499</v>
      </c>
      <c r="B412" s="5">
        <v>38300</v>
      </c>
      <c r="C412" s="3" t="s">
        <v>218</v>
      </c>
      <c r="D412" s="278">
        <f>'101 &amp; 106 By County'!H262</f>
        <v>59.021766666666664</v>
      </c>
    </row>
    <row r="413" spans="1:12">
      <c r="A413" s="3" t="s">
        <v>499</v>
      </c>
      <c r="B413" s="5" t="s">
        <v>391</v>
      </c>
      <c r="C413" s="3" t="s">
        <v>317</v>
      </c>
      <c r="D413" s="278">
        <f>'101 &amp; 106 By County'!H263</f>
        <v>60.094895906432747</v>
      </c>
    </row>
    <row r="414" spans="1:12">
      <c r="A414" s="3" t="s">
        <v>499</v>
      </c>
      <c r="B414" s="5" t="s">
        <v>393</v>
      </c>
      <c r="C414" s="3" t="s">
        <v>318</v>
      </c>
      <c r="D414" s="278">
        <f>'101 &amp; 106 By County'!H264</f>
        <v>4.1367912280701757</v>
      </c>
    </row>
    <row r="415" spans="1:12">
      <c r="A415" s="3" t="s">
        <v>499</v>
      </c>
      <c r="B415" s="5" t="s">
        <v>394</v>
      </c>
      <c r="C415" s="3" t="s">
        <v>319</v>
      </c>
      <c r="D415" s="278">
        <f>'101 &amp; 106 By County'!H265</f>
        <v>7.6975479532163753</v>
      </c>
    </row>
    <row r="416" spans="1:12" ht="16.5" thickBot="1">
      <c r="A416" s="48"/>
      <c r="C416" s="48" t="s">
        <v>1087</v>
      </c>
      <c r="D416" s="336">
        <f>SUM(D407:D415)</f>
        <v>154232.35742030112</v>
      </c>
      <c r="E416" s="336">
        <f>SUM(D409:D415)</f>
        <v>965.3574203011118</v>
      </c>
      <c r="L416" s="3" t="s">
        <v>1180</v>
      </c>
    </row>
    <row r="417" spans="1:12" ht="16.5" thickTop="1">
      <c r="A417" s="48"/>
      <c r="C417" s="48"/>
      <c r="D417" s="337"/>
    </row>
    <row r="418" spans="1:12">
      <c r="A418" s="3" t="s">
        <v>501</v>
      </c>
      <c r="B418" s="5" t="s">
        <v>381</v>
      </c>
      <c r="C418" s="3" t="s">
        <v>311</v>
      </c>
      <c r="D418" s="278">
        <f>'101 &amp; 106 By County'!H267</f>
        <v>28739927.809999999</v>
      </c>
    </row>
    <row r="419" spans="1:12">
      <c r="A419" s="3" t="s">
        <v>501</v>
      </c>
      <c r="B419" s="5" t="s">
        <v>383</v>
      </c>
      <c r="C419" s="3" t="s">
        <v>363</v>
      </c>
      <c r="D419" s="278">
        <f>'101 &amp; 106 By County'!H268</f>
        <v>385287.08</v>
      </c>
    </row>
    <row r="420" spans="1:12">
      <c r="A420" s="3" t="s">
        <v>501</v>
      </c>
      <c r="B420" s="5" t="s">
        <v>384</v>
      </c>
      <c r="C420" s="3" t="s">
        <v>314</v>
      </c>
      <c r="D420" s="278">
        <f>'101 &amp; 106 By County'!H269</f>
        <v>2274534.81</v>
      </c>
    </row>
    <row r="421" spans="1:12">
      <c r="A421" s="3" t="s">
        <v>501</v>
      </c>
      <c r="B421" s="5" t="s">
        <v>385</v>
      </c>
      <c r="C421" s="3" t="s">
        <v>370</v>
      </c>
      <c r="D421" s="278">
        <f>'101 &amp; 106 By County'!H270-47</f>
        <v>15480936.259602575</v>
      </c>
    </row>
    <row r="422" spans="1:12">
      <c r="A422" s="3" t="s">
        <v>501</v>
      </c>
      <c r="B422" s="5">
        <v>38100</v>
      </c>
      <c r="C422" s="3" t="s">
        <v>216</v>
      </c>
      <c r="D422" s="278">
        <f>'101 &amp; 106 By County'!H271</f>
        <v>3254162.4577497183</v>
      </c>
    </row>
    <row r="423" spans="1:12">
      <c r="A423" s="3" t="s">
        <v>501</v>
      </c>
      <c r="B423" s="5" t="s">
        <v>387</v>
      </c>
      <c r="C423" s="3" t="s">
        <v>217</v>
      </c>
      <c r="D423" s="278">
        <f>'101 &amp; 106 By County'!H272</f>
        <v>2574548.2194802631</v>
      </c>
    </row>
    <row r="424" spans="1:12">
      <c r="A424" s="3" t="s">
        <v>501</v>
      </c>
      <c r="B424" s="5">
        <v>38300</v>
      </c>
      <c r="C424" s="3" t="s">
        <v>218</v>
      </c>
      <c r="D424" s="278">
        <f>'101 &amp; 106 By County'!H273</f>
        <v>413875.79491823609</v>
      </c>
    </row>
    <row r="425" spans="1:12">
      <c r="A425" s="3" t="s">
        <v>501</v>
      </c>
      <c r="B425" s="5" t="s">
        <v>391</v>
      </c>
      <c r="C425" s="3" t="s">
        <v>317</v>
      </c>
      <c r="D425" s="278">
        <f>'101 &amp; 106 By County'!H274</f>
        <v>1124243.2448800351</v>
      </c>
    </row>
    <row r="426" spans="1:12">
      <c r="A426" s="3" t="s">
        <v>501</v>
      </c>
      <c r="B426" s="5" t="s">
        <v>393</v>
      </c>
      <c r="C426" s="3" t="s">
        <v>318</v>
      </c>
      <c r="D426" s="278">
        <f>'101 &amp; 106 By County'!H275</f>
        <v>234169.43378225321</v>
      </c>
    </row>
    <row r="427" spans="1:12">
      <c r="A427" s="3" t="s">
        <v>501</v>
      </c>
      <c r="B427" s="5" t="s">
        <v>394</v>
      </c>
      <c r="C427" s="3" t="s">
        <v>319</v>
      </c>
      <c r="D427" s="278">
        <f>'101 &amp; 106 By County'!H276</f>
        <v>153010.51725487568</v>
      </c>
    </row>
    <row r="428" spans="1:12">
      <c r="A428" s="3" t="s">
        <v>501</v>
      </c>
      <c r="B428" s="5" t="s">
        <v>405</v>
      </c>
      <c r="C428" s="3" t="s">
        <v>227</v>
      </c>
      <c r="D428" s="278">
        <f>'101 &amp; 106 By County'!H277</f>
        <v>4991.29</v>
      </c>
    </row>
    <row r="429" spans="1:12" ht="16.5" thickBot="1">
      <c r="C429" s="48" t="s">
        <v>1088</v>
      </c>
      <c r="D429" s="336">
        <f>SUM(D418:D428)</f>
        <v>54639686.917667948</v>
      </c>
      <c r="E429" s="336">
        <f>SUM(D421:D427)</f>
        <v>23234945.927667953</v>
      </c>
      <c r="L429" s="3" t="s">
        <v>1178</v>
      </c>
    </row>
    <row r="430" spans="1:12" ht="16.5" thickTop="1">
      <c r="C430" s="48"/>
      <c r="D430" s="337"/>
    </row>
    <row r="431" spans="1:12">
      <c r="B431" s="5" t="s">
        <v>1111</v>
      </c>
      <c r="C431" s="5" t="s">
        <v>1111</v>
      </c>
      <c r="D431" s="277">
        <f>SUM(D418:D420)</f>
        <v>31399749.699999996</v>
      </c>
    </row>
    <row r="432" spans="1:12">
      <c r="B432" s="5" t="s">
        <v>306</v>
      </c>
      <c r="C432" s="3" t="s">
        <v>1142</v>
      </c>
      <c r="D432" s="337">
        <f>($D$429-$D$431)*(Bills!F287)</f>
        <v>20510131.964262143</v>
      </c>
    </row>
    <row r="433" spans="1:4">
      <c r="B433" s="5" t="s">
        <v>1010</v>
      </c>
      <c r="C433" s="3" t="s">
        <v>1142</v>
      </c>
      <c r="D433" s="337">
        <f>($D$429-$D$431)*(Bills!F288)</f>
        <v>376903.40630133823</v>
      </c>
    </row>
    <row r="434" spans="1:4">
      <c r="B434" s="5" t="s">
        <v>1011</v>
      </c>
      <c r="C434" s="3" t="s">
        <v>1142</v>
      </c>
      <c r="D434" s="337">
        <f>($D$429-$D$431)*(Bills!F289)</f>
        <v>1786936.8615904872</v>
      </c>
    </row>
    <row r="435" spans="1:4">
      <c r="B435" s="5" t="s">
        <v>1012</v>
      </c>
      <c r="C435" s="3" t="s">
        <v>1142</v>
      </c>
      <c r="D435" s="337">
        <f>($D$429-$D$431)*(Bills!F290)</f>
        <v>469604.56772173208</v>
      </c>
    </row>
    <row r="436" spans="1:4">
      <c r="B436" s="5" t="s">
        <v>1013</v>
      </c>
      <c r="C436" s="3" t="s">
        <v>1142</v>
      </c>
      <c r="D436" s="337">
        <f>($D$429-$D$431)*(Bills!F291)</f>
        <v>31713.555222766325</v>
      </c>
    </row>
    <row r="437" spans="1:4">
      <c r="B437" s="5" t="s">
        <v>1014</v>
      </c>
      <c r="C437" s="3" t="s">
        <v>1142</v>
      </c>
      <c r="D437" s="337">
        <f>($D$429-$D$431)*(Bills!F292)</f>
        <v>64646.862569485202</v>
      </c>
    </row>
    <row r="438" spans="1:4" ht="16.5" thickBot="1">
      <c r="B438" s="5" t="s">
        <v>1015</v>
      </c>
      <c r="C438" s="48"/>
      <c r="D438" s="336">
        <f>SUM(D431:D437)</f>
        <v>54639686.917667955</v>
      </c>
    </row>
    <row r="439" spans="1:4" ht="16.5" thickTop="1">
      <c r="C439" s="48"/>
      <c r="D439" s="337"/>
    </row>
    <row r="440" spans="1:4">
      <c r="A440" s="3" t="s">
        <v>512</v>
      </c>
      <c r="B440" s="5" t="s">
        <v>381</v>
      </c>
      <c r="C440" s="3" t="s">
        <v>311</v>
      </c>
      <c r="D440" s="278">
        <f>'101 &amp; 106 By County'!H279</f>
        <v>25627997.879999999</v>
      </c>
    </row>
    <row r="441" spans="1:4">
      <c r="A441" s="3" t="s">
        <v>512</v>
      </c>
      <c r="B441" s="5" t="s">
        <v>383</v>
      </c>
      <c r="C441" s="3" t="s">
        <v>363</v>
      </c>
      <c r="D441" s="278">
        <f>'101 &amp; 106 By County'!H280</f>
        <v>294524.58</v>
      </c>
    </row>
    <row r="442" spans="1:4">
      <c r="A442" s="3" t="s">
        <v>512</v>
      </c>
      <c r="B442" s="5" t="s">
        <v>384</v>
      </c>
      <c r="C442" s="3" t="s">
        <v>314</v>
      </c>
      <c r="D442" s="278">
        <f>'101 &amp; 106 By County'!H281</f>
        <v>508677.37</v>
      </c>
    </row>
    <row r="443" spans="1:4">
      <c r="A443" s="3" t="s">
        <v>512</v>
      </c>
      <c r="B443" s="5" t="s">
        <v>385</v>
      </c>
      <c r="C443" s="3" t="s">
        <v>370</v>
      </c>
      <c r="D443" s="278">
        <f>'101 &amp; 106 By County'!H282-36</f>
        <v>9794016.0929683764</v>
      </c>
    </row>
    <row r="444" spans="1:4">
      <c r="A444" s="3" t="s">
        <v>512</v>
      </c>
      <c r="B444" s="5" t="s">
        <v>443</v>
      </c>
      <c r="C444" s="3" t="s">
        <v>216</v>
      </c>
      <c r="D444" s="278">
        <f>'101 &amp; 106 By County'!H283</f>
        <v>3532558.7631153851</v>
      </c>
    </row>
    <row r="445" spans="1:4">
      <c r="A445" s="3" t="s">
        <v>512</v>
      </c>
      <c r="B445" s="5" t="s">
        <v>387</v>
      </c>
      <c r="C445" s="3" t="s">
        <v>217</v>
      </c>
      <c r="D445" s="278">
        <f>'101 &amp; 106 By County'!H284</f>
        <v>2907851.0816906858</v>
      </c>
    </row>
    <row r="446" spans="1:4">
      <c r="A446" s="3" t="s">
        <v>512</v>
      </c>
      <c r="B446" s="5" t="s">
        <v>389</v>
      </c>
      <c r="C446" s="3" t="s">
        <v>218</v>
      </c>
      <c r="D446" s="278">
        <f>'101 &amp; 106 By County'!H285</f>
        <v>403579.2414607628</v>
      </c>
    </row>
    <row r="447" spans="1:4">
      <c r="A447" s="3" t="s">
        <v>512</v>
      </c>
      <c r="B447" s="5" t="s">
        <v>391</v>
      </c>
      <c r="C447" s="3" t="s">
        <v>317</v>
      </c>
      <c r="D447" s="278">
        <f>'101 &amp; 106 By County'!H286</f>
        <v>1255599.9434389162</v>
      </c>
    </row>
    <row r="448" spans="1:4">
      <c r="A448" s="3" t="s">
        <v>512</v>
      </c>
      <c r="B448" s="5" t="s">
        <v>393</v>
      </c>
      <c r="C448" s="3" t="s">
        <v>318</v>
      </c>
      <c r="D448" s="278">
        <f>'101 &amp; 106 By County'!H287</f>
        <v>80020.222452258487</v>
      </c>
    </row>
    <row r="449" spans="1:12">
      <c r="A449" s="3" t="s">
        <v>512</v>
      </c>
      <c r="B449" s="5" t="s">
        <v>394</v>
      </c>
      <c r="C449" s="3" t="s">
        <v>319</v>
      </c>
      <c r="D449" s="278">
        <f>'101 &amp; 106 By County'!H288</f>
        <v>106625.5151728879</v>
      </c>
    </row>
    <row r="450" spans="1:12">
      <c r="A450" s="3" t="s">
        <v>512</v>
      </c>
      <c r="B450" s="5" t="s">
        <v>396</v>
      </c>
      <c r="C450" s="3" t="s">
        <v>397</v>
      </c>
      <c r="D450" s="278">
        <f>'101 &amp; 106 By County'!H289</f>
        <v>216524.55</v>
      </c>
    </row>
    <row r="451" spans="1:12">
      <c r="A451" s="3" t="s">
        <v>512</v>
      </c>
      <c r="B451" s="5" t="s">
        <v>399</v>
      </c>
      <c r="C451" s="3" t="s">
        <v>400</v>
      </c>
      <c r="D451" s="278">
        <f>'101 &amp; 106 By County'!H290</f>
        <v>189434.1</v>
      </c>
    </row>
    <row r="452" spans="1:12">
      <c r="A452" s="3" t="s">
        <v>512</v>
      </c>
      <c r="B452" s="5" t="s">
        <v>402</v>
      </c>
      <c r="C452" s="3" t="s">
        <v>403</v>
      </c>
      <c r="D452" s="278">
        <f>'101 &amp; 106 By County'!H291</f>
        <v>52942.62</v>
      </c>
    </row>
    <row r="453" spans="1:12">
      <c r="A453" s="3" t="s">
        <v>512</v>
      </c>
      <c r="B453" s="5" t="s">
        <v>405</v>
      </c>
      <c r="C453" s="3" t="s">
        <v>227</v>
      </c>
      <c r="D453" s="278">
        <f>'101 &amp; 106 By County'!H292</f>
        <v>181880.77</v>
      </c>
    </row>
    <row r="454" spans="1:12">
      <c r="A454" s="3" t="s">
        <v>512</v>
      </c>
      <c r="B454" s="5" t="s">
        <v>407</v>
      </c>
      <c r="C454" s="3" t="s">
        <v>408</v>
      </c>
      <c r="D454" s="278">
        <f>'101 &amp; 106 By County'!H293</f>
        <v>135333.75</v>
      </c>
    </row>
    <row r="455" spans="1:12">
      <c r="A455" s="3" t="s">
        <v>512</v>
      </c>
      <c r="C455" s="3" t="s">
        <v>241</v>
      </c>
      <c r="D455" s="278">
        <f>'Alloc. Factors'!F33</f>
        <v>320990</v>
      </c>
    </row>
    <row r="456" spans="1:12" ht="16.5" thickBot="1">
      <c r="C456" s="48" t="s">
        <v>1089</v>
      </c>
      <c r="D456" s="336">
        <f>SUM(D440:D455)</f>
        <v>45608556.480299272</v>
      </c>
      <c r="E456" s="336">
        <f>SUM(D443:D449)</f>
        <v>18080250.860299271</v>
      </c>
      <c r="L456" s="3" t="s">
        <v>1178</v>
      </c>
    </row>
    <row r="457" spans="1:12" ht="16.5" thickTop="1">
      <c r="C457" s="48"/>
      <c r="D457" s="337"/>
    </row>
    <row r="458" spans="1:12">
      <c r="B458" s="5" t="s">
        <v>1111</v>
      </c>
      <c r="C458" s="5" t="s">
        <v>1111</v>
      </c>
      <c r="D458" s="277">
        <f>SUM(D440:D442)</f>
        <v>26431199.829999998</v>
      </c>
    </row>
    <row r="459" spans="1:12">
      <c r="B459" s="5" t="s">
        <v>306</v>
      </c>
      <c r="C459" s="3" t="s">
        <v>1142</v>
      </c>
      <c r="D459" s="337">
        <f>($D$456-$D$458)*(Bills!F342)</f>
        <v>10210368.487796528</v>
      </c>
    </row>
    <row r="460" spans="1:12">
      <c r="B460" s="5" t="s">
        <v>1038</v>
      </c>
      <c r="C460" s="3" t="s">
        <v>1142</v>
      </c>
      <c r="D460" s="337">
        <f>($D$456-$D$458)*(Bills!F343)</f>
        <v>8881685.4108793084</v>
      </c>
    </row>
    <row r="461" spans="1:12">
      <c r="B461" s="5" t="s">
        <v>1113</v>
      </c>
      <c r="C461" s="3" t="s">
        <v>1142</v>
      </c>
      <c r="D461" s="337">
        <f>($D$456-$D$458)*(Bills!F344+Bills!F345)</f>
        <v>85302.751623436299</v>
      </c>
    </row>
    <row r="462" spans="1:12" ht="16.5" thickBot="1">
      <c r="B462" s="5" t="s">
        <v>1041</v>
      </c>
      <c r="C462" s="48"/>
      <c r="D462" s="336">
        <f>SUM(D458:D461)</f>
        <v>45608556.480299272</v>
      </c>
    </row>
    <row r="463" spans="1:12" ht="16.5" thickTop="1">
      <c r="C463" s="48"/>
      <c r="D463" s="337"/>
    </row>
    <row r="464" spans="1:12">
      <c r="A464" s="3" t="s">
        <v>528</v>
      </c>
      <c r="B464" s="5" t="s">
        <v>381</v>
      </c>
      <c r="C464" s="3" t="s">
        <v>311</v>
      </c>
      <c r="D464" s="278">
        <f>'101 &amp; 106 By County'!H295</f>
        <v>5127158.29</v>
      </c>
    </row>
    <row r="465" spans="1:12">
      <c r="A465" s="3" t="s">
        <v>528</v>
      </c>
      <c r="B465" s="5" t="s">
        <v>384</v>
      </c>
      <c r="C465" s="3" t="s">
        <v>314</v>
      </c>
      <c r="D465" s="278">
        <f>'101 &amp; 106 By County'!H296</f>
        <v>1701473.83</v>
      </c>
    </row>
    <row r="466" spans="1:12">
      <c r="A466" s="3" t="s">
        <v>528</v>
      </c>
      <c r="B466" s="5" t="s">
        <v>385</v>
      </c>
      <c r="C466" s="3" t="s">
        <v>370</v>
      </c>
      <c r="D466" s="278">
        <f>'101 &amp; 106 By County'!H297-1</f>
        <v>276993.09704657819</v>
      </c>
    </row>
    <row r="467" spans="1:12">
      <c r="A467" s="3" t="s">
        <v>528</v>
      </c>
      <c r="B467" s="5">
        <v>38100</v>
      </c>
      <c r="C467" s="3" t="s">
        <v>216</v>
      </c>
      <c r="D467" s="278">
        <f>'101 &amp; 106 By County'!H298</f>
        <v>80444.57658112199</v>
      </c>
    </row>
    <row r="468" spans="1:12">
      <c r="A468" s="3" t="s">
        <v>528</v>
      </c>
      <c r="B468" s="5" t="s">
        <v>387</v>
      </c>
      <c r="C468" s="3" t="s">
        <v>217</v>
      </c>
      <c r="D468" s="278">
        <f>'101 &amp; 106 By County'!H299</f>
        <v>54698.553244860785</v>
      </c>
    </row>
    <row r="469" spans="1:12">
      <c r="A469" s="3" t="s">
        <v>528</v>
      </c>
      <c r="B469" s="5" t="s">
        <v>389</v>
      </c>
      <c r="C469" s="3" t="s">
        <v>218</v>
      </c>
      <c r="D469" s="278">
        <f>'101 &amp; 106 By County'!H300</f>
        <v>9905.3277309393688</v>
      </c>
    </row>
    <row r="470" spans="1:12">
      <c r="A470" s="3" t="s">
        <v>528</v>
      </c>
      <c r="B470" s="5" t="s">
        <v>391</v>
      </c>
      <c r="C470" s="3" t="s">
        <v>317</v>
      </c>
      <c r="D470" s="278">
        <f>'101 &amp; 106 By County'!H301</f>
        <v>20774.311493624773</v>
      </c>
    </row>
    <row r="471" spans="1:12">
      <c r="A471" s="3" t="s">
        <v>528</v>
      </c>
      <c r="B471" s="5" t="s">
        <v>393</v>
      </c>
      <c r="C471" s="3" t="s">
        <v>318</v>
      </c>
      <c r="D471" s="278">
        <f>'101 &amp; 106 By County'!H302</f>
        <v>1757.8799349466562</v>
      </c>
    </row>
    <row r="472" spans="1:12">
      <c r="B472" s="5" t="s">
        <v>394</v>
      </c>
      <c r="C472" s="3" t="s">
        <v>319</v>
      </c>
      <c r="D472" s="278">
        <f>'101 &amp; 106 By County'!H303</f>
        <v>3234.4643221441584</v>
      </c>
    </row>
    <row r="473" spans="1:12" ht="16.5" thickBot="1">
      <c r="C473" s="48" t="s">
        <v>1090</v>
      </c>
      <c r="D473" s="336">
        <f>SUM(D464:D472)</f>
        <v>7276440.3303542174</v>
      </c>
      <c r="E473" s="336">
        <f>SUM(D466:D472)</f>
        <v>447808.21035421593</v>
      </c>
      <c r="L473" s="3" t="s">
        <v>1178</v>
      </c>
    </row>
    <row r="474" spans="1:12" ht="16.5" thickTop="1">
      <c r="C474" s="48"/>
      <c r="D474" s="337"/>
    </row>
    <row r="475" spans="1:12">
      <c r="B475" s="5" t="s">
        <v>1111</v>
      </c>
      <c r="C475" s="5" t="s">
        <v>1111</v>
      </c>
      <c r="D475" s="277">
        <f>SUM(D464:D465)</f>
        <v>6828632.1200000001</v>
      </c>
    </row>
    <row r="476" spans="1:12">
      <c r="B476" s="5" t="s">
        <v>1019</v>
      </c>
      <c r="C476" s="3" t="s">
        <v>1142</v>
      </c>
      <c r="D476" s="337">
        <f>($D$473-$D$475)*(Bills!F304)</f>
        <v>284277.39892974729</v>
      </c>
    </row>
    <row r="477" spans="1:12">
      <c r="B477" s="5" t="s">
        <v>306</v>
      </c>
      <c r="C477" s="3" t="s">
        <v>1142</v>
      </c>
      <c r="D477" s="337">
        <f>($D$473-$D$475)*(Bills!F305)</f>
        <v>163530.81142447001</v>
      </c>
    </row>
    <row r="478" spans="1:12" ht="16.5" thickBot="1">
      <c r="B478" s="5" t="s">
        <v>1020</v>
      </c>
      <c r="C478" s="48"/>
      <c r="D478" s="336">
        <f>SUM(D475:D477)</f>
        <v>7276440.3303542174</v>
      </c>
    </row>
    <row r="479" spans="1:12" ht="16.5" thickTop="1">
      <c r="C479" s="48"/>
    </row>
    <row r="480" spans="1:12">
      <c r="A480" s="3" t="s">
        <v>531</v>
      </c>
      <c r="B480" s="5" t="s">
        <v>381</v>
      </c>
      <c r="C480" s="3" t="s">
        <v>311</v>
      </c>
      <c r="D480" s="278">
        <f>'101 &amp; 106 By County'!H305</f>
        <v>10142142.449999999</v>
      </c>
    </row>
    <row r="481" spans="1:5">
      <c r="A481" s="3" t="s">
        <v>531</v>
      </c>
      <c r="B481" s="5" t="s">
        <v>383</v>
      </c>
      <c r="C481" s="3" t="s">
        <v>363</v>
      </c>
      <c r="D481" s="278">
        <f>'101 &amp; 106 By County'!H306</f>
        <v>427812.7</v>
      </c>
    </row>
    <row r="482" spans="1:5">
      <c r="A482" s="3" t="s">
        <v>531</v>
      </c>
      <c r="B482" s="5" t="s">
        <v>384</v>
      </c>
      <c r="C482" s="3" t="s">
        <v>314</v>
      </c>
      <c r="D482" s="278">
        <f>'101 &amp; 106 By County'!H307</f>
        <v>58346.080000000002</v>
      </c>
    </row>
    <row r="483" spans="1:5">
      <c r="A483" s="3" t="s">
        <v>531</v>
      </c>
      <c r="B483" s="5">
        <v>38000</v>
      </c>
      <c r="C483" s="3" t="s">
        <v>370</v>
      </c>
      <c r="D483" s="278">
        <f>'101 &amp; 106 By County'!H308</f>
        <v>5334.7102365443952</v>
      </c>
    </row>
    <row r="484" spans="1:5">
      <c r="A484" s="3" t="s">
        <v>531</v>
      </c>
      <c r="B484" s="5">
        <v>38100</v>
      </c>
      <c r="C484" s="3" t="s">
        <v>216</v>
      </c>
      <c r="D484" s="278">
        <f>'101 &amp; 106 By County'!H309</f>
        <v>683.18111746175794</v>
      </c>
    </row>
    <row r="485" spans="1:5">
      <c r="A485" s="3" t="s">
        <v>531</v>
      </c>
      <c r="B485" s="5">
        <v>38200</v>
      </c>
      <c r="C485" s="3" t="s">
        <v>217</v>
      </c>
      <c r="D485" s="278">
        <f>'101 &amp; 106 By County'!H310</f>
        <v>686.62380723835645</v>
      </c>
    </row>
    <row r="486" spans="1:5">
      <c r="A486" s="3" t="s">
        <v>531</v>
      </c>
      <c r="B486" s="5">
        <v>38300</v>
      </c>
      <c r="C486" s="3" t="s">
        <v>218</v>
      </c>
      <c r="D486" s="278">
        <f>'101 &amp; 106 By County'!H311</f>
        <v>369.71258925510557</v>
      </c>
    </row>
    <row r="487" spans="1:5">
      <c r="A487" s="3" t="s">
        <v>531</v>
      </c>
      <c r="B487" s="5">
        <v>38400</v>
      </c>
      <c r="C487" s="3" t="s">
        <v>317</v>
      </c>
      <c r="D487" s="278">
        <f>'101 &amp; 106 By County'!H312</f>
        <v>294.68711298300605</v>
      </c>
    </row>
    <row r="488" spans="1:5">
      <c r="A488" s="3" t="s">
        <v>531</v>
      </c>
      <c r="B488" s="5">
        <v>38500</v>
      </c>
      <c r="C488" s="3" t="s">
        <v>318</v>
      </c>
      <c r="D488" s="278">
        <f>'101 &amp; 106 By County'!H313</f>
        <v>545.74016749106238</v>
      </c>
    </row>
    <row r="489" spans="1:5">
      <c r="A489" s="3" t="s">
        <v>531</v>
      </c>
      <c r="B489" s="5">
        <v>38700</v>
      </c>
      <c r="C489" s="3" t="s">
        <v>319</v>
      </c>
      <c r="D489" s="278">
        <f>'101 &amp; 106 By County'!H314</f>
        <v>69.151408002350763</v>
      </c>
    </row>
    <row r="490" spans="1:5" ht="16.5" thickBot="1">
      <c r="A490" s="48"/>
      <c r="C490" s="48" t="s">
        <v>1091</v>
      </c>
      <c r="D490" s="336">
        <f>SUBTOTAL(9,D480:D489)</f>
        <v>10636285.036438974</v>
      </c>
      <c r="E490" s="336">
        <f>SUM(D483:D489)</f>
        <v>7983.8064389760348</v>
      </c>
    </row>
    <row r="491" spans="1:5" ht="16.5" thickTop="1">
      <c r="A491" s="48"/>
      <c r="C491" s="48"/>
      <c r="D491" s="337"/>
    </row>
    <row r="492" spans="1:5">
      <c r="A492" s="3" t="s">
        <v>533</v>
      </c>
      <c r="B492" s="5" t="s">
        <v>381</v>
      </c>
      <c r="C492" s="3" t="s">
        <v>311</v>
      </c>
      <c r="D492" s="278">
        <f>'101 &amp; 106 By County'!H316</f>
        <v>56642150.68</v>
      </c>
    </row>
    <row r="493" spans="1:5">
      <c r="A493" s="3" t="s">
        <v>533</v>
      </c>
      <c r="B493" s="5" t="s">
        <v>383</v>
      </c>
      <c r="C493" s="3" t="s">
        <v>363</v>
      </c>
      <c r="D493" s="278">
        <f>'101 &amp; 106 By County'!H317</f>
        <v>761421.39</v>
      </c>
    </row>
    <row r="494" spans="1:5">
      <c r="A494" s="3" t="s">
        <v>533</v>
      </c>
      <c r="B494" s="5" t="s">
        <v>384</v>
      </c>
      <c r="C494" s="3" t="s">
        <v>314</v>
      </c>
      <c r="D494" s="278">
        <f>'101 &amp; 106 By County'!H318</f>
        <v>1393613.85</v>
      </c>
    </row>
    <row r="495" spans="1:5">
      <c r="A495" s="3" t="s">
        <v>533</v>
      </c>
      <c r="B495" s="5" t="s">
        <v>385</v>
      </c>
      <c r="C495" s="3" t="s">
        <v>370</v>
      </c>
      <c r="D495" s="278">
        <f>'101 &amp; 106 By County'!H319-78</f>
        <v>23440565.522040907</v>
      </c>
    </row>
    <row r="496" spans="1:5">
      <c r="A496" s="3" t="s">
        <v>533</v>
      </c>
      <c r="B496" s="5">
        <v>38100</v>
      </c>
      <c r="C496" s="3" t="s">
        <v>216</v>
      </c>
      <c r="D496" s="278">
        <f>'101 &amp; 106 By County'!H320</f>
        <v>5527960.0119418139</v>
      </c>
    </row>
    <row r="497" spans="1:13">
      <c r="A497" s="3" t="s">
        <v>533</v>
      </c>
      <c r="B497" s="5" t="s">
        <v>387</v>
      </c>
      <c r="C497" s="3" t="s">
        <v>217</v>
      </c>
      <c r="D497" s="278">
        <f>'101 &amp; 106 By County'!H321</f>
        <v>4718726.7763520461</v>
      </c>
    </row>
    <row r="498" spans="1:13">
      <c r="A498" s="3" t="s">
        <v>533</v>
      </c>
      <c r="B498" s="5" t="s">
        <v>389</v>
      </c>
      <c r="C498" s="3" t="s">
        <v>218</v>
      </c>
      <c r="D498" s="278">
        <f>'101 &amp; 106 By County'!H322</f>
        <v>1417521.9712998655</v>
      </c>
    </row>
    <row r="499" spans="1:13">
      <c r="A499" s="3" t="s">
        <v>533</v>
      </c>
      <c r="B499" s="5" t="s">
        <v>391</v>
      </c>
      <c r="C499" s="3" t="s">
        <v>317</v>
      </c>
      <c r="D499" s="278">
        <f>'101 &amp; 106 By County'!H323</f>
        <v>1757802.3018250298</v>
      </c>
    </row>
    <row r="500" spans="1:13">
      <c r="A500" s="3" t="s">
        <v>533</v>
      </c>
      <c r="B500" s="5" t="s">
        <v>393</v>
      </c>
      <c r="C500" s="3" t="s">
        <v>318</v>
      </c>
      <c r="D500" s="278">
        <f>'101 &amp; 106 By County'!H324</f>
        <v>1479540.084106632</v>
      </c>
    </row>
    <row r="501" spans="1:13">
      <c r="A501" s="3" t="s">
        <v>533</v>
      </c>
      <c r="B501" s="5" t="s">
        <v>394</v>
      </c>
      <c r="C501" s="3" t="s">
        <v>319</v>
      </c>
      <c r="D501" s="278">
        <f>'101 &amp; 106 By County'!H325</f>
        <v>348880.14043469116</v>
      </c>
    </row>
    <row r="502" spans="1:13">
      <c r="A502" s="3" t="s">
        <v>533</v>
      </c>
      <c r="B502" s="5" t="s">
        <v>396</v>
      </c>
      <c r="C502" s="3" t="s">
        <v>397</v>
      </c>
      <c r="D502" s="278">
        <f>'101 &amp; 106 By County'!H326</f>
        <v>518540.82</v>
      </c>
    </row>
    <row r="503" spans="1:13">
      <c r="A503" s="3" t="s">
        <v>533</v>
      </c>
      <c r="B503" s="5" t="s">
        <v>451</v>
      </c>
      <c r="C503" s="3" t="s">
        <v>452</v>
      </c>
      <c r="D503" s="278">
        <f>'101 &amp; 106 By County'!H327</f>
        <v>0</v>
      </c>
    </row>
    <row r="504" spans="1:13">
      <c r="A504" s="3" t="s">
        <v>533</v>
      </c>
      <c r="B504" s="5" t="s">
        <v>399</v>
      </c>
      <c r="C504" s="3" t="s">
        <v>400</v>
      </c>
      <c r="D504" s="278">
        <f>'101 &amp; 106 By County'!H328</f>
        <v>461423.89</v>
      </c>
    </row>
    <row r="505" spans="1:13">
      <c r="A505" s="3" t="s">
        <v>533</v>
      </c>
      <c r="B505" s="5" t="s">
        <v>402</v>
      </c>
      <c r="C505" s="3" t="s">
        <v>403</v>
      </c>
      <c r="D505" s="278">
        <f>'101 &amp; 106 By County'!H329</f>
        <v>121542.51</v>
      </c>
    </row>
    <row r="506" spans="1:13">
      <c r="A506" s="3" t="s">
        <v>533</v>
      </c>
      <c r="B506" s="5" t="s">
        <v>405</v>
      </c>
      <c r="C506" s="3" t="s">
        <v>227</v>
      </c>
      <c r="D506" s="278">
        <f>'101 &amp; 106 By County'!H330</f>
        <v>426462.39</v>
      </c>
    </row>
    <row r="507" spans="1:13">
      <c r="A507" s="3" t="s">
        <v>533</v>
      </c>
      <c r="B507" s="5" t="s">
        <v>407</v>
      </c>
      <c r="C507" s="3" t="s">
        <v>408</v>
      </c>
      <c r="D507" s="278">
        <f>'101 &amp; 106 By County'!H331</f>
        <v>13001.55</v>
      </c>
    </row>
    <row r="508" spans="1:13">
      <c r="A508" s="3" t="s">
        <v>533</v>
      </c>
      <c r="C508" s="3" t="s">
        <v>241</v>
      </c>
      <c r="D508" s="278">
        <f>'Alloc. Factors'!F36</f>
        <v>92234</v>
      </c>
    </row>
    <row r="509" spans="1:13" ht="16.5" thickBot="1">
      <c r="C509" s="48" t="s">
        <v>1092</v>
      </c>
      <c r="D509" s="336">
        <f>SUM(D492:D508)</f>
        <v>99121387.88800101</v>
      </c>
      <c r="E509" s="336">
        <f>SUM(D495:D501)</f>
        <v>38690996.808000982</v>
      </c>
      <c r="M509" s="3" t="s">
        <v>1178</v>
      </c>
    </row>
    <row r="510" spans="1:13" ht="16.5" thickTop="1">
      <c r="C510" s="48"/>
      <c r="D510" s="337"/>
    </row>
    <row r="511" spans="1:13">
      <c r="B511" s="5" t="s">
        <v>1111</v>
      </c>
      <c r="C511" s="5" t="s">
        <v>1111</v>
      </c>
      <c r="D511" s="277">
        <f>SUM(D492:D494)</f>
        <v>58797185.920000002</v>
      </c>
    </row>
    <row r="512" spans="1:13">
      <c r="B512" s="5" t="s">
        <v>306</v>
      </c>
      <c r="C512" s="3" t="s">
        <v>1142</v>
      </c>
      <c r="D512" s="337">
        <f>($D$509-$D$511)*(Bills!F162+Bills!F169)</f>
        <v>23074890.410322484</v>
      </c>
    </row>
    <row r="513" spans="1:4">
      <c r="B513" s="5" t="s">
        <v>865</v>
      </c>
      <c r="C513" s="3" t="s">
        <v>1142</v>
      </c>
      <c r="D513" s="337">
        <f>($D$509-$D$511)*(Bills!F163)</f>
        <v>1249.5879134800434</v>
      </c>
    </row>
    <row r="514" spans="1:4">
      <c r="B514" s="5" t="s">
        <v>867</v>
      </c>
      <c r="C514" s="3" t="s">
        <v>1142</v>
      </c>
      <c r="D514" s="337">
        <f>($D$509-$D$511)*(Bills!F164)</f>
        <v>51233.104452681793</v>
      </c>
    </row>
    <row r="515" spans="1:4">
      <c r="B515" s="5" t="s">
        <v>869</v>
      </c>
      <c r="C515" s="3" t="s">
        <v>1142</v>
      </c>
      <c r="D515" s="337">
        <f>($D$509-$D$511)*(Bills!F165)</f>
        <v>259914.28600384909</v>
      </c>
    </row>
    <row r="516" spans="1:4">
      <c r="B516" s="5" t="s">
        <v>871</v>
      </c>
      <c r="C516" s="3" t="s">
        <v>1142</v>
      </c>
      <c r="D516" s="337">
        <f>($D$509-$D$511)*(Bills!F166)</f>
        <v>14467728.862271944</v>
      </c>
    </row>
    <row r="517" spans="1:4">
      <c r="B517" s="5" t="s">
        <v>873</v>
      </c>
      <c r="C517" s="3" t="s">
        <v>1142</v>
      </c>
      <c r="D517" s="337">
        <f>($D$509-$D$511)*(Bills!F167)</f>
        <v>2469185.7170365662</v>
      </c>
    </row>
    <row r="518" spans="1:4" ht="16.5" thickBot="1">
      <c r="B518" s="5" t="s">
        <v>1093</v>
      </c>
      <c r="C518" s="48"/>
      <c r="D518" s="336">
        <f>SUM(D511:D517)</f>
        <v>99121387.88800101</v>
      </c>
    </row>
    <row r="519" spans="1:4" ht="16.5" thickTop="1">
      <c r="C519" s="48"/>
      <c r="D519" s="337"/>
    </row>
    <row r="520" spans="1:4">
      <c r="A520" s="3" t="s">
        <v>547</v>
      </c>
      <c r="B520" s="5" t="s">
        <v>381</v>
      </c>
      <c r="C520" s="3" t="s">
        <v>311</v>
      </c>
      <c r="D520" s="278">
        <f>'101 &amp; 106 By County'!H333</f>
        <v>13026290.949999999</v>
      </c>
    </row>
    <row r="521" spans="1:4">
      <c r="A521" s="3" t="s">
        <v>547</v>
      </c>
      <c r="B521" s="5" t="s">
        <v>383</v>
      </c>
      <c r="C521" s="3" t="s">
        <v>363</v>
      </c>
      <c r="D521" s="278">
        <f>'101 &amp; 106 By County'!H334</f>
        <v>137748.35</v>
      </c>
    </row>
    <row r="522" spans="1:4">
      <c r="A522" s="3" t="s">
        <v>547</v>
      </c>
      <c r="B522" s="5" t="s">
        <v>384</v>
      </c>
      <c r="C522" s="3" t="s">
        <v>314</v>
      </c>
      <c r="D522" s="278">
        <f>'101 &amp; 106 By County'!H335</f>
        <v>548205.35</v>
      </c>
    </row>
    <row r="523" spans="1:4">
      <c r="A523" s="3" t="s">
        <v>547</v>
      </c>
      <c r="B523" s="5">
        <v>38000</v>
      </c>
      <c r="C523" s="3" t="s">
        <v>370</v>
      </c>
      <c r="D523" s="278">
        <f>'101 &amp; 106 By County'!H336-18</f>
        <v>5394820.8307385128</v>
      </c>
    </row>
    <row r="524" spans="1:4">
      <c r="A524" s="3" t="s">
        <v>547</v>
      </c>
      <c r="B524" s="5">
        <v>38100</v>
      </c>
      <c r="C524" s="3" t="s">
        <v>216</v>
      </c>
      <c r="D524" s="278">
        <f>'101 &amp; 106 By County'!H337</f>
        <v>1272254.0359931588</v>
      </c>
    </row>
    <row r="525" spans="1:4">
      <c r="A525" s="3" t="s">
        <v>547</v>
      </c>
      <c r="B525" s="5">
        <v>38200</v>
      </c>
      <c r="C525" s="3" t="s">
        <v>217</v>
      </c>
      <c r="D525" s="278">
        <f>'101 &amp; 106 By County'!H338</f>
        <v>1086009.8794119256</v>
      </c>
    </row>
    <row r="526" spans="1:4">
      <c r="A526" s="3" t="s">
        <v>547</v>
      </c>
      <c r="B526" s="5">
        <v>38300</v>
      </c>
      <c r="C526" s="3" t="s">
        <v>218</v>
      </c>
      <c r="D526" s="278">
        <f>'101 &amp; 106 By County'!H339</f>
        <v>326241.15319201315</v>
      </c>
    </row>
    <row r="527" spans="1:4">
      <c r="A527" s="3" t="s">
        <v>547</v>
      </c>
      <c r="B527" s="5" t="s">
        <v>391</v>
      </c>
      <c r="C527" s="3" t="s">
        <v>317</v>
      </c>
      <c r="D527" s="278">
        <f>'101 &amp; 106 By County'!H340</f>
        <v>404556.30434080964</v>
      </c>
    </row>
    <row r="528" spans="1:4">
      <c r="A528" s="3" t="s">
        <v>547</v>
      </c>
      <c r="B528" s="5">
        <v>38500</v>
      </c>
      <c r="C528" s="3" t="s">
        <v>318</v>
      </c>
      <c r="D528" s="278">
        <f>'101 &amp; 106 By County'!H341</f>
        <v>340514.5549808534</v>
      </c>
    </row>
    <row r="529" spans="1:13">
      <c r="A529" s="3" t="s">
        <v>547</v>
      </c>
      <c r="B529" s="5">
        <v>38700</v>
      </c>
      <c r="C529" s="3" t="s">
        <v>319</v>
      </c>
      <c r="D529" s="278">
        <f>'101 &amp; 106 By County'!H342</f>
        <v>80294.388126367616</v>
      </c>
      <c r="M529" s="3" t="s">
        <v>1178</v>
      </c>
    </row>
    <row r="530" spans="1:13" ht="16.5" thickBot="1">
      <c r="C530" s="48" t="s">
        <v>1094</v>
      </c>
      <c r="D530" s="336">
        <f>SUBTOTAL(9,D520:D529)</f>
        <v>22616935.796783637</v>
      </c>
      <c r="E530" s="336">
        <f>SUM(D523:D529)</f>
        <v>8904691.1467836425</v>
      </c>
    </row>
    <row r="531" spans="1:13" ht="16.5" thickTop="1">
      <c r="C531" s="48"/>
      <c r="D531" s="337"/>
    </row>
    <row r="532" spans="1:13">
      <c r="B532" s="5" t="s">
        <v>1111</v>
      </c>
      <c r="C532" s="5" t="s">
        <v>1111</v>
      </c>
      <c r="D532" s="277">
        <f>SUM(D520:D522)</f>
        <v>13712244.649999999</v>
      </c>
    </row>
    <row r="533" spans="1:13">
      <c r="B533" s="5" t="s">
        <v>306</v>
      </c>
      <c r="C533" s="3" t="s">
        <v>1142</v>
      </c>
      <c r="D533" s="337">
        <f>($D$530-$D$532)*(Bills!F172)</f>
        <v>5666295.6149489116</v>
      </c>
    </row>
    <row r="534" spans="1:13">
      <c r="B534" s="5" t="s">
        <v>883</v>
      </c>
      <c r="C534" s="3" t="s">
        <v>1142</v>
      </c>
      <c r="D534" s="337">
        <f>($D$530-$D$532)*(Bills!F173)</f>
        <v>3226441.3216766063</v>
      </c>
    </row>
    <row r="535" spans="1:13">
      <c r="B535" s="5" t="s">
        <v>885</v>
      </c>
      <c r="C535" s="3" t="s">
        <v>1142</v>
      </c>
      <c r="D535" s="337">
        <f>($D$530-$D$532)*(Bills!F174)</f>
        <v>11954.210158120068</v>
      </c>
    </row>
    <row r="536" spans="1:13" ht="16.5" thickBot="1">
      <c r="C536" s="48"/>
      <c r="D536" s="336">
        <f>SUM(D532:D535)</f>
        <v>22616935.796783637</v>
      </c>
    </row>
    <row r="537" spans="1:13" ht="16.5" thickTop="1">
      <c r="C537" s="48"/>
      <c r="D537" s="337"/>
    </row>
    <row r="538" spans="1:13">
      <c r="A538" s="3" t="s">
        <v>549</v>
      </c>
      <c r="B538" s="5" t="s">
        <v>381</v>
      </c>
      <c r="C538" s="3" t="s">
        <v>311</v>
      </c>
      <c r="D538" s="278">
        <f>'101 &amp; 106 By County'!H344</f>
        <v>11068251.93</v>
      </c>
    </row>
    <row r="539" spans="1:13">
      <c r="A539" s="3" t="s">
        <v>549</v>
      </c>
      <c r="B539" s="5" t="s">
        <v>383</v>
      </c>
      <c r="C539" s="3" t="s">
        <v>363</v>
      </c>
      <c r="D539" s="278">
        <f>'101 &amp; 106 By County'!H345</f>
        <v>4034.82</v>
      </c>
    </row>
    <row r="540" spans="1:13">
      <c r="A540" s="3" t="s">
        <v>549</v>
      </c>
      <c r="B540" s="5" t="s">
        <v>384</v>
      </c>
      <c r="C540" s="3" t="s">
        <v>314</v>
      </c>
      <c r="D540" s="278">
        <f>'101 &amp; 106 By County'!H346</f>
        <v>230240.46</v>
      </c>
    </row>
    <row r="541" spans="1:13">
      <c r="A541" s="3" t="s">
        <v>549</v>
      </c>
      <c r="B541" s="5" t="s">
        <v>385</v>
      </c>
      <c r="C541" s="3" t="s">
        <v>370</v>
      </c>
      <c r="D541" s="278">
        <f>'101 &amp; 106 By County'!H347-22</f>
        <v>6503164.2529534213</v>
      </c>
    </row>
    <row r="542" spans="1:13">
      <c r="A542" s="3" t="s">
        <v>549</v>
      </c>
      <c r="B542" s="5">
        <v>38100</v>
      </c>
      <c r="C542" s="3" t="s">
        <v>216</v>
      </c>
      <c r="D542" s="278">
        <f>'101 &amp; 106 By County'!H348</f>
        <v>1888654.1992230297</v>
      </c>
    </row>
    <row r="543" spans="1:13">
      <c r="A543" s="3" t="s">
        <v>549</v>
      </c>
      <c r="B543" s="5" t="s">
        <v>387</v>
      </c>
      <c r="C543" s="3" t="s">
        <v>217</v>
      </c>
      <c r="D543" s="278">
        <f>'101 &amp; 106 By County'!H349</f>
        <v>1284196.6067551391</v>
      </c>
    </row>
    <row r="544" spans="1:13">
      <c r="A544" s="3" t="s">
        <v>549</v>
      </c>
      <c r="B544" s="5" t="s">
        <v>389</v>
      </c>
      <c r="C544" s="3" t="s">
        <v>218</v>
      </c>
      <c r="D544" s="278">
        <f>'101 &amp; 106 By County'!H350</f>
        <v>232554.38226906062</v>
      </c>
    </row>
    <row r="545" spans="1:13">
      <c r="A545" s="3" t="s">
        <v>549</v>
      </c>
      <c r="B545" s="5" t="s">
        <v>391</v>
      </c>
      <c r="C545" s="3" t="s">
        <v>317</v>
      </c>
      <c r="D545" s="278">
        <f>'101 &amp; 106 By County'!H351</f>
        <v>487733.19850637525</v>
      </c>
    </row>
    <row r="546" spans="1:13">
      <c r="A546" s="3" t="s">
        <v>549</v>
      </c>
      <c r="B546" s="5" t="s">
        <v>393</v>
      </c>
      <c r="C546" s="3" t="s">
        <v>318</v>
      </c>
      <c r="D546" s="278">
        <f>'101 &amp; 106 By County'!H352</f>
        <v>41270.990065053345</v>
      </c>
    </row>
    <row r="547" spans="1:13">
      <c r="A547" s="3" t="s">
        <v>549</v>
      </c>
      <c r="B547" s="5" t="s">
        <v>394</v>
      </c>
      <c r="C547" s="3" t="s">
        <v>319</v>
      </c>
      <c r="D547" s="278">
        <f>'101 &amp; 106 By County'!H353</f>
        <v>75937.805677855853</v>
      </c>
    </row>
    <row r="548" spans="1:13">
      <c r="A548" s="3" t="s">
        <v>549</v>
      </c>
      <c r="B548" s="5" t="s">
        <v>396</v>
      </c>
      <c r="C548" s="3" t="s">
        <v>397</v>
      </c>
      <c r="D548" s="278">
        <f>'101 &amp; 106 By County'!H354</f>
        <v>121500.07</v>
      </c>
    </row>
    <row r="549" spans="1:13">
      <c r="A549" s="3" t="s">
        <v>549</v>
      </c>
      <c r="B549" s="5" t="s">
        <v>451</v>
      </c>
      <c r="C549" s="3" t="s">
        <v>452</v>
      </c>
      <c r="D549" s="278">
        <f>'101 &amp; 106 By County'!H355</f>
        <v>490</v>
      </c>
    </row>
    <row r="550" spans="1:13">
      <c r="A550" s="3" t="s">
        <v>549</v>
      </c>
      <c r="B550" s="5" t="s">
        <v>399</v>
      </c>
      <c r="C550" s="3" t="s">
        <v>400</v>
      </c>
      <c r="D550" s="278">
        <f>'101 &amp; 106 By County'!H356</f>
        <v>79301.47</v>
      </c>
    </row>
    <row r="551" spans="1:13">
      <c r="A551" s="3" t="s">
        <v>549</v>
      </c>
      <c r="B551" s="5" t="s">
        <v>402</v>
      </c>
      <c r="C551" s="3" t="s">
        <v>403</v>
      </c>
      <c r="D551" s="278">
        <f>'101 &amp; 106 By County'!H357</f>
        <v>0</v>
      </c>
    </row>
    <row r="552" spans="1:13">
      <c r="A552" s="3" t="s">
        <v>549</v>
      </c>
      <c r="B552" s="5" t="s">
        <v>405</v>
      </c>
      <c r="C552" s="3" t="s">
        <v>227</v>
      </c>
      <c r="D552" s="278">
        <f>'101 &amp; 106 By County'!H358</f>
        <v>154195.57</v>
      </c>
    </row>
    <row r="553" spans="1:13">
      <c r="A553" s="3" t="s">
        <v>549</v>
      </c>
      <c r="B553" s="5" t="s">
        <v>407</v>
      </c>
      <c r="C553" s="3" t="s">
        <v>408</v>
      </c>
      <c r="D553" s="278">
        <f>'101 &amp; 106 By County'!H359</f>
        <v>8777.06</v>
      </c>
    </row>
    <row r="554" spans="1:13">
      <c r="A554" s="3" t="s">
        <v>549</v>
      </c>
      <c r="C554" s="3" t="s">
        <v>241</v>
      </c>
      <c r="D554" s="278">
        <f>'Alloc. Factors'!F38</f>
        <v>103750</v>
      </c>
    </row>
    <row r="555" spans="1:13" ht="16.5" thickBot="1">
      <c r="C555" s="48" t="s">
        <v>1095</v>
      </c>
      <c r="D555" s="336">
        <f>SUM(D538:D554)</f>
        <v>22284052.815449934</v>
      </c>
      <c r="E555" s="336">
        <f>SUM(D541:D547)</f>
        <v>10513511.435449935</v>
      </c>
      <c r="M555" s="3" t="s">
        <v>1178</v>
      </c>
    </row>
    <row r="556" spans="1:13" ht="16.5" thickTop="1">
      <c r="C556" s="48"/>
      <c r="D556" s="337"/>
    </row>
    <row r="557" spans="1:13">
      <c r="B557" s="5" t="s">
        <v>1111</v>
      </c>
      <c r="C557" s="5" t="s">
        <v>1111</v>
      </c>
      <c r="D557" s="277">
        <f>SUM(D538:D540)</f>
        <v>11302527.210000001</v>
      </c>
    </row>
    <row r="558" spans="1:13">
      <c r="B558" s="5" t="s">
        <v>306</v>
      </c>
      <c r="C558" s="3" t="s">
        <v>1142</v>
      </c>
      <c r="D558" s="337">
        <f>($D$555-$D$557)*(Bills!F308)</f>
        <v>258201.90426993876</v>
      </c>
    </row>
    <row r="559" spans="1:13">
      <c r="B559" s="5" t="s">
        <v>1021</v>
      </c>
      <c r="C559" s="3" t="s">
        <v>1142</v>
      </c>
      <c r="D559" s="337">
        <f>($D$555-$D$557)*(Bills!F309)</f>
        <v>2397305.3727216623</v>
      </c>
    </row>
    <row r="560" spans="1:13">
      <c r="B560" s="5" t="s">
        <v>1022</v>
      </c>
      <c r="C560" s="3" t="s">
        <v>1142</v>
      </c>
      <c r="D560" s="337">
        <f>($D$555-$D$557)*(Bills!F310)</f>
        <v>3972.3369887682884</v>
      </c>
    </row>
    <row r="561" spans="1:13">
      <c r="B561" s="5" t="s">
        <v>1023</v>
      </c>
      <c r="C561" s="3" t="s">
        <v>1142</v>
      </c>
      <c r="D561" s="337">
        <f>($D$555-$D$557)*(Bills!F311)</f>
        <v>8322045.9914695648</v>
      </c>
    </row>
    <row r="562" spans="1:13" ht="16.5" thickBot="1">
      <c r="B562" s="5" t="s">
        <v>1024</v>
      </c>
      <c r="C562" s="48"/>
      <c r="D562" s="336">
        <f>SUM(D557:D561)</f>
        <v>22284052.815449934</v>
      </c>
    </row>
    <row r="563" spans="1:13" ht="16.5" thickTop="1">
      <c r="C563" s="48"/>
      <c r="D563" s="337"/>
    </row>
    <row r="564" spans="1:13">
      <c r="A564" s="3" t="s">
        <v>564</v>
      </c>
      <c r="B564" s="5" t="s">
        <v>381</v>
      </c>
      <c r="C564" s="3" t="s">
        <v>311</v>
      </c>
      <c r="D564" s="278">
        <f>'101 &amp; 106 By County'!H361</f>
        <v>11444071.359999999</v>
      </c>
    </row>
    <row r="565" spans="1:13">
      <c r="A565" s="3" t="s">
        <v>564</v>
      </c>
      <c r="B565" s="5" t="s">
        <v>383</v>
      </c>
      <c r="C565" s="3" t="s">
        <v>363</v>
      </c>
      <c r="D565" s="278">
        <f>'101 &amp; 106 By County'!H362</f>
        <v>86646.01</v>
      </c>
    </row>
    <row r="566" spans="1:13">
      <c r="A566" s="3" t="s">
        <v>564</v>
      </c>
      <c r="B566" s="5" t="s">
        <v>384</v>
      </c>
      <c r="C566" s="3" t="s">
        <v>314</v>
      </c>
      <c r="D566" s="278">
        <f>'101 &amp; 106 By County'!H363</f>
        <v>863752.51</v>
      </c>
    </row>
    <row r="567" spans="1:13">
      <c r="A567" s="3" t="s">
        <v>564</v>
      </c>
      <c r="B567" s="5" t="s">
        <v>385</v>
      </c>
      <c r="C567" s="3" t="s">
        <v>370</v>
      </c>
      <c r="D567" s="278">
        <f>'101 &amp; 106 By County'!H364-17</f>
        <v>5510809.3349983441</v>
      </c>
    </row>
    <row r="568" spans="1:13">
      <c r="A568" s="3" t="s">
        <v>564</v>
      </c>
      <c r="B568" s="5">
        <v>38100</v>
      </c>
      <c r="C568" s="3" t="s">
        <v>216</v>
      </c>
      <c r="D568" s="278">
        <f>'101 &amp; 106 By County'!H365</f>
        <v>1640659.4535844116</v>
      </c>
    </row>
    <row r="569" spans="1:13">
      <c r="A569" s="3" t="s">
        <v>564</v>
      </c>
      <c r="B569" s="5">
        <v>38200</v>
      </c>
      <c r="C569" s="3" t="s">
        <v>217</v>
      </c>
      <c r="D569" s="278">
        <f>'101 &amp; 106 By County'!H366</f>
        <v>776505.42105114227</v>
      </c>
    </row>
    <row r="570" spans="1:13">
      <c r="A570" s="3" t="s">
        <v>564</v>
      </c>
      <c r="B570" s="5" t="s">
        <v>389</v>
      </c>
      <c r="C570" s="3" t="s">
        <v>218</v>
      </c>
      <c r="D570" s="278">
        <f>'101 &amp; 106 By County'!H367</f>
        <v>304637.610125523</v>
      </c>
    </row>
    <row r="571" spans="1:13">
      <c r="A571" s="3" t="s">
        <v>564</v>
      </c>
      <c r="B571" s="5" t="s">
        <v>391</v>
      </c>
      <c r="C571" s="3" t="s">
        <v>317</v>
      </c>
      <c r="D571" s="278">
        <f>'101 &amp; 106 By County'!H368</f>
        <v>259716.34432136297</v>
      </c>
    </row>
    <row r="572" spans="1:13">
      <c r="A572" s="3" t="s">
        <v>564</v>
      </c>
      <c r="B572" s="5" t="s">
        <v>393</v>
      </c>
      <c r="C572" s="3" t="s">
        <v>318</v>
      </c>
      <c r="D572" s="278">
        <f>'101 &amp; 106 By County'!H369</f>
        <v>206460.94750007524</v>
      </c>
    </row>
    <row r="573" spans="1:13">
      <c r="A573" s="3" t="s">
        <v>564</v>
      </c>
      <c r="B573" s="5" t="s">
        <v>394</v>
      </c>
      <c r="C573" s="3" t="s">
        <v>319</v>
      </c>
      <c r="D573" s="278">
        <f>'101 &amp; 106 By County'!H370</f>
        <v>62008.885646428454</v>
      </c>
    </row>
    <row r="574" spans="1:13">
      <c r="A574" s="3" t="s">
        <v>564</v>
      </c>
      <c r="B574" s="5" t="s">
        <v>1074</v>
      </c>
      <c r="C574" s="3" t="s">
        <v>1075</v>
      </c>
      <c r="D574" s="278">
        <f>'101 &amp; 106 By County'!H371</f>
        <v>13105.51</v>
      </c>
    </row>
    <row r="575" spans="1:13">
      <c r="A575" s="3" t="s">
        <v>564</v>
      </c>
      <c r="B575" s="5" t="s">
        <v>405</v>
      </c>
      <c r="C575" s="3" t="s">
        <v>227</v>
      </c>
      <c r="D575" s="278">
        <f>'101 &amp; 106 By County'!H372</f>
        <v>0</v>
      </c>
    </row>
    <row r="576" spans="1:13" ht="16.5" thickBot="1">
      <c r="C576" s="48" t="s">
        <v>1096</v>
      </c>
      <c r="D576" s="336">
        <f>SUM(D564:D575)</f>
        <v>21168373.387227286</v>
      </c>
      <c r="E576" s="336">
        <f>SUM(D567:D573)</f>
        <v>8760797.9972272888</v>
      </c>
      <c r="M576" s="3" t="s">
        <v>1178</v>
      </c>
    </row>
    <row r="577" spans="1:4" ht="16.5" thickTop="1">
      <c r="C577" s="48"/>
      <c r="D577" s="337"/>
    </row>
    <row r="578" spans="1:4">
      <c r="A578" s="3" t="s">
        <v>570</v>
      </c>
      <c r="B578" s="5" t="s">
        <v>381</v>
      </c>
      <c r="C578" s="3" t="s">
        <v>311</v>
      </c>
      <c r="D578" s="278">
        <f>'101 &amp; 106 By County'!H374</f>
        <v>28754431.57</v>
      </c>
    </row>
    <row r="579" spans="1:4">
      <c r="A579" s="3" t="s">
        <v>570</v>
      </c>
      <c r="B579" s="5" t="s">
        <v>383</v>
      </c>
      <c r="C579" s="3" t="s">
        <v>363</v>
      </c>
      <c r="D579" s="278">
        <f>'101 &amp; 106 By County'!H375</f>
        <v>197070.14</v>
      </c>
    </row>
    <row r="580" spans="1:4">
      <c r="A580" s="3" t="s">
        <v>570</v>
      </c>
      <c r="B580" s="5" t="s">
        <v>384</v>
      </c>
      <c r="C580" s="3" t="s">
        <v>314</v>
      </c>
      <c r="D580" s="278">
        <f>'101 &amp; 106 By County'!H376</f>
        <v>2232231.96</v>
      </c>
    </row>
    <row r="581" spans="1:4">
      <c r="A581" s="3" t="s">
        <v>570</v>
      </c>
      <c r="B581" s="5" t="s">
        <v>385</v>
      </c>
      <c r="C581" s="3" t="s">
        <v>370</v>
      </c>
      <c r="D581" s="278">
        <f>'101 &amp; 106 By County'!H377+771</f>
        <v>12951729.20451672</v>
      </c>
    </row>
    <row r="582" spans="1:4">
      <c r="A582" s="3" t="s">
        <v>570</v>
      </c>
      <c r="B582" s="5">
        <v>38100</v>
      </c>
      <c r="C582" s="3" t="s">
        <v>216</v>
      </c>
      <c r="D582" s="278">
        <f>'101 &amp; 106 By County'!H378</f>
        <v>3855703.4316747962</v>
      </c>
    </row>
    <row r="583" spans="1:4">
      <c r="A583" s="3" t="s">
        <v>570</v>
      </c>
      <c r="B583" s="5" t="s">
        <v>387</v>
      </c>
      <c r="C583" s="3" t="s">
        <v>217</v>
      </c>
      <c r="D583" s="278">
        <f>'101 &amp; 106 By County'!H379</f>
        <v>1824860.4913834622</v>
      </c>
    </row>
    <row r="584" spans="1:4">
      <c r="A584" s="3" t="s">
        <v>570</v>
      </c>
      <c r="B584" s="5" t="s">
        <v>389</v>
      </c>
      <c r="C584" s="3" t="s">
        <v>218</v>
      </c>
      <c r="D584" s="278">
        <f>'101 &amp; 106 By County'!H380</f>
        <v>715926.92573221761</v>
      </c>
    </row>
    <row r="585" spans="1:4">
      <c r="A585" s="3" t="s">
        <v>570</v>
      </c>
      <c r="B585" s="5" t="s">
        <v>391</v>
      </c>
      <c r="C585" s="3" t="s">
        <v>317</v>
      </c>
      <c r="D585" s="278">
        <f>'101 &amp; 106 By County'!H381</f>
        <v>610357.74235423375</v>
      </c>
    </row>
    <row r="586" spans="1:4">
      <c r="A586" s="3" t="s">
        <v>570</v>
      </c>
      <c r="B586" s="5" t="s">
        <v>393</v>
      </c>
      <c r="C586" s="3" t="s">
        <v>318</v>
      </c>
      <c r="D586" s="278">
        <f>'101 &amp; 106 By County'!H382</f>
        <v>485202.57024923991</v>
      </c>
    </row>
    <row r="587" spans="1:4">
      <c r="A587" s="3" t="s">
        <v>570</v>
      </c>
      <c r="B587" s="5" t="s">
        <v>394</v>
      </c>
      <c r="C587" s="3" t="s">
        <v>319</v>
      </c>
      <c r="D587" s="278">
        <f>'101 &amp; 106 By County'!H383</f>
        <v>145726.6909710725</v>
      </c>
    </row>
    <row r="588" spans="1:4">
      <c r="A588" s="3" t="s">
        <v>570</v>
      </c>
      <c r="B588" s="5" t="s">
        <v>396</v>
      </c>
      <c r="C588" s="3" t="s">
        <v>397</v>
      </c>
      <c r="D588" s="278">
        <f>'101 &amp; 106 By County'!H384</f>
        <v>207302.92</v>
      </c>
    </row>
    <row r="589" spans="1:4">
      <c r="A589" s="3" t="s">
        <v>570</v>
      </c>
      <c r="B589" s="5" t="s">
        <v>399</v>
      </c>
      <c r="C589" s="3" t="s">
        <v>400</v>
      </c>
      <c r="D589" s="278">
        <f>'101 &amp; 106 By County'!H385</f>
        <v>318139.67</v>
      </c>
    </row>
    <row r="590" spans="1:4">
      <c r="A590" s="3" t="s">
        <v>570</v>
      </c>
      <c r="B590" s="5" t="s">
        <v>402</v>
      </c>
      <c r="C590" s="3" t="s">
        <v>403</v>
      </c>
      <c r="D590" s="278">
        <f>'101 &amp; 106 By County'!H386</f>
        <v>170034.37</v>
      </c>
    </row>
    <row r="591" spans="1:4">
      <c r="A591" s="3" t="s">
        <v>570</v>
      </c>
      <c r="B591" s="5" t="s">
        <v>405</v>
      </c>
      <c r="C591" s="3" t="s">
        <v>227</v>
      </c>
      <c r="D591" s="278">
        <f>'101 &amp; 106 By County'!H387</f>
        <v>80565.39</v>
      </c>
    </row>
    <row r="592" spans="1:4">
      <c r="A592" s="3" t="s">
        <v>570</v>
      </c>
      <c r="B592" s="5" t="s">
        <v>407</v>
      </c>
      <c r="C592" s="3" t="s">
        <v>408</v>
      </c>
      <c r="D592" s="278">
        <f>'101 &amp; 106 By County'!H388</f>
        <v>9385.8700000000008</v>
      </c>
    </row>
    <row r="593" spans="1:13">
      <c r="A593" s="3" t="s">
        <v>570</v>
      </c>
      <c r="C593" s="3" t="s">
        <v>241</v>
      </c>
      <c r="D593" s="278">
        <f>'Alloc. Factors'!F40</f>
        <v>132334</v>
      </c>
    </row>
    <row r="594" spans="1:13" ht="16.5" thickBot="1">
      <c r="C594" s="48" t="s">
        <v>1097</v>
      </c>
      <c r="D594" s="336">
        <f>SUM(D578:D593)</f>
        <v>52691002.946881741</v>
      </c>
      <c r="E594" s="336">
        <f>SUM(D581:D587)</f>
        <v>20589507.056881744</v>
      </c>
      <c r="M594" s="3" t="s">
        <v>1178</v>
      </c>
    </row>
    <row r="595" spans="1:13" ht="16.5" thickTop="1">
      <c r="C595" s="48"/>
      <c r="D595" s="337"/>
    </row>
    <row r="596" spans="1:13">
      <c r="B596" s="5" t="s">
        <v>306</v>
      </c>
      <c r="C596" s="48"/>
      <c r="D596" s="337">
        <f>$D$594*Bills!F127</f>
        <v>7536622.3041187655</v>
      </c>
    </row>
    <row r="597" spans="1:13">
      <c r="B597" s="5" t="s">
        <v>809</v>
      </c>
      <c r="C597" s="48"/>
      <c r="D597" s="337">
        <f>$D$594*Bills!F128</f>
        <v>25674.464337351012</v>
      </c>
    </row>
    <row r="598" spans="1:13">
      <c r="B598" s="5" t="s">
        <v>811</v>
      </c>
      <c r="C598" s="48"/>
      <c r="D598" s="337">
        <f>$D$594*Bills!F129</f>
        <v>877599.87189490744</v>
      </c>
    </row>
    <row r="599" spans="1:13">
      <c r="B599" s="5" t="s">
        <v>813</v>
      </c>
      <c r="D599" s="337">
        <f>$D$594*Bills!F130</f>
        <v>259078.6855859966</v>
      </c>
    </row>
    <row r="600" spans="1:13">
      <c r="B600" s="5" t="s">
        <v>815</v>
      </c>
      <c r="D600" s="337">
        <f>$D$594*Bills!F131</f>
        <v>595180.7641840463</v>
      </c>
    </row>
    <row r="601" spans="1:13">
      <c r="B601" s="5" t="s">
        <v>817</v>
      </c>
      <c r="D601" s="337">
        <f>$D$594*Bills!F132</f>
        <v>172719.12372399773</v>
      </c>
    </row>
    <row r="602" spans="1:13">
      <c r="B602" s="5" t="s">
        <v>819</v>
      </c>
      <c r="D602" s="337">
        <f>$D$594*Bills!F133</f>
        <v>2091301.8223878646</v>
      </c>
    </row>
    <row r="603" spans="1:13">
      <c r="B603" s="5" t="s">
        <v>821</v>
      </c>
      <c r="D603" s="337">
        <f>$D$594*Bills!F134</f>
        <v>2334.0422124864558</v>
      </c>
    </row>
    <row r="604" spans="1:13">
      <c r="B604" s="5" t="s">
        <v>7</v>
      </c>
      <c r="D604" s="337">
        <f>$D$594*Bills!F135</f>
        <v>784238.18339544919</v>
      </c>
    </row>
    <row r="605" spans="1:13">
      <c r="B605" s="5" t="s">
        <v>7</v>
      </c>
      <c r="D605" s="337">
        <f>$D$594*Bills!F136</f>
        <v>144710.61717416026</v>
      </c>
    </row>
    <row r="606" spans="1:13">
      <c r="B606" s="5" t="s">
        <v>825</v>
      </c>
      <c r="D606" s="337">
        <f>$D$594*Bills!F137</f>
        <v>123704.23726178215</v>
      </c>
    </row>
    <row r="607" spans="1:13">
      <c r="B607" s="5" t="s">
        <v>827</v>
      </c>
      <c r="D607" s="337">
        <f>$D$594*Bills!F138</f>
        <v>39312272.984909378</v>
      </c>
    </row>
    <row r="608" spans="1:13">
      <c r="B608" s="5" t="s">
        <v>829</v>
      </c>
      <c r="D608" s="337">
        <f>$D$594*Bills!F139</f>
        <v>592846.7219715598</v>
      </c>
    </row>
    <row r="609" spans="1:4">
      <c r="B609" s="5" t="s">
        <v>831</v>
      </c>
      <c r="D609" s="337">
        <f>$D$594*Bills!F140</f>
        <v>172719.12372399773</v>
      </c>
    </row>
    <row r="610" spans="1:4" ht="16.5" thickBot="1">
      <c r="C610" s="48"/>
      <c r="D610" s="336">
        <f>SUM(D596:D609)</f>
        <v>52691002.946881741</v>
      </c>
    </row>
    <row r="611" spans="1:4" ht="16.5" thickTop="1">
      <c r="C611" s="48"/>
      <c r="D611" s="337"/>
    </row>
    <row r="612" spans="1:4">
      <c r="A612" s="3" t="s">
        <v>579</v>
      </c>
      <c r="B612" s="5" t="s">
        <v>381</v>
      </c>
      <c r="C612" s="3" t="s">
        <v>311</v>
      </c>
      <c r="D612" s="278">
        <f>'101 &amp; 106 By County'!H390</f>
        <v>20855507.050000001</v>
      </c>
    </row>
    <row r="613" spans="1:4">
      <c r="A613" s="3" t="s">
        <v>579</v>
      </c>
      <c r="B613" s="5" t="s">
        <v>383</v>
      </c>
      <c r="C613" s="3" t="s">
        <v>363</v>
      </c>
      <c r="D613" s="278">
        <f>'101 &amp; 106 By County'!H391</f>
        <v>278425.65999999997</v>
      </c>
    </row>
    <row r="614" spans="1:4">
      <c r="A614" s="3" t="s">
        <v>579</v>
      </c>
      <c r="B614" s="5" t="s">
        <v>384</v>
      </c>
      <c r="C614" s="3" t="s">
        <v>314</v>
      </c>
      <c r="D614" s="278">
        <f>'101 &amp; 106 By County'!H392</f>
        <v>1034597.38</v>
      </c>
    </row>
    <row r="615" spans="1:4">
      <c r="A615" s="3" t="s">
        <v>579</v>
      </c>
      <c r="B615" s="5" t="s">
        <v>385</v>
      </c>
      <c r="C615" s="3" t="s">
        <v>370</v>
      </c>
      <c r="D615" s="278">
        <f>'101 &amp; 106 By County'!H393-17</f>
        <v>5780328.0300000003</v>
      </c>
    </row>
    <row r="616" spans="1:4">
      <c r="A616" s="3" t="s">
        <v>579</v>
      </c>
      <c r="B616" s="5">
        <v>38100</v>
      </c>
      <c r="C616" s="3" t="s">
        <v>216</v>
      </c>
      <c r="D616" s="278">
        <f>'101 &amp; 106 By County'!H394</f>
        <v>996932.04565607011</v>
      </c>
    </row>
    <row r="617" spans="1:4">
      <c r="A617" s="3" t="s">
        <v>579</v>
      </c>
      <c r="B617" s="5" t="s">
        <v>387</v>
      </c>
      <c r="C617" s="3" t="s">
        <v>217</v>
      </c>
      <c r="D617" s="278">
        <f>'101 &amp; 106 By County'!H395</f>
        <v>555135.03</v>
      </c>
    </row>
    <row r="618" spans="1:4">
      <c r="A618" s="3" t="s">
        <v>579</v>
      </c>
      <c r="B618" s="5" t="s">
        <v>389</v>
      </c>
      <c r="C618" s="3" t="s">
        <v>218</v>
      </c>
      <c r="D618" s="278">
        <f>'101 &amp; 106 By County'!H396</f>
        <v>351884.63</v>
      </c>
    </row>
    <row r="619" spans="1:4">
      <c r="A619" s="3" t="s">
        <v>579</v>
      </c>
      <c r="B619" s="5" t="s">
        <v>391</v>
      </c>
      <c r="C619" s="3" t="s">
        <v>317</v>
      </c>
      <c r="D619" s="278">
        <f>'101 &amp; 106 By County'!H397</f>
        <v>227869.08</v>
      </c>
    </row>
    <row r="620" spans="1:4">
      <c r="A620" s="3" t="s">
        <v>579</v>
      </c>
      <c r="B620" s="5" t="s">
        <v>393</v>
      </c>
      <c r="C620" s="3" t="s">
        <v>318</v>
      </c>
      <c r="D620" s="278">
        <f>'101 &amp; 106 By County'!H398</f>
        <v>765485.8</v>
      </c>
    </row>
    <row r="621" spans="1:4">
      <c r="A621" s="3" t="s">
        <v>579</v>
      </c>
      <c r="B621" s="5" t="s">
        <v>394</v>
      </c>
      <c r="C621" s="3" t="s">
        <v>319</v>
      </c>
      <c r="D621" s="278">
        <f>'101 &amp; 106 By County'!H399</f>
        <v>172604.51</v>
      </c>
    </row>
    <row r="622" spans="1:4">
      <c r="A622" s="3" t="s">
        <v>579</v>
      </c>
      <c r="B622" s="5" t="s">
        <v>396</v>
      </c>
      <c r="C622" s="3" t="s">
        <v>397</v>
      </c>
      <c r="D622" s="278">
        <f>'101 &amp; 106 By County'!H400</f>
        <v>136123.63</v>
      </c>
    </row>
    <row r="623" spans="1:4">
      <c r="A623" s="3" t="s">
        <v>579</v>
      </c>
      <c r="B623" s="5" t="s">
        <v>451</v>
      </c>
      <c r="C623" s="3" t="s">
        <v>452</v>
      </c>
      <c r="D623" s="278">
        <f>'101 &amp; 106 By County'!H401</f>
        <v>2071.09</v>
      </c>
    </row>
    <row r="624" spans="1:4">
      <c r="A624" s="3" t="s">
        <v>579</v>
      </c>
      <c r="B624" s="5" t="s">
        <v>399</v>
      </c>
      <c r="C624" s="3" t="s">
        <v>400</v>
      </c>
      <c r="D624" s="278">
        <f>'101 &amp; 106 By County'!H402</f>
        <v>90754.09</v>
      </c>
    </row>
    <row r="625" spans="1:12">
      <c r="A625" s="3" t="s">
        <v>579</v>
      </c>
      <c r="B625" s="5" t="s">
        <v>402</v>
      </c>
      <c r="C625" s="3" t="s">
        <v>403</v>
      </c>
      <c r="D625" s="278">
        <f>'101 &amp; 106 By County'!H403</f>
        <v>25918.77</v>
      </c>
    </row>
    <row r="626" spans="1:12">
      <c r="A626" s="3" t="s">
        <v>579</v>
      </c>
      <c r="B626" s="5" t="s">
        <v>405</v>
      </c>
      <c r="C626" s="3" t="s">
        <v>227</v>
      </c>
      <c r="D626" s="278">
        <f>'101 &amp; 106 By County'!H404</f>
        <v>134147.67000000001</v>
      </c>
    </row>
    <row r="627" spans="1:12">
      <c r="A627" s="3" t="s">
        <v>579</v>
      </c>
      <c r="B627" s="5" t="s">
        <v>407</v>
      </c>
      <c r="C627" s="3" t="s">
        <v>408</v>
      </c>
      <c r="D627" s="278">
        <f>'101 &amp; 106 By County'!H405</f>
        <v>4221.92</v>
      </c>
    </row>
    <row r="628" spans="1:12">
      <c r="A628" s="3" t="s">
        <v>579</v>
      </c>
      <c r="C628" s="3" t="s">
        <v>241</v>
      </c>
      <c r="D628" s="278">
        <f>'Alloc. Factors'!F41</f>
        <v>40435</v>
      </c>
    </row>
    <row r="629" spans="1:12" ht="16.5" thickBot="1">
      <c r="C629" s="48" t="s">
        <v>1098</v>
      </c>
      <c r="D629" s="336">
        <f>SUM(D612:D628)</f>
        <v>31452441.385656074</v>
      </c>
      <c r="E629" s="336">
        <f>SUM(D615:D621)</f>
        <v>8850239.1256560702</v>
      </c>
      <c r="L629" s="3" t="s">
        <v>1178</v>
      </c>
    </row>
    <row r="630" spans="1:12" ht="16.5" thickTop="1">
      <c r="C630" s="48"/>
      <c r="D630" s="337"/>
    </row>
    <row r="631" spans="1:12">
      <c r="B631" s="5" t="s">
        <v>1111</v>
      </c>
      <c r="C631" s="5" t="s">
        <v>1111</v>
      </c>
      <c r="D631" s="277">
        <f>SUM(D612:D614)</f>
        <v>22168530.09</v>
      </c>
    </row>
    <row r="632" spans="1:12">
      <c r="B632" s="5" t="s">
        <v>306</v>
      </c>
      <c r="C632" s="3" t="s">
        <v>1142</v>
      </c>
      <c r="D632" s="337">
        <f>($D$629-$D$631)*(Bills!F241)</f>
        <v>1694932.7942669045</v>
      </c>
    </row>
    <row r="633" spans="1:12">
      <c r="B633" s="5" t="s">
        <v>985</v>
      </c>
      <c r="C633" s="3" t="s">
        <v>1142</v>
      </c>
      <c r="D633" s="337">
        <f>($D$629-$D$631)*(Bills!F242)</f>
        <v>7582331.7061175341</v>
      </c>
    </row>
    <row r="634" spans="1:12">
      <c r="B634" s="5" t="s">
        <v>987</v>
      </c>
      <c r="C634" s="3" t="s">
        <v>1142</v>
      </c>
      <c r="D634" s="337">
        <f>($D$629-$D$631)*(Bills!F243)</f>
        <v>6646.79527163492</v>
      </c>
    </row>
    <row r="635" spans="1:12">
      <c r="C635" s="48"/>
      <c r="D635" s="338">
        <f>SUM(D631:D634)</f>
        <v>31452441.385656074</v>
      </c>
    </row>
    <row r="636" spans="1:12">
      <c r="C636" s="48"/>
      <c r="D636" s="337"/>
    </row>
    <row r="637" spans="1:12">
      <c r="A637" s="3" t="s">
        <v>1099</v>
      </c>
      <c r="B637" s="5" t="s">
        <v>381</v>
      </c>
      <c r="C637" s="3" t="s">
        <v>311</v>
      </c>
      <c r="D637" s="278">
        <f>'101 &amp; 106 By County'!H407</f>
        <v>3991796.16</v>
      </c>
    </row>
    <row r="638" spans="1:12">
      <c r="A638" s="3" t="s">
        <v>1099</v>
      </c>
      <c r="B638" s="5" t="s">
        <v>384</v>
      </c>
      <c r="C638" s="3" t="s">
        <v>314</v>
      </c>
      <c r="D638" s="278">
        <f>'101 &amp; 106 By County'!H408</f>
        <v>571856.06999999995</v>
      </c>
    </row>
    <row r="639" spans="1:12">
      <c r="A639" s="3" t="s">
        <v>1099</v>
      </c>
      <c r="B639" s="5">
        <v>38100</v>
      </c>
      <c r="C639" s="3" t="s">
        <v>216</v>
      </c>
      <c r="D639" s="278">
        <f>'101 &amp; 106 By County'!H409-1</f>
        <v>511.38583809631837</v>
      </c>
    </row>
    <row r="640" spans="1:12" ht="16.5" thickBot="1">
      <c r="C640" s="48" t="s">
        <v>1100</v>
      </c>
      <c r="D640" s="336">
        <f>SUBTOTAL(9,D637:D639)</f>
        <v>4564163.6158380965</v>
      </c>
      <c r="E640" s="277">
        <f>D639</f>
        <v>511.38583809631837</v>
      </c>
      <c r="L640" s="3" t="s">
        <v>1181</v>
      </c>
    </row>
    <row r="641" spans="1:4" ht="16.5" thickTop="1">
      <c r="C641" s="48"/>
      <c r="D641" s="337"/>
    </row>
    <row r="642" spans="1:4">
      <c r="A642" s="3" t="s">
        <v>594</v>
      </c>
      <c r="B642" s="5" t="s">
        <v>381</v>
      </c>
      <c r="C642" s="3" t="s">
        <v>311</v>
      </c>
      <c r="D642" s="278">
        <f>'101 &amp; 106 By County'!H411</f>
        <v>31885022.190000001</v>
      </c>
    </row>
    <row r="643" spans="1:4">
      <c r="A643" s="3" t="s">
        <v>594</v>
      </c>
      <c r="B643" s="5" t="s">
        <v>383</v>
      </c>
      <c r="C643" s="3" t="s">
        <v>363</v>
      </c>
      <c r="D643" s="278">
        <f>'101 &amp; 106 By County'!H412</f>
        <v>521258.38</v>
      </c>
    </row>
    <row r="644" spans="1:4">
      <c r="A644" s="3" t="s">
        <v>594</v>
      </c>
      <c r="B644" s="5" t="s">
        <v>384</v>
      </c>
      <c r="C644" s="3" t="s">
        <v>314</v>
      </c>
      <c r="D644" s="278">
        <f>'101 &amp; 106 By County'!H413</f>
        <v>245478.98</v>
      </c>
    </row>
    <row r="645" spans="1:4">
      <c r="A645" s="3" t="s">
        <v>594</v>
      </c>
      <c r="B645" s="5" t="s">
        <v>385</v>
      </c>
      <c r="C645" s="3" t="s">
        <v>370</v>
      </c>
      <c r="D645" s="278">
        <f>'101 &amp; 106 By County'!H414-26</f>
        <v>8766274.7603974268</v>
      </c>
    </row>
    <row r="646" spans="1:4">
      <c r="A646" s="3" t="s">
        <v>594</v>
      </c>
      <c r="B646" s="5" t="s">
        <v>443</v>
      </c>
      <c r="C646" s="3" t="s">
        <v>216</v>
      </c>
      <c r="D646" s="278">
        <f>'101 &amp; 106 By County'!H415</f>
        <v>1842710.2690737264</v>
      </c>
    </row>
    <row r="647" spans="1:4">
      <c r="A647" s="3" t="s">
        <v>594</v>
      </c>
      <c r="B647" s="5" t="s">
        <v>387</v>
      </c>
      <c r="C647" s="3" t="s">
        <v>217</v>
      </c>
      <c r="D647" s="278">
        <f>'101 &amp; 106 By County'!H416</f>
        <v>1457870.1905197373</v>
      </c>
    </row>
    <row r="648" spans="1:4">
      <c r="A648" s="3" t="s">
        <v>594</v>
      </c>
      <c r="B648" s="5" t="s">
        <v>389</v>
      </c>
      <c r="C648" s="3" t="s">
        <v>218</v>
      </c>
      <c r="D648" s="278">
        <f>'101 &amp; 106 By County'!H417</f>
        <v>234362.35508176396</v>
      </c>
    </row>
    <row r="649" spans="1:4">
      <c r="A649" s="3" t="s">
        <v>594</v>
      </c>
      <c r="B649" s="5" t="s">
        <v>391</v>
      </c>
      <c r="C649" s="3" t="s">
        <v>317</v>
      </c>
      <c r="D649" s="278">
        <f>'101 &amp; 106 By County'!H418</f>
        <v>636616.82511996524</v>
      </c>
    </row>
    <row r="650" spans="1:4">
      <c r="A650" s="3" t="s">
        <v>594</v>
      </c>
      <c r="B650" s="5" t="s">
        <v>393</v>
      </c>
      <c r="C650" s="3" t="s">
        <v>318</v>
      </c>
      <c r="D650" s="278">
        <f>'101 &amp; 106 By County'!H419</f>
        <v>132601.37621774682</v>
      </c>
    </row>
    <row r="651" spans="1:4">
      <c r="A651" s="3" t="s">
        <v>594</v>
      </c>
      <c r="B651" s="5" t="s">
        <v>394</v>
      </c>
      <c r="C651" s="3" t="s">
        <v>319</v>
      </c>
      <c r="D651" s="278">
        <f>'101 &amp; 106 By County'!H420</f>
        <v>86644.122745124332</v>
      </c>
    </row>
    <row r="652" spans="1:4">
      <c r="A652" s="3" t="s">
        <v>594</v>
      </c>
      <c r="B652" s="5" t="s">
        <v>396</v>
      </c>
      <c r="C652" s="3" t="s">
        <v>397</v>
      </c>
      <c r="D652" s="278">
        <f>'101 &amp; 106 By County'!H421</f>
        <v>364587.54</v>
      </c>
    </row>
    <row r="653" spans="1:4">
      <c r="A653" s="3" t="s">
        <v>594</v>
      </c>
      <c r="B653" s="5" t="s">
        <v>399</v>
      </c>
      <c r="C653" s="3" t="s">
        <v>400</v>
      </c>
      <c r="D653" s="278">
        <f>'101 &amp; 106 By County'!H422</f>
        <v>156932.85</v>
      </c>
    </row>
    <row r="654" spans="1:4">
      <c r="A654" s="3" t="s">
        <v>594</v>
      </c>
      <c r="B654" s="5" t="s">
        <v>402</v>
      </c>
      <c r="C654" s="3" t="s">
        <v>403</v>
      </c>
      <c r="D654" s="278">
        <f>'101 &amp; 106 By County'!H423</f>
        <v>9538.34</v>
      </c>
    </row>
    <row r="655" spans="1:4">
      <c r="A655" s="3" t="s">
        <v>594</v>
      </c>
      <c r="B655" s="5" t="s">
        <v>405</v>
      </c>
      <c r="C655" s="3" t="s">
        <v>227</v>
      </c>
      <c r="D655" s="278">
        <f>'101 &amp; 106 By County'!H424</f>
        <v>158101.32999999999</v>
      </c>
    </row>
    <row r="656" spans="1:4">
      <c r="A656" s="3" t="s">
        <v>594</v>
      </c>
      <c r="B656" s="5" t="s">
        <v>407</v>
      </c>
      <c r="C656" s="3" t="s">
        <v>408</v>
      </c>
      <c r="D656" s="278">
        <f>'101 &amp; 106 By County'!H425</f>
        <v>141867.37</v>
      </c>
    </row>
    <row r="657" spans="1:12">
      <c r="A657" s="3" t="s">
        <v>594</v>
      </c>
      <c r="C657" s="3" t="s">
        <v>241</v>
      </c>
      <c r="D657" s="278">
        <f>'Alloc. Factors'!F43</f>
        <v>196710</v>
      </c>
    </row>
    <row r="658" spans="1:12" ht="16.5" thickBot="1">
      <c r="C658" s="48" t="s">
        <v>1101</v>
      </c>
      <c r="D658" s="336">
        <f>SUM(D642:D657)</f>
        <v>46836576.879155494</v>
      </c>
      <c r="E658" s="336">
        <f>SUM(D645:D651)</f>
        <v>13157079.89915549</v>
      </c>
      <c r="L658" s="3" t="s">
        <v>1178</v>
      </c>
    </row>
    <row r="659" spans="1:12" ht="16.5" thickTop="1">
      <c r="C659" s="48"/>
      <c r="D659" s="337"/>
    </row>
    <row r="660" spans="1:12">
      <c r="B660" s="5" t="s">
        <v>1111</v>
      </c>
      <c r="C660" s="5" t="s">
        <v>1111</v>
      </c>
      <c r="D660" s="277">
        <f>SUM(D642:D644)</f>
        <v>32651759.550000001</v>
      </c>
    </row>
    <row r="661" spans="1:12">
      <c r="B661" s="5" t="s">
        <v>306</v>
      </c>
      <c r="C661" s="3" t="s">
        <v>1142</v>
      </c>
      <c r="D661" s="337">
        <f>($D$658-$D$660)*(Bills!F280)</f>
        <v>6216129.0510934442</v>
      </c>
    </row>
    <row r="662" spans="1:12">
      <c r="B662" s="5" t="s">
        <v>1006</v>
      </c>
      <c r="C662" s="3" t="s">
        <v>1142</v>
      </c>
      <c r="D662" s="337">
        <f>($D$658-$D$660)*(Bills!F281)</f>
        <v>1571123.9881676538</v>
      </c>
    </row>
    <row r="663" spans="1:12">
      <c r="B663" s="5" t="s">
        <v>137</v>
      </c>
      <c r="C663" s="3" t="s">
        <v>1142</v>
      </c>
      <c r="D663" s="337">
        <f>($D$658-$D$660)*(Bills!F282)</f>
        <v>3761494.334851596</v>
      </c>
    </row>
    <row r="664" spans="1:12">
      <c r="B664" s="5" t="s">
        <v>1007</v>
      </c>
      <c r="C664" s="3" t="s">
        <v>1142</v>
      </c>
      <c r="D664" s="337">
        <f>($D$658-$D$660)*(Bills!F283)</f>
        <v>1109647.4025217569</v>
      </c>
    </row>
    <row r="665" spans="1:12">
      <c r="B665" s="5" t="s">
        <v>1008</v>
      </c>
      <c r="C665" s="3" t="s">
        <v>1142</v>
      </c>
      <c r="D665" s="337">
        <f>($D$658-$D$660)*(Bills!F284)</f>
        <v>1526422.5525210425</v>
      </c>
    </row>
    <row r="666" spans="1:12" ht="16.5" thickBot="1">
      <c r="B666" s="5" t="s">
        <v>1009</v>
      </c>
      <c r="C666" s="48"/>
      <c r="D666" s="336">
        <f>SUM(D660:D665)</f>
        <v>46836576.879155487</v>
      </c>
    </row>
    <row r="667" spans="1:12" ht="16.5" thickTop="1">
      <c r="C667" s="48"/>
      <c r="D667" s="337"/>
    </row>
    <row r="668" spans="1:12">
      <c r="C668" s="48"/>
      <c r="D668" s="337"/>
    </row>
    <row r="669" spans="1:12">
      <c r="A669" s="3" t="s">
        <v>601</v>
      </c>
      <c r="B669" s="5" t="s">
        <v>381</v>
      </c>
      <c r="C669" s="3" t="s">
        <v>311</v>
      </c>
      <c r="D669" s="278">
        <f>'101 &amp; 106 By County'!H427</f>
        <v>6555546.2599999998</v>
      </c>
    </row>
    <row r="670" spans="1:12">
      <c r="A670" s="3" t="s">
        <v>601</v>
      </c>
      <c r="B670" s="5" t="s">
        <v>383</v>
      </c>
      <c r="C670" s="3" t="s">
        <v>363</v>
      </c>
      <c r="D670" s="278">
        <f>'101 &amp; 106 By County'!H428</f>
        <v>49506.23</v>
      </c>
    </row>
    <row r="671" spans="1:12">
      <c r="A671" s="3" t="s">
        <v>601</v>
      </c>
      <c r="B671" s="5" t="s">
        <v>384</v>
      </c>
      <c r="C671" s="3" t="s">
        <v>314</v>
      </c>
      <c r="D671" s="278">
        <f>'101 &amp; 106 By County'!H429</f>
        <v>79312.25</v>
      </c>
    </row>
    <row r="672" spans="1:12">
      <c r="A672" s="3" t="s">
        <v>601</v>
      </c>
      <c r="B672" s="5">
        <v>38000</v>
      </c>
      <c r="C672" s="3" t="s">
        <v>370</v>
      </c>
      <c r="D672" s="278">
        <f>'101 &amp; 106 By County'!H430-18</f>
        <v>5586019.3072205847</v>
      </c>
    </row>
    <row r="673" spans="1:12">
      <c r="A673" s="3" t="s">
        <v>601</v>
      </c>
      <c r="B673" s="5">
        <v>38100</v>
      </c>
      <c r="C673" s="3" t="s">
        <v>216</v>
      </c>
      <c r="D673" s="278">
        <f>'101 &amp; 106 By County'!H431</f>
        <v>1317343.9897456346</v>
      </c>
    </row>
    <row r="674" spans="1:12">
      <c r="A674" s="3" t="s">
        <v>601</v>
      </c>
      <c r="B674" s="5" t="s">
        <v>387</v>
      </c>
      <c r="C674" s="3" t="s">
        <v>217</v>
      </c>
      <c r="D674" s="278">
        <f>'101 &amp; 106 By County'!H432</f>
        <v>1124499.1542360291</v>
      </c>
    </row>
    <row r="675" spans="1:12">
      <c r="A675" s="3" t="s">
        <v>601</v>
      </c>
      <c r="B675" s="5">
        <v>38300</v>
      </c>
      <c r="C675" s="3" t="s">
        <v>218</v>
      </c>
      <c r="D675" s="278">
        <f>'101 &amp; 106 By County'!H433</f>
        <v>337803.46550812153</v>
      </c>
    </row>
    <row r="676" spans="1:12">
      <c r="A676" s="3" t="s">
        <v>601</v>
      </c>
      <c r="B676" s="5" t="s">
        <v>391</v>
      </c>
      <c r="C676" s="3" t="s">
        <v>317</v>
      </c>
      <c r="D676" s="278">
        <f>'101 &amp; 106 By County'!H434</f>
        <v>418894.18383416091</v>
      </c>
    </row>
    <row r="677" spans="1:12">
      <c r="A677" s="3" t="s">
        <v>601</v>
      </c>
      <c r="B677" s="5">
        <v>38500</v>
      </c>
      <c r="C677" s="3" t="s">
        <v>318</v>
      </c>
      <c r="D677" s="278">
        <f>'101 &amp; 106 By County'!H435</f>
        <v>352582.73091251473</v>
      </c>
    </row>
    <row r="678" spans="1:12">
      <c r="A678" s="3" t="s">
        <v>601</v>
      </c>
      <c r="B678" s="5">
        <v>38700</v>
      </c>
      <c r="C678" s="3" t="s">
        <v>319</v>
      </c>
      <c r="D678" s="278">
        <f>'101 &amp; 106 By County'!H436</f>
        <v>83140.101438941259</v>
      </c>
    </row>
    <row r="679" spans="1:12" ht="16.5" thickBot="1">
      <c r="C679" s="48" t="s">
        <v>1102</v>
      </c>
      <c r="D679" s="336">
        <f>SUBTOTAL(9,D669:D678)</f>
        <v>15904647.672895988</v>
      </c>
      <c r="E679" s="336">
        <f>SUM(D672:D678)</f>
        <v>9220282.9328959864</v>
      </c>
      <c r="L679" s="3" t="s">
        <v>1178</v>
      </c>
    </row>
    <row r="680" spans="1:12" ht="16.5" thickTop="1">
      <c r="C680" s="48"/>
      <c r="D680" s="337"/>
    </row>
    <row r="681" spans="1:12">
      <c r="B681" s="5" t="s">
        <v>1111</v>
      </c>
      <c r="C681" s="5" t="s">
        <v>1111</v>
      </c>
      <c r="D681" s="277">
        <f>SUM(D669:D671)</f>
        <v>6684364.7400000002</v>
      </c>
    </row>
    <row r="682" spans="1:12">
      <c r="B682" s="5" t="s">
        <v>306</v>
      </c>
      <c r="C682" s="3" t="s">
        <v>1142</v>
      </c>
      <c r="D682" s="337">
        <f>($D$679-$D$681)*(Bills!F153)</f>
        <v>5612502.0575582348</v>
      </c>
    </row>
    <row r="683" spans="1:12">
      <c r="B683" s="5" t="s">
        <v>851</v>
      </c>
      <c r="C683" s="3" t="s">
        <v>1142</v>
      </c>
      <c r="D683" s="337">
        <f>($D$679-$D$681)*(Bills!F154)</f>
        <v>1116523.3060190396</v>
      </c>
    </row>
    <row r="684" spans="1:12">
      <c r="B684" s="5" t="s">
        <v>853</v>
      </c>
      <c r="C684" s="3" t="s">
        <v>1142</v>
      </c>
      <c r="D684" s="337">
        <f>($D$679-$D$681)*(Bills!F155+Bills!F156)</f>
        <v>2185229.7680972214</v>
      </c>
    </row>
    <row r="685" spans="1:12">
      <c r="B685" s="5" t="s">
        <v>856</v>
      </c>
      <c r="C685" s="3" t="s">
        <v>1142</v>
      </c>
      <c r="D685" s="337">
        <f>($D$679-$D$681)*(Bills!F157+Bills!F158)</f>
        <v>105197.05666988809</v>
      </c>
    </row>
    <row r="686" spans="1:12">
      <c r="B686" s="5" t="s">
        <v>859</v>
      </c>
      <c r="C686" s="3" t="s">
        <v>1142</v>
      </c>
      <c r="D686" s="337">
        <f>($D$679-$D$681)*(+Bills!F159)</f>
        <v>200830.74455160456</v>
      </c>
    </row>
    <row r="687" spans="1:12" ht="16.5" thickBot="1">
      <c r="B687" s="5" t="s">
        <v>861</v>
      </c>
      <c r="C687" s="48"/>
      <c r="D687" s="336">
        <f>SUM(D681:D686)</f>
        <v>15904647.672895988</v>
      </c>
    </row>
    <row r="688" spans="1:12" ht="16.5" thickTop="1">
      <c r="C688" s="48"/>
      <c r="D688" s="337"/>
    </row>
    <row r="689" spans="1:12">
      <c r="A689" s="3" t="s">
        <v>1</v>
      </c>
      <c r="B689" s="5" t="s">
        <v>381</v>
      </c>
      <c r="C689" s="3" t="s">
        <v>311</v>
      </c>
      <c r="D689" s="278">
        <f>'101 &amp; 106 By County'!H438</f>
        <v>23854447.550000001</v>
      </c>
    </row>
    <row r="690" spans="1:12">
      <c r="A690" s="3" t="s">
        <v>1</v>
      </c>
      <c r="B690" s="5" t="s">
        <v>383</v>
      </c>
      <c r="C690" s="3" t="s">
        <v>363</v>
      </c>
      <c r="D690" s="278">
        <f>'101 &amp; 106 By County'!H439</f>
        <v>308356.36</v>
      </c>
    </row>
    <row r="691" spans="1:12">
      <c r="A691" s="3" t="s">
        <v>1</v>
      </c>
      <c r="B691" s="5">
        <v>38000</v>
      </c>
      <c r="C691" s="3" t="s">
        <v>370</v>
      </c>
      <c r="D691" s="278">
        <f>'101 &amp; 106 By County'!H440-16</f>
        <v>5240003.1298457319</v>
      </c>
    </row>
    <row r="692" spans="1:12">
      <c r="A692" s="3" t="s">
        <v>1</v>
      </c>
      <c r="B692" s="5">
        <v>38100</v>
      </c>
      <c r="C692" s="3" t="s">
        <v>216</v>
      </c>
      <c r="D692" s="278">
        <f>'101 &amp; 106 By County'!H441</f>
        <v>671054.65262681164</v>
      </c>
    </row>
    <row r="693" spans="1:12">
      <c r="A693" s="3" t="s">
        <v>1</v>
      </c>
      <c r="B693" s="5" t="s">
        <v>387</v>
      </c>
      <c r="C693" s="3" t="s">
        <v>217</v>
      </c>
      <c r="D693" s="278">
        <f>'101 &amp; 106 By County'!H442</f>
        <v>674436.23465987563</v>
      </c>
    </row>
    <row r="694" spans="1:12">
      <c r="A694" s="3" t="s">
        <v>1</v>
      </c>
      <c r="B694" s="5" t="s">
        <v>389</v>
      </c>
      <c r="C694" s="3" t="s">
        <v>218</v>
      </c>
      <c r="D694" s="278">
        <f>'101 &amp; 106 By County'!H443</f>
        <v>363150.19079582742</v>
      </c>
    </row>
    <row r="695" spans="1:12">
      <c r="A695" s="3" t="s">
        <v>1</v>
      </c>
      <c r="B695" s="5" t="s">
        <v>391</v>
      </c>
      <c r="C695" s="3" t="s">
        <v>317</v>
      </c>
      <c r="D695" s="278">
        <f>'101 &amp; 106 By County'!H444</f>
        <v>289456.41672755766</v>
      </c>
    </row>
    <row r="696" spans="1:12">
      <c r="A696" s="3" t="s">
        <v>1</v>
      </c>
      <c r="B696" s="5">
        <v>38500</v>
      </c>
      <c r="C696" s="3" t="s">
        <v>318</v>
      </c>
      <c r="D696" s="278">
        <f>'101 &amp; 106 By County'!H445</f>
        <v>536053.27951809589</v>
      </c>
    </row>
    <row r="697" spans="1:12">
      <c r="A697" s="3" t="s">
        <v>1</v>
      </c>
      <c r="B697" s="5">
        <v>38700</v>
      </c>
      <c r="C697" s="3" t="s">
        <v>319</v>
      </c>
      <c r="D697" s="278">
        <f>'101 &amp; 106 By County'!H446</f>
        <v>67923.970510309024</v>
      </c>
    </row>
    <row r="698" spans="1:12" ht="16.5" thickBot="1">
      <c r="A698" s="48"/>
      <c r="C698" s="48" t="s">
        <v>1103</v>
      </c>
      <c r="D698" s="336">
        <f>SUBTOTAL(9,D689:D697)</f>
        <v>32004881.784684211</v>
      </c>
      <c r="E698" s="336">
        <f>SUM(D691:D697)</f>
        <v>7842077.874684209</v>
      </c>
      <c r="L698" s="3" t="s">
        <v>1178</v>
      </c>
    </row>
    <row r="699" spans="1:12" ht="16.5" thickTop="1">
      <c r="A699" s="48"/>
      <c r="C699" s="48"/>
      <c r="D699" s="337"/>
    </row>
    <row r="700" spans="1:12">
      <c r="A700" s="48"/>
      <c r="B700" s="5" t="s">
        <v>1111</v>
      </c>
      <c r="C700" s="5" t="s">
        <v>1111</v>
      </c>
      <c r="D700" s="277">
        <f>SUM(D689:D690)</f>
        <v>24162803.91</v>
      </c>
    </row>
    <row r="701" spans="1:12">
      <c r="A701" s="48"/>
      <c r="B701" s="5" t="s">
        <v>306</v>
      </c>
      <c r="C701" s="3" t="s">
        <v>1142</v>
      </c>
      <c r="D701" s="337">
        <f>($D$698-$D$700)*(Bills!F217)</f>
        <v>7642483.120938112</v>
      </c>
    </row>
    <row r="702" spans="1:12">
      <c r="A702" s="48"/>
      <c r="B702" s="5" t="s">
        <v>952</v>
      </c>
      <c r="C702" s="3" t="s">
        <v>1142</v>
      </c>
      <c r="D702" s="337">
        <f>($D$698-$D$700)*(Bills!F218)</f>
        <v>149696.0653095739</v>
      </c>
    </row>
    <row r="703" spans="1:12">
      <c r="A703" s="48"/>
      <c r="B703" s="5" t="s">
        <v>954</v>
      </c>
      <c r="C703" s="3" t="s">
        <v>1142</v>
      </c>
      <c r="D703" s="337">
        <f>($D$698-$D$700)*(Bills!F219)</f>
        <v>49898.68843652463</v>
      </c>
    </row>
    <row r="704" spans="1:12" ht="16.5" thickBot="1">
      <c r="A704" s="48"/>
      <c r="B704" s="5" t="s">
        <v>956</v>
      </c>
      <c r="C704" s="48"/>
      <c r="D704" s="336">
        <f>SUM(D700:D703)</f>
        <v>32004881.784684207</v>
      </c>
    </row>
    <row r="705" spans="1:5" ht="16.5" thickTop="1">
      <c r="A705" s="48"/>
      <c r="C705" s="48"/>
    </row>
    <row r="706" spans="1:5">
      <c r="A706" s="48"/>
      <c r="C706" s="48"/>
      <c r="D706" s="337"/>
    </row>
    <row r="707" spans="1:5">
      <c r="A707" s="3" t="s">
        <v>605</v>
      </c>
      <c r="B707" s="5" t="s">
        <v>381</v>
      </c>
      <c r="C707" s="3" t="s">
        <v>311</v>
      </c>
      <c r="D707" s="278">
        <f>'101 &amp; 106 By County'!H448</f>
        <v>1275308.3899999999</v>
      </c>
    </row>
    <row r="708" spans="1:5">
      <c r="A708" s="3" t="s">
        <v>605</v>
      </c>
      <c r="B708" s="5" t="s">
        <v>384</v>
      </c>
      <c r="C708" s="3" t="s">
        <v>314</v>
      </c>
      <c r="D708" s="278">
        <f>'101 &amp; 106 By County'!H449</f>
        <v>1716171.17</v>
      </c>
    </row>
    <row r="709" spans="1:5">
      <c r="A709" s="3" t="s">
        <v>605</v>
      </c>
      <c r="B709" s="5">
        <v>38100</v>
      </c>
      <c r="C709" s="3" t="s">
        <v>216</v>
      </c>
      <c r="D709" s="278">
        <f>'101 &amp; 106 By County'!H450</f>
        <v>341.59055873087897</v>
      </c>
    </row>
    <row r="710" spans="1:5" ht="16.5" thickBot="1">
      <c r="A710" s="48"/>
      <c r="C710" s="48" t="s">
        <v>1104</v>
      </c>
      <c r="D710" s="336">
        <f>SUBTOTAL(9,D707:D709)</f>
        <v>2991821.1505587306</v>
      </c>
      <c r="E710" s="277">
        <f>D709</f>
        <v>341.59055873087897</v>
      </c>
    </row>
    <row r="711" spans="1:5" ht="16.5" thickTop="1">
      <c r="A711" s="48"/>
      <c r="C711" s="48"/>
      <c r="D711" s="337"/>
    </row>
    <row r="712" spans="1:5">
      <c r="A712" s="3" t="s">
        <v>607</v>
      </c>
      <c r="B712" s="5" t="s">
        <v>381</v>
      </c>
      <c r="C712" s="3" t="s">
        <v>311</v>
      </c>
      <c r="D712" s="278">
        <f>'101 &amp; 106 By County'!H452</f>
        <v>9418138.7200000007</v>
      </c>
    </row>
    <row r="713" spans="1:5">
      <c r="A713" s="3" t="s">
        <v>607</v>
      </c>
      <c r="B713" s="5" t="s">
        <v>383</v>
      </c>
      <c r="C713" s="3" t="s">
        <v>363</v>
      </c>
      <c r="D713" s="278">
        <f>'101 &amp; 106 By County'!H453</f>
        <v>56255.62</v>
      </c>
    </row>
    <row r="714" spans="1:5">
      <c r="A714" s="3" t="s">
        <v>607</v>
      </c>
      <c r="B714" s="5">
        <v>38000</v>
      </c>
      <c r="C714" s="3" t="s">
        <v>370</v>
      </c>
      <c r="D714" s="278">
        <f>'101 &amp; 106 By County'!H454-32</f>
        <v>8801498.0610164497</v>
      </c>
    </row>
    <row r="715" spans="1:5">
      <c r="A715" s="3" t="s">
        <v>607</v>
      </c>
      <c r="B715" s="5">
        <v>38100</v>
      </c>
      <c r="C715" s="3" t="s">
        <v>216</v>
      </c>
      <c r="D715" s="278">
        <f>'101 &amp; 106 By County'!H455</f>
        <v>3174571.8575654235</v>
      </c>
    </row>
    <row r="716" spans="1:5">
      <c r="A716" s="3" t="s">
        <v>607</v>
      </c>
      <c r="B716" s="5">
        <v>38200</v>
      </c>
      <c r="C716" s="3" t="s">
        <v>217</v>
      </c>
      <c r="D716" s="278">
        <f>'101 &amp; 106 By County'!H456</f>
        <v>2613171.5928726387</v>
      </c>
    </row>
    <row r="717" spans="1:5">
      <c r="A717" s="3" t="s">
        <v>607</v>
      </c>
      <c r="B717" s="5">
        <v>38300</v>
      </c>
      <c r="C717" s="3" t="s">
        <v>218</v>
      </c>
      <c r="D717" s="278">
        <f>'101 &amp; 106 By County'!H457</f>
        <v>362680.81811300101</v>
      </c>
    </row>
    <row r="718" spans="1:5">
      <c r="A718" s="3" t="s">
        <v>607</v>
      </c>
      <c r="B718" s="5">
        <v>38400</v>
      </c>
      <c r="C718" s="3" t="s">
        <v>317</v>
      </c>
      <c r="D718" s="278">
        <f>'101 &amp; 106 By County'!H458</f>
        <v>1128358.3691291951</v>
      </c>
    </row>
    <row r="719" spans="1:5">
      <c r="A719" s="3" t="s">
        <v>607</v>
      </c>
      <c r="B719" s="5">
        <v>38500</v>
      </c>
      <c r="C719" s="3" t="s">
        <v>318</v>
      </c>
      <c r="D719" s="278">
        <f>'101 &amp; 106 By County'!H459</f>
        <v>71911.031993430777</v>
      </c>
    </row>
    <row r="720" spans="1:5">
      <c r="A720" s="3" t="s">
        <v>607</v>
      </c>
      <c r="B720" s="5">
        <v>38700</v>
      </c>
      <c r="C720" s="3" t="s">
        <v>319</v>
      </c>
      <c r="D720" s="278">
        <f>'101 &amp; 106 By County'!H460</f>
        <v>95820.16392778937</v>
      </c>
    </row>
    <row r="721" spans="1:12" ht="16.5" thickBot="1">
      <c r="A721" s="48"/>
      <c r="C721" s="48" t="s">
        <v>1105</v>
      </c>
      <c r="D721" s="336">
        <f>SUBTOTAL(9,D712:D720)</f>
        <v>25722406.23461793</v>
      </c>
      <c r="E721" s="336">
        <f>SUM(D714:D720)</f>
        <v>16248011.894617928</v>
      </c>
      <c r="L721" s="3" t="s">
        <v>1178</v>
      </c>
    </row>
    <row r="722" spans="1:12" ht="16.5" thickTop="1">
      <c r="A722" s="48"/>
      <c r="C722" s="48"/>
      <c r="D722" s="337"/>
    </row>
    <row r="723" spans="1:12">
      <c r="A723" s="48"/>
      <c r="B723" s="5" t="s">
        <v>1111</v>
      </c>
      <c r="C723" s="5" t="s">
        <v>1111</v>
      </c>
      <c r="D723" s="277">
        <f>SUM(D712:D713)</f>
        <v>9474394.3399999999</v>
      </c>
    </row>
    <row r="724" spans="1:12">
      <c r="A724" s="48"/>
      <c r="B724" s="5" t="s">
        <v>1114</v>
      </c>
      <c r="C724" s="3" t="s">
        <v>1142</v>
      </c>
      <c r="D724" s="337">
        <f>($D$721-$D$723)*(Bills!F348)</f>
        <v>6993.2799890753449</v>
      </c>
    </row>
    <row r="725" spans="1:12">
      <c r="A725" s="48"/>
      <c r="B725" s="384" t="s">
        <v>306</v>
      </c>
      <c r="C725" s="3" t="s">
        <v>1142</v>
      </c>
      <c r="D725" s="337">
        <f>($D$721-$D$723)*(Bills!F349)</f>
        <v>16241018.614628853</v>
      </c>
    </row>
    <row r="726" spans="1:12" ht="16.5" thickBot="1">
      <c r="A726" s="48"/>
      <c r="B726" s="384" t="s">
        <v>1043</v>
      </c>
      <c r="C726" s="48"/>
      <c r="D726" s="336">
        <f>SUM(D723:D725)</f>
        <v>25722406.234617926</v>
      </c>
    </row>
    <row r="727" spans="1:12" ht="16.5" thickTop="1">
      <c r="A727" s="48"/>
      <c r="C727" s="48"/>
    </row>
    <row r="728" spans="1:12">
      <c r="A728" s="48"/>
      <c r="C728" s="48"/>
      <c r="D728" s="337"/>
    </row>
    <row r="729" spans="1:12">
      <c r="A729" s="3" t="s">
        <v>609</v>
      </c>
      <c r="B729" s="5" t="s">
        <v>381</v>
      </c>
      <c r="C729" s="3" t="s">
        <v>311</v>
      </c>
      <c r="D729" s="278">
        <f>'101 &amp; 106 By County'!H462</f>
        <v>16043401.369999999</v>
      </c>
    </row>
    <row r="730" spans="1:12">
      <c r="A730" s="3" t="s">
        <v>609</v>
      </c>
      <c r="B730" s="5" t="s">
        <v>383</v>
      </c>
      <c r="C730" s="3" t="s">
        <v>363</v>
      </c>
      <c r="D730" s="278">
        <f>'101 &amp; 106 By County'!H463</f>
        <v>189006.66</v>
      </c>
    </row>
    <row r="731" spans="1:12">
      <c r="A731" s="3" t="s">
        <v>609</v>
      </c>
      <c r="B731" s="5" t="s">
        <v>384</v>
      </c>
      <c r="C731" s="3" t="s">
        <v>314</v>
      </c>
      <c r="D731" s="278">
        <f>'101 &amp; 106 By County'!H464</f>
        <v>48394.5</v>
      </c>
    </row>
    <row r="732" spans="1:12">
      <c r="A732" s="3" t="s">
        <v>609</v>
      </c>
      <c r="B732" s="5" t="s">
        <v>385</v>
      </c>
      <c r="C732" s="3" t="s">
        <v>370</v>
      </c>
      <c r="D732" s="278">
        <f>'101 &amp; 106 By County'!H465-21</f>
        <v>7200474.2617839994</v>
      </c>
    </row>
    <row r="733" spans="1:12">
      <c r="A733" s="3" t="s">
        <v>609</v>
      </c>
      <c r="B733" s="5">
        <v>38100</v>
      </c>
      <c r="C733" s="3" t="s">
        <v>216</v>
      </c>
      <c r="D733" s="278">
        <f>'101 &amp; 106 By County'!H466</f>
        <v>1236899.4131645127</v>
      </c>
    </row>
    <row r="734" spans="1:12">
      <c r="A734" s="3" t="s">
        <v>609</v>
      </c>
      <c r="B734" s="5" t="s">
        <v>387</v>
      </c>
      <c r="C734" s="3" t="s">
        <v>217</v>
      </c>
      <c r="D734" s="278">
        <f>'101 &amp; 106 By County'!H467</f>
        <v>846516.50459200004</v>
      </c>
    </row>
    <row r="735" spans="1:12">
      <c r="A735" s="3" t="s">
        <v>609</v>
      </c>
      <c r="B735" s="5" t="s">
        <v>389</v>
      </c>
      <c r="C735" s="3" t="s">
        <v>218</v>
      </c>
      <c r="D735" s="278">
        <f>'101 &amp; 106 By County'!H468</f>
        <v>306960.31513599999</v>
      </c>
    </row>
    <row r="736" spans="1:12">
      <c r="A736" s="3" t="s">
        <v>609</v>
      </c>
      <c r="B736" s="5" t="s">
        <v>391</v>
      </c>
      <c r="C736" s="3" t="s">
        <v>317</v>
      </c>
      <c r="D736" s="278">
        <f>'101 &amp; 106 By County'!H469</f>
        <v>335090.68282399996</v>
      </c>
    </row>
    <row r="737" spans="1:12">
      <c r="A737" s="3" t="s">
        <v>609</v>
      </c>
      <c r="B737" s="5" t="s">
        <v>393</v>
      </c>
      <c r="C737" s="3" t="s">
        <v>318</v>
      </c>
      <c r="D737" s="278">
        <f>'101 &amp; 106 By County'!H470</f>
        <v>89041.669632000005</v>
      </c>
    </row>
    <row r="738" spans="1:12">
      <c r="A738" s="3" t="s">
        <v>609</v>
      </c>
      <c r="B738" s="5" t="s">
        <v>394</v>
      </c>
      <c r="C738" s="3" t="s">
        <v>319</v>
      </c>
      <c r="D738" s="278">
        <f>'101 &amp; 106 By County'!H471</f>
        <v>118835.59540800001</v>
      </c>
    </row>
    <row r="739" spans="1:12">
      <c r="A739" s="3" t="s">
        <v>609</v>
      </c>
      <c r="B739" s="5" t="s">
        <v>396</v>
      </c>
      <c r="C739" s="3" t="s">
        <v>397</v>
      </c>
      <c r="D739" s="278">
        <f>'101 &amp; 106 By County'!H472</f>
        <v>60078.49</v>
      </c>
    </row>
    <row r="740" spans="1:12">
      <c r="A740" s="3" t="s">
        <v>609</v>
      </c>
      <c r="B740" s="5" t="s">
        <v>399</v>
      </c>
      <c r="C740" s="3" t="s">
        <v>400</v>
      </c>
      <c r="D740" s="278">
        <f>'101 &amp; 106 By County'!H473</f>
        <v>202125.01</v>
      </c>
    </row>
    <row r="741" spans="1:12">
      <c r="A741" s="3" t="s">
        <v>609</v>
      </c>
      <c r="B741" s="5" t="s">
        <v>402</v>
      </c>
      <c r="C741" s="3" t="s">
        <v>403</v>
      </c>
      <c r="D741" s="278">
        <f>'101 &amp; 106 By County'!H474</f>
        <v>91324.18</v>
      </c>
    </row>
    <row r="742" spans="1:12">
      <c r="A742" s="3" t="s">
        <v>609</v>
      </c>
      <c r="B742" s="5" t="s">
        <v>405</v>
      </c>
      <c r="C742" s="3" t="s">
        <v>227</v>
      </c>
      <c r="D742" s="278">
        <f>'101 &amp; 106 By County'!H475</f>
        <v>65912.850000000006</v>
      </c>
    </row>
    <row r="743" spans="1:12">
      <c r="A743" s="3" t="s">
        <v>609</v>
      </c>
      <c r="B743" s="5" t="s">
        <v>407</v>
      </c>
      <c r="C743" s="3" t="s">
        <v>408</v>
      </c>
      <c r="D743" s="278">
        <f>'101 &amp; 106 By County'!H476</f>
        <v>6908.1</v>
      </c>
    </row>
    <row r="744" spans="1:12">
      <c r="A744" s="3" t="s">
        <v>609</v>
      </c>
      <c r="C744" s="3" t="s">
        <v>241</v>
      </c>
      <c r="D744" s="278">
        <f>'Alloc. Factors'!F48</f>
        <v>52141</v>
      </c>
    </row>
    <row r="745" spans="1:12" ht="16.5" thickBot="1">
      <c r="C745" s="48" t="s">
        <v>1106</v>
      </c>
      <c r="D745" s="336">
        <f>SUM(D729:D744)</f>
        <v>26893110.602540515</v>
      </c>
      <c r="E745" s="336">
        <f>SUM(D732:D738)</f>
        <v>10133818.442540513</v>
      </c>
      <c r="L745" s="3" t="s">
        <v>1178</v>
      </c>
    </row>
    <row r="746" spans="1:12" ht="16.5" thickTop="1">
      <c r="C746" s="48"/>
      <c r="D746" s="337"/>
    </row>
    <row r="747" spans="1:12">
      <c r="B747" s="5" t="s">
        <v>1111</v>
      </c>
      <c r="C747" s="5" t="s">
        <v>1111</v>
      </c>
      <c r="D747" s="277">
        <f>SUM(D729:D731)</f>
        <v>16280802.529999999</v>
      </c>
    </row>
    <row r="748" spans="1:12">
      <c r="B748" s="5" t="s">
        <v>306</v>
      </c>
      <c r="C748" s="3" t="s">
        <v>1142</v>
      </c>
      <c r="D748" s="337">
        <f>($D$745-$D$747)*(Bills!F251)</f>
        <v>323849.77686156501</v>
      </c>
    </row>
    <row r="749" spans="1:12">
      <c r="B749" s="5" t="s">
        <v>990</v>
      </c>
      <c r="C749" s="3" t="s">
        <v>1142</v>
      </c>
      <c r="D749" s="337">
        <f>($D$745-$D$747)*(Bills!F252)</f>
        <v>6991345.1828349624</v>
      </c>
    </row>
    <row r="750" spans="1:12">
      <c r="B750" s="5" t="s">
        <v>991</v>
      </c>
      <c r="C750" s="3" t="s">
        <v>1142</v>
      </c>
      <c r="D750" s="337">
        <f>($D$745-$D$747)*(Bills!F253)</f>
        <v>212480.62282772365</v>
      </c>
    </row>
    <row r="751" spans="1:12">
      <c r="B751" s="5" t="s">
        <v>992</v>
      </c>
      <c r="C751" s="3" t="s">
        <v>1142</v>
      </c>
      <c r="D751" s="337">
        <f>($D$745-$D$747)*(Bills!F254)</f>
        <v>411772.79320407141</v>
      </c>
    </row>
    <row r="752" spans="1:12">
      <c r="B752" s="5" t="s">
        <v>993</v>
      </c>
      <c r="C752" s="3" t="s">
        <v>1142</v>
      </c>
      <c r="D752" s="337">
        <f>($D$745-$D$747)*(Bills!F255)</f>
        <v>663818.77338592301</v>
      </c>
    </row>
    <row r="753" spans="1:5">
      <c r="B753" s="5" t="s">
        <v>994</v>
      </c>
      <c r="C753" s="3" t="s">
        <v>1142</v>
      </c>
      <c r="D753" s="337">
        <f>($D$745-$D$747)*(Bills!F256)</f>
        <v>1497622.0450340249</v>
      </c>
    </row>
    <row r="754" spans="1:5">
      <c r="B754" s="5" t="s">
        <v>995</v>
      </c>
      <c r="C754" s="3" t="s">
        <v>1142</v>
      </c>
      <c r="D754" s="337">
        <f>($D$745-$D$747)*(Bills!F257)</f>
        <v>511418.87839224527</v>
      </c>
    </row>
    <row r="755" spans="1:5" ht="16.5" thickBot="1">
      <c r="B755" s="5" t="s">
        <v>996</v>
      </c>
      <c r="C755" s="48"/>
      <c r="D755" s="336">
        <f>SUM(D747:D754)</f>
        <v>26893110.602540515</v>
      </c>
    </row>
    <row r="756" spans="1:5" ht="16.5" thickTop="1">
      <c r="C756" s="48"/>
      <c r="D756" s="337"/>
    </row>
    <row r="757" spans="1:5">
      <c r="A757" s="3" t="s">
        <v>624</v>
      </c>
      <c r="B757" s="5">
        <v>37800</v>
      </c>
      <c r="C757" s="3" t="s">
        <v>363</v>
      </c>
      <c r="D757" s="278">
        <f>'101 &amp; 106 By County'!H480</f>
        <v>180076.07</v>
      </c>
    </row>
    <row r="758" spans="1:5">
      <c r="A758" s="3" t="s">
        <v>624</v>
      </c>
      <c r="B758" s="5">
        <v>37600</v>
      </c>
      <c r="C758" s="5" t="s">
        <v>311</v>
      </c>
      <c r="D758" s="278">
        <f>'101 &amp; 106 By County'!H481</f>
        <v>0</v>
      </c>
    </row>
    <row r="759" spans="1:5">
      <c r="A759" s="3" t="s">
        <v>624</v>
      </c>
      <c r="B759" s="5" t="s">
        <v>385</v>
      </c>
      <c r="C759" s="3" t="s">
        <v>370</v>
      </c>
      <c r="D759" s="278">
        <f>'101 &amp; 106 By County'!H482</f>
        <v>1640.2263192982455</v>
      </c>
    </row>
    <row r="760" spans="1:5">
      <c r="A760" s="3" t="s">
        <v>624</v>
      </c>
      <c r="B760" s="5">
        <v>38100</v>
      </c>
      <c r="C760" s="3" t="s">
        <v>216</v>
      </c>
      <c r="D760" s="278">
        <f>'101 &amp; 106 By County'!H483</f>
        <v>512.38583809631837</v>
      </c>
    </row>
    <row r="761" spans="1:5">
      <c r="A761" s="3" t="s">
        <v>624</v>
      </c>
      <c r="B761" s="5" t="s">
        <v>387</v>
      </c>
      <c r="C761" s="3" t="s">
        <v>217</v>
      </c>
      <c r="D761" s="278">
        <f>'101 &amp; 106 By County'!H484</f>
        <v>350.607098245614</v>
      </c>
    </row>
    <row r="762" spans="1:5">
      <c r="A762" s="3" t="s">
        <v>624</v>
      </c>
      <c r="B762" s="5" t="s">
        <v>389</v>
      </c>
      <c r="C762" s="3" t="s">
        <v>218</v>
      </c>
      <c r="D762" s="278">
        <f>'101 &amp; 106 By County'!H485</f>
        <v>177.06529999999998</v>
      </c>
    </row>
    <row r="763" spans="1:5">
      <c r="A763" s="3" t="s">
        <v>624</v>
      </c>
      <c r="B763" s="5" t="s">
        <v>391</v>
      </c>
      <c r="C763" s="3" t="s">
        <v>317</v>
      </c>
      <c r="D763" s="278">
        <f>'101 &amp; 106 By County'!H486</f>
        <v>180.28468771929823</v>
      </c>
    </row>
    <row r="764" spans="1:5">
      <c r="A764" s="3" t="s">
        <v>624</v>
      </c>
      <c r="B764" s="5" t="s">
        <v>393</v>
      </c>
      <c r="C764" s="3" t="s">
        <v>318</v>
      </c>
      <c r="D764" s="278">
        <f>'101 &amp; 106 By County'!H487</f>
        <v>12.410373684210526</v>
      </c>
    </row>
    <row r="765" spans="1:5">
      <c r="A765" s="3" t="s">
        <v>624</v>
      </c>
      <c r="B765" s="5" t="s">
        <v>394</v>
      </c>
      <c r="C765" s="3" t="s">
        <v>319</v>
      </c>
      <c r="D765" s="278">
        <f>'101 &amp; 106 By County'!H488</f>
        <v>23.092643859649122</v>
      </c>
    </row>
    <row r="766" spans="1:5">
      <c r="A766" s="3" t="s">
        <v>624</v>
      </c>
      <c r="B766" s="5">
        <v>39700</v>
      </c>
      <c r="C766" s="3" t="s">
        <v>227</v>
      </c>
      <c r="D766" s="278">
        <v>5948.08</v>
      </c>
    </row>
    <row r="767" spans="1:5" ht="16.5" thickBot="1">
      <c r="C767" s="48" t="s">
        <v>1107</v>
      </c>
      <c r="D767" s="336">
        <f>SUM(D757:D766)</f>
        <v>188920.22226090333</v>
      </c>
      <c r="E767" s="336">
        <f>SUM(D759:D765)</f>
        <v>2896.072260903336</v>
      </c>
    </row>
    <row r="768" spans="1:5" ht="16.5" thickTop="1">
      <c r="A768" s="48"/>
      <c r="D768" s="337"/>
    </row>
    <row r="769" spans="3:6">
      <c r="D769" s="278"/>
    </row>
    <row r="770" spans="3:6">
      <c r="C770" s="48" t="s">
        <v>15</v>
      </c>
      <c r="D770" s="278">
        <f>+D14+D37+D53+D55+D70+D108+D125+D141+D156+D176+D215+D234+D246+D248+D262+D284+D309+D322+D333+D352+D381+D394+D405+D416+D429+D456+D473+D490+D509+D530+D555+D576+D594+D629+D640+D658+D679+D698+D710+D721+D745+D767</f>
        <v>1179633765.9094472</v>
      </c>
      <c r="E770" s="408">
        <f>+E14+E37+E53+E70+E108+E125+E141+E156+E176+E215+E234+E246+E262+E284+E309+E322+E333+E352+E381+E394+E405+E416+E429+E456+E473+E490+E509+E530+E555+E576+E594+E629+E640+E658+E679+E698+E710+E721+E745+E767</f>
        <v>410580847.81944728</v>
      </c>
      <c r="F770" s="407" t="s">
        <v>1166</v>
      </c>
    </row>
    <row r="771" spans="3:6">
      <c r="C771" s="48" t="s">
        <v>1167</v>
      </c>
      <c r="D771" s="278">
        <f>'Sum. of Prop.'!B29</f>
        <v>2997640444.6351895</v>
      </c>
    </row>
    <row r="772" spans="3:6" ht="16.5" thickBot="1">
      <c r="C772" s="48" t="s">
        <v>1147</v>
      </c>
      <c r="D772" s="336">
        <f>D770-D771</f>
        <v>-1818006678.7257423</v>
      </c>
    </row>
    <row r="773" spans="3:6" ht="16.5" thickTop="1">
      <c r="D773" s="3"/>
    </row>
    <row r="774" spans="3:6">
      <c r="D774" s="278"/>
    </row>
    <row r="775" spans="3:6">
      <c r="D775" s="278"/>
    </row>
    <row r="776" spans="3:6">
      <c r="D776" s="278"/>
    </row>
    <row r="777" spans="3:6">
      <c r="D777" s="278"/>
    </row>
    <row r="778" spans="3:6">
      <c r="D778" s="278"/>
    </row>
    <row r="779" spans="3:6">
      <c r="D779" s="278"/>
    </row>
    <row r="780" spans="3:6">
      <c r="D780" s="278"/>
    </row>
    <row r="781" spans="3:6">
      <c r="D781" s="278"/>
    </row>
    <row r="782" spans="3:6">
      <c r="D782" s="278"/>
    </row>
    <row r="783" spans="3:6">
      <c r="D783" s="278"/>
    </row>
    <row r="784" spans="3:6">
      <c r="D784" s="278"/>
    </row>
    <row r="785" spans="4:4">
      <c r="D785" s="278"/>
    </row>
    <row r="786" spans="4:4">
      <c r="D786" s="278"/>
    </row>
    <row r="787" spans="4:4">
      <c r="D787" s="278"/>
    </row>
    <row r="788" spans="4:4">
      <c r="D788" s="278"/>
    </row>
    <row r="789" spans="4:4">
      <c r="D789" s="278"/>
    </row>
    <row r="790" spans="4:4">
      <c r="D790" s="278"/>
    </row>
    <row r="791" spans="4:4">
      <c r="D791" s="278"/>
    </row>
    <row r="792" spans="4:4">
      <c r="D792" s="278"/>
    </row>
    <row r="793" spans="4:4">
      <c r="D793" s="278"/>
    </row>
    <row r="794" spans="4:4">
      <c r="D794" s="278"/>
    </row>
    <row r="795" spans="4:4">
      <c r="D795" s="278"/>
    </row>
    <row r="796" spans="4:4">
      <c r="D796" s="278"/>
    </row>
    <row r="797" spans="4:4">
      <c r="D797" s="278"/>
    </row>
    <row r="798" spans="4:4">
      <c r="D798" s="278"/>
    </row>
    <row r="799" spans="4:4">
      <c r="D799" s="278"/>
    </row>
    <row r="800" spans="4:4">
      <c r="D800" s="278"/>
    </row>
    <row r="801" spans="4:4">
      <c r="D801" s="278"/>
    </row>
    <row r="802" spans="4:4">
      <c r="D802" s="278"/>
    </row>
    <row r="803" spans="4:4">
      <c r="D803" s="278"/>
    </row>
    <row r="804" spans="4:4">
      <c r="D804" s="278"/>
    </row>
  </sheetData>
  <printOptions horizontalCentered="1"/>
  <pageMargins left="0.45" right="0.7" top="1.5" bottom="0.75" header="0.3" footer="0.3"/>
  <pageSetup scale="96" orientation="portrait" r:id="rId1"/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E60"/>
  <sheetViews>
    <sheetView showGridLines="0" topLeftCell="A25" workbookViewId="0">
      <selection activeCell="C25" sqref="C25"/>
    </sheetView>
  </sheetViews>
  <sheetFormatPr defaultColWidth="9.140625" defaultRowHeight="18.75"/>
  <cols>
    <col min="1" max="1" width="4.85546875" style="54" customWidth="1"/>
    <col min="2" max="2" width="19.7109375" style="54" customWidth="1"/>
    <col min="3" max="3" width="18.7109375" style="54" customWidth="1"/>
    <col min="4" max="4" width="12.28515625" style="54" customWidth="1"/>
    <col min="5" max="16384" width="9.140625" style="54"/>
  </cols>
  <sheetData>
    <row r="1" spans="1:5">
      <c r="A1" s="54" t="s">
        <v>1108</v>
      </c>
      <c r="E1"/>
    </row>
    <row r="2" spans="1:5">
      <c r="A2" s="54" t="s">
        <v>1149</v>
      </c>
      <c r="E2"/>
    </row>
    <row r="3" spans="1:5">
      <c r="A3" s="54" t="s">
        <v>1150</v>
      </c>
      <c r="E3"/>
    </row>
    <row r="4" spans="1:5">
      <c r="C4" s="74"/>
      <c r="E4"/>
    </row>
    <row r="5" spans="1:5">
      <c r="C5" s="74"/>
      <c r="D5" s="168" t="s">
        <v>1151</v>
      </c>
      <c r="E5"/>
    </row>
    <row r="6" spans="1:5">
      <c r="B6" s="399" t="s">
        <v>306</v>
      </c>
      <c r="C6" s="75" t="s">
        <v>25</v>
      </c>
      <c r="D6" s="75" t="s">
        <v>1152</v>
      </c>
      <c r="E6"/>
    </row>
    <row r="7" spans="1:5">
      <c r="A7" s="168" t="s">
        <v>103</v>
      </c>
      <c r="B7" s="54" t="s">
        <v>161</v>
      </c>
      <c r="C7" s="78">
        <f>'TPP by County'!E14</f>
        <v>49900.851265197751</v>
      </c>
      <c r="D7" s="346">
        <f>C7/$C$48</f>
        <v>1.2153721131956361E-4</v>
      </c>
    </row>
    <row r="8" spans="1:5">
      <c r="A8" s="168" t="s">
        <v>104</v>
      </c>
      <c r="B8" s="54" t="s">
        <v>141</v>
      </c>
      <c r="C8" s="123">
        <f>'TPP by County'!E37</f>
        <v>16503717.405893542</v>
      </c>
      <c r="D8" s="346">
        <f t="shared" ref="D8:D47" si="0">C8/$C$48</f>
        <v>4.0196023495842753E-2</v>
      </c>
    </row>
    <row r="9" spans="1:5">
      <c r="A9" s="168" t="s">
        <v>105</v>
      </c>
      <c r="B9" s="54" t="s">
        <v>142</v>
      </c>
      <c r="C9" s="123">
        <f>'TPP by County'!E53</f>
        <v>170.79527936543948</v>
      </c>
      <c r="D9" s="346">
        <f t="shared" si="0"/>
        <v>4.159845260014335E-7</v>
      </c>
    </row>
    <row r="10" spans="1:5">
      <c r="A10" s="168" t="s">
        <v>106</v>
      </c>
      <c r="B10" s="54" t="s">
        <v>162</v>
      </c>
      <c r="C10" s="123">
        <f>'TPP by County'!E70</f>
        <v>33000593.836423349</v>
      </c>
      <c r="D10" s="346">
        <f t="shared" si="0"/>
        <v>8.0375385290585549E-2</v>
      </c>
    </row>
    <row r="11" spans="1:5">
      <c r="A11" s="168" t="s">
        <v>107</v>
      </c>
      <c r="B11" s="54" t="s">
        <v>143</v>
      </c>
      <c r="C11" s="123">
        <f>'TPP by County'!E108</f>
        <v>505593.15503206832</v>
      </c>
      <c r="D11" s="346">
        <f t="shared" si="0"/>
        <v>1.2314094963689164E-3</v>
      </c>
    </row>
    <row r="12" spans="1:5">
      <c r="A12" s="168" t="s">
        <v>108</v>
      </c>
      <c r="B12" s="54" t="s">
        <v>2</v>
      </c>
      <c r="C12" s="123">
        <f>'TPP by County'!E125</f>
        <v>365259.14458315354</v>
      </c>
      <c r="D12" s="346">
        <f t="shared" si="0"/>
        <v>8.8961564213968416E-4</v>
      </c>
    </row>
    <row r="13" spans="1:5">
      <c r="A13" s="168" t="s">
        <v>109</v>
      </c>
      <c r="B13" s="54" t="s">
        <v>3</v>
      </c>
      <c r="C13" s="123">
        <f>'TPP by County'!E141</f>
        <v>8833459.4895428531</v>
      </c>
      <c r="D13" s="346">
        <f t="shared" si="0"/>
        <v>2.1514543448522865E-2</v>
      </c>
    </row>
    <row r="14" spans="1:5">
      <c r="A14" s="168" t="s">
        <v>110</v>
      </c>
      <c r="B14" s="54" t="s">
        <v>0</v>
      </c>
      <c r="C14" s="123">
        <f>'TPP by County'!E156</f>
        <v>5988.8548292320256</v>
      </c>
      <c r="D14" s="346">
        <f t="shared" si="0"/>
        <v>1.4586298559804284E-5</v>
      </c>
    </row>
    <row r="15" spans="1:5">
      <c r="A15" s="168" t="s">
        <v>111</v>
      </c>
      <c r="B15" s="54" t="s">
        <v>163</v>
      </c>
      <c r="C15" s="123">
        <f>'TPP by County'!E176</f>
        <v>33644099.102617212</v>
      </c>
      <c r="D15" s="346">
        <f t="shared" si="0"/>
        <v>8.194268992647262E-2</v>
      </c>
    </row>
    <row r="16" spans="1:5">
      <c r="A16" s="168" t="s">
        <v>112</v>
      </c>
      <c r="B16" s="54" t="s">
        <v>164</v>
      </c>
      <c r="C16" s="123">
        <f>'TPP by County'!E215</f>
        <v>32484046.448583737</v>
      </c>
      <c r="D16" s="346">
        <f t="shared" si="0"/>
        <v>7.9117295950610386E-2</v>
      </c>
    </row>
    <row r="17" spans="1:4">
      <c r="A17" s="168" t="s">
        <v>113</v>
      </c>
      <c r="B17" s="54" t="s">
        <v>144</v>
      </c>
      <c r="C17" s="123">
        <f>'TPP by County'!E234</f>
        <v>39915.944262164543</v>
      </c>
      <c r="D17" s="346">
        <f t="shared" si="0"/>
        <v>9.7218232350958464E-5</v>
      </c>
    </row>
    <row r="18" spans="1:4">
      <c r="A18" s="168" t="s">
        <v>114</v>
      </c>
      <c r="B18" s="54" t="s">
        <v>4</v>
      </c>
      <c r="C18" s="123">
        <f>'TPP by County'!E246</f>
        <v>169.79527936543948</v>
      </c>
      <c r="D18" s="346">
        <f t="shared" si="0"/>
        <v>4.1354895209361271E-7</v>
      </c>
    </row>
    <row r="19" spans="1:4">
      <c r="A19" s="168" t="s">
        <v>115</v>
      </c>
      <c r="B19" s="54" t="s">
        <v>5</v>
      </c>
      <c r="C19" s="123">
        <f>'TPP by County'!E262</f>
        <v>948493.48169023311</v>
      </c>
      <c r="D19" s="346">
        <f t="shared" si="0"/>
        <v>2.3101259757428642E-3</v>
      </c>
    </row>
    <row r="20" spans="1:4">
      <c r="A20" s="168" t="s">
        <v>116</v>
      </c>
      <c r="B20" s="54" t="s">
        <v>165</v>
      </c>
      <c r="C20" s="123">
        <f>'TPP by County'!E284</f>
        <v>785539.91814300313</v>
      </c>
      <c r="D20" s="346">
        <f t="shared" si="0"/>
        <v>1.9132405281808078E-3</v>
      </c>
    </row>
    <row r="21" spans="1:4">
      <c r="A21" s="168" t="s">
        <v>117</v>
      </c>
      <c r="B21" s="54" t="s">
        <v>166</v>
      </c>
      <c r="C21" s="123">
        <f>'TPP by County'!E309</f>
        <v>71295516.726714715</v>
      </c>
      <c r="D21" s="346">
        <f t="shared" si="0"/>
        <v>0.17364550028418979</v>
      </c>
    </row>
    <row r="22" spans="1:4">
      <c r="A22" s="168" t="s">
        <v>118</v>
      </c>
      <c r="B22" s="54" t="s">
        <v>207</v>
      </c>
      <c r="C22" s="123">
        <f>'TPP by County'!E322</f>
        <v>170.79527936543948</v>
      </c>
      <c r="D22" s="346">
        <f t="shared" si="0"/>
        <v>4.159845260014335E-7</v>
      </c>
    </row>
    <row r="23" spans="1:4">
      <c r="A23" s="168" t="s">
        <v>119</v>
      </c>
      <c r="B23" s="54" t="s">
        <v>8</v>
      </c>
      <c r="C23" s="123">
        <f>'TPP by County'!E333</f>
        <v>874.16172026781771</v>
      </c>
      <c r="D23" s="346">
        <f t="shared" si="0"/>
        <v>2.1290854771000666E-6</v>
      </c>
    </row>
    <row r="24" spans="1:4">
      <c r="A24" s="168" t="s">
        <v>120</v>
      </c>
      <c r="B24" s="54" t="s">
        <v>145</v>
      </c>
      <c r="C24" s="123">
        <f>'TPP by County'!E352</f>
        <v>6971116.1720377151</v>
      </c>
      <c r="D24" s="346">
        <f t="shared" si="0"/>
        <v>1.6978668657002871E-2</v>
      </c>
    </row>
    <row r="25" spans="1:4">
      <c r="A25" s="168" t="s">
        <v>121</v>
      </c>
      <c r="B25" s="54" t="s">
        <v>9</v>
      </c>
      <c r="C25" s="123">
        <f>'TPP by County'!E381</f>
        <v>10456881.430377742</v>
      </c>
      <c r="D25" s="346">
        <f t="shared" si="0"/>
        <v>2.5468507569004172E-2</v>
      </c>
    </row>
    <row r="26" spans="1:4">
      <c r="A26" s="168" t="s">
        <v>122</v>
      </c>
      <c r="B26" s="54" t="s">
        <v>146</v>
      </c>
      <c r="C26" s="123">
        <f>'TPP by County'!E394</f>
        <v>0</v>
      </c>
      <c r="D26" s="346">
        <f t="shared" si="0"/>
        <v>0</v>
      </c>
    </row>
    <row r="27" spans="1:4">
      <c r="A27" s="168" t="s">
        <v>123</v>
      </c>
      <c r="B27" s="54" t="s">
        <v>147</v>
      </c>
      <c r="C27" s="123">
        <f>'TPP by County'!E405</f>
        <v>2622.4851608034528</v>
      </c>
      <c r="D27" s="346">
        <f t="shared" si="0"/>
        <v>6.3872564313001985E-6</v>
      </c>
    </row>
    <row r="28" spans="1:4">
      <c r="A28" s="168" t="s">
        <v>124</v>
      </c>
      <c r="B28" s="54" t="s">
        <v>148</v>
      </c>
      <c r="C28" s="123">
        <f>'TPP by County'!E416</f>
        <v>965.3574203011118</v>
      </c>
      <c r="D28" s="346">
        <f t="shared" si="0"/>
        <v>2.3511993446066126E-6</v>
      </c>
    </row>
    <row r="29" spans="1:4">
      <c r="A29" s="168" t="s">
        <v>125</v>
      </c>
      <c r="B29" s="54" t="s">
        <v>167</v>
      </c>
      <c r="C29" s="123">
        <f>'TPP by County'!E429</f>
        <v>23234945.927667953</v>
      </c>
      <c r="D29" s="346">
        <f t="shared" si="0"/>
        <v>5.6590428051055873E-2</v>
      </c>
    </row>
    <row r="30" spans="1:4">
      <c r="A30" s="168" t="s">
        <v>126</v>
      </c>
      <c r="B30" s="54" t="s">
        <v>168</v>
      </c>
      <c r="C30" s="123">
        <f>'TPP by County'!E456</f>
        <v>18080250.860299271</v>
      </c>
      <c r="D30" s="346">
        <f t="shared" si="0"/>
        <v>4.4035787242199989E-2</v>
      </c>
    </row>
    <row r="31" spans="1:4">
      <c r="A31" s="168" t="s">
        <v>127</v>
      </c>
      <c r="B31" s="54" t="s">
        <v>10</v>
      </c>
      <c r="C31" s="123">
        <f>'TPP by County'!E473</f>
        <v>447808.21035421593</v>
      </c>
      <c r="D31" s="346">
        <f t="shared" si="0"/>
        <v>1.0906699928466691E-3</v>
      </c>
    </row>
    <row r="32" spans="1:4">
      <c r="A32" s="168" t="s">
        <v>128</v>
      </c>
      <c r="B32" s="54" t="s">
        <v>11</v>
      </c>
      <c r="C32" s="123">
        <f>'TPP by County'!E490</f>
        <v>7983.8064389760348</v>
      </c>
      <c r="D32" s="346">
        <f t="shared" si="0"/>
        <v>1.9445150647861953E-5</v>
      </c>
    </row>
    <row r="33" spans="1:4">
      <c r="A33" s="168" t="s">
        <v>129</v>
      </c>
      <c r="B33" s="54" t="s">
        <v>6</v>
      </c>
      <c r="C33" s="123">
        <f>'TPP by County'!E509</f>
        <v>38690996.808000982</v>
      </c>
      <c r="D33" s="346">
        <f t="shared" si="0"/>
        <v>9.4234782293146149E-2</v>
      </c>
    </row>
    <row r="34" spans="1:4">
      <c r="A34" s="168" t="s">
        <v>130</v>
      </c>
      <c r="B34" s="54" t="s">
        <v>169</v>
      </c>
      <c r="C34" s="123">
        <f>'TPP by County'!E530</f>
        <v>8904691.1467836425</v>
      </c>
      <c r="D34" s="346">
        <f t="shared" si="0"/>
        <v>2.1688033414309367E-2</v>
      </c>
    </row>
    <row r="35" spans="1:4">
      <c r="A35" s="168" t="s">
        <v>131</v>
      </c>
      <c r="B35" s="54" t="s">
        <v>170</v>
      </c>
      <c r="C35" s="123">
        <f>'TPP by County'!E555</f>
        <v>10513511.435449935</v>
      </c>
      <c r="D35" s="346">
        <f t="shared" si="0"/>
        <v>2.5606434131757765E-2</v>
      </c>
    </row>
    <row r="36" spans="1:4">
      <c r="A36" s="168" t="s">
        <v>132</v>
      </c>
      <c r="B36" s="54" t="s">
        <v>171</v>
      </c>
      <c r="C36" s="123">
        <f>'TPP by County'!E576</f>
        <v>8760797.9972272888</v>
      </c>
      <c r="D36" s="346">
        <f t="shared" si="0"/>
        <v>2.1337571013735752E-2</v>
      </c>
    </row>
    <row r="37" spans="1:4">
      <c r="A37" s="168" t="s">
        <v>133</v>
      </c>
      <c r="B37" s="54" t="s">
        <v>172</v>
      </c>
      <c r="C37" s="123">
        <f>'TPP by County'!E594</f>
        <v>20589507.056881744</v>
      </c>
      <c r="D37" s="346">
        <f t="shared" si="0"/>
        <v>5.0147266162633992E-2</v>
      </c>
    </row>
    <row r="38" spans="1:4">
      <c r="A38" s="168" t="s">
        <v>134</v>
      </c>
      <c r="B38" s="54" t="s">
        <v>173</v>
      </c>
      <c r="C38" s="123">
        <f>'TPP by County'!E629</f>
        <v>8850239.1256560702</v>
      </c>
      <c r="D38" s="346">
        <f t="shared" si="0"/>
        <v>2.1555411492422946E-2</v>
      </c>
    </row>
    <row r="39" spans="1:4">
      <c r="A39" s="168" t="s">
        <v>135</v>
      </c>
      <c r="B39" s="54" t="s">
        <v>149</v>
      </c>
      <c r="C39" s="123">
        <f>'TPP by County'!E640</f>
        <v>511.38583809631837</v>
      </c>
      <c r="D39" s="346">
        <f t="shared" si="0"/>
        <v>1.2455180040964794E-6</v>
      </c>
    </row>
    <row r="40" spans="1:4">
      <c r="A40" s="168" t="s">
        <v>154</v>
      </c>
      <c r="B40" s="54" t="s">
        <v>137</v>
      </c>
      <c r="C40" s="123">
        <f>'TPP by County'!E658</f>
        <v>13157079.89915549</v>
      </c>
      <c r="D40" s="346">
        <f t="shared" si="0"/>
        <v>3.2045040505497009E-2</v>
      </c>
    </row>
    <row r="41" spans="1:4">
      <c r="A41" s="168" t="s">
        <v>155</v>
      </c>
      <c r="B41" s="54" t="s">
        <v>7</v>
      </c>
      <c r="C41" s="123">
        <f>'TPP by County'!E679</f>
        <v>9220282.9328959864</v>
      </c>
      <c r="D41" s="346">
        <f t="shared" si="0"/>
        <v>2.2456680534087167E-2</v>
      </c>
    </row>
    <row r="42" spans="1:4">
      <c r="A42" s="168" t="s">
        <v>156</v>
      </c>
      <c r="B42" s="54" t="s">
        <v>1</v>
      </c>
      <c r="C42" s="123">
        <f>'TPP by County'!E698</f>
        <v>7842077.874684209</v>
      </c>
      <c r="D42" s="346">
        <f t="shared" si="0"/>
        <v>1.9099960254679874E-2</v>
      </c>
    </row>
    <row r="43" spans="1:4">
      <c r="A43" s="168" t="s">
        <v>157</v>
      </c>
      <c r="B43" s="54" t="s">
        <v>150</v>
      </c>
      <c r="C43" s="123">
        <f>'TPP by County'!E710</f>
        <v>341.59055873087897</v>
      </c>
      <c r="D43" s="346">
        <f t="shared" si="0"/>
        <v>8.31969052002867E-7</v>
      </c>
    </row>
    <row r="44" spans="1:4">
      <c r="A44" s="168" t="s">
        <v>158</v>
      </c>
      <c r="B44" s="54" t="s">
        <v>12</v>
      </c>
      <c r="C44" s="123">
        <f>'TPP by County'!E721</f>
        <v>16248011.894617928</v>
      </c>
      <c r="D44" s="346">
        <f t="shared" si="0"/>
        <v>3.9573233824493889E-2</v>
      </c>
    </row>
    <row r="45" spans="1:4">
      <c r="A45" s="168" t="s">
        <v>159</v>
      </c>
      <c r="B45" s="341" t="s">
        <v>151</v>
      </c>
      <c r="C45" s="123">
        <v>0</v>
      </c>
      <c r="D45" s="346">
        <f t="shared" si="0"/>
        <v>0</v>
      </c>
    </row>
    <row r="46" spans="1:4">
      <c r="A46" s="168" t="s">
        <v>160</v>
      </c>
      <c r="B46" s="342" t="s">
        <v>152</v>
      </c>
      <c r="C46" s="123">
        <f>'TPP by County'!E745</f>
        <v>10133818.442540513</v>
      </c>
      <c r="D46" s="346">
        <f t="shared" si="0"/>
        <v>2.4681663785245177E-2</v>
      </c>
    </row>
    <row r="47" spans="1:4">
      <c r="A47" s="168" t="s">
        <v>206</v>
      </c>
      <c r="B47" s="341" t="s">
        <v>153</v>
      </c>
      <c r="C47" s="123">
        <f>'TPP by County'!E767</f>
        <v>2896.072260903336</v>
      </c>
      <c r="D47" s="346">
        <f t="shared" si="0"/>
        <v>7.0535980338198394E-6</v>
      </c>
    </row>
    <row r="48" spans="1:4">
      <c r="B48" s="343"/>
      <c r="C48" s="344">
        <f>SUM(C7:C47)</f>
        <v>410580847.81944728</v>
      </c>
      <c r="D48" s="347">
        <f>SUM(D7:D47)</f>
        <v>1.0000000000000002</v>
      </c>
    </row>
    <row r="49" spans="3:3">
      <c r="C49" s="78">
        <f>+ByPANSummary!C29</f>
        <v>995738317.35497618</v>
      </c>
    </row>
    <row r="50" spans="3:3">
      <c r="C50" s="78">
        <f>C48-C49</f>
        <v>-585157469.5355289</v>
      </c>
    </row>
    <row r="51" spans="3:3">
      <c r="C51" s="78"/>
    </row>
    <row r="52" spans="3:3">
      <c r="C52" s="78"/>
    </row>
    <row r="53" spans="3:3">
      <c r="C53" s="78"/>
    </row>
    <row r="54" spans="3:3">
      <c r="C54" s="78"/>
    </row>
    <row r="55" spans="3:3">
      <c r="C55" s="78"/>
    </row>
    <row r="56" spans="3:3">
      <c r="C56" s="78"/>
    </row>
    <row r="57" spans="3:3">
      <c r="C57" s="78"/>
    </row>
    <row r="58" spans="3:3">
      <c r="C58" s="78"/>
    </row>
    <row r="59" spans="3:3">
      <c r="C59" s="78"/>
    </row>
    <row r="60" spans="3:3">
      <c r="C60" s="78"/>
    </row>
  </sheetData>
  <pageMargins left="0.7" right="0.7" top="0.75" bottom="0.75" header="0.3" footer="0.3"/>
  <pageSetup scale="75" orientation="portrait" r:id="rId1"/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K243"/>
  <sheetViews>
    <sheetView showGridLines="0" workbookViewId="0">
      <selection activeCell="F13" sqref="F13"/>
    </sheetView>
  </sheetViews>
  <sheetFormatPr defaultColWidth="9.140625" defaultRowHeight="18.75"/>
  <cols>
    <col min="1" max="1" width="15.7109375" style="54" customWidth="1"/>
    <col min="2" max="2" width="8.5703125" style="54" customWidth="1"/>
    <col min="3" max="3" width="22.7109375" style="54" customWidth="1"/>
    <col min="4" max="4" width="16.140625" style="54" customWidth="1"/>
    <col min="5" max="5" width="2.28515625" style="54" customWidth="1"/>
    <col min="6" max="6" width="17.140625" style="54" customWidth="1"/>
    <col min="7" max="8" width="9.140625" style="54"/>
    <col min="9" max="9" width="15.42578125" style="54" customWidth="1"/>
    <col min="10" max="10" width="18.7109375" style="54" customWidth="1"/>
    <col min="11" max="11" width="20.140625" style="54" customWidth="1"/>
    <col min="12" max="16384" width="9.140625" style="54"/>
  </cols>
  <sheetData>
    <row r="1" spans="1:11" ht="20.25">
      <c r="A1" s="369" t="s">
        <v>1121</v>
      </c>
      <c r="B1" s="359"/>
      <c r="C1" s="359"/>
      <c r="D1" s="360"/>
      <c r="E1" s="359"/>
      <c r="F1" s="359"/>
      <c r="G1" s="359"/>
      <c r="H1" s="359"/>
      <c r="I1" s="359"/>
    </row>
    <row r="2" spans="1:11" ht="20.25">
      <c r="A2" s="370" t="s">
        <v>1109</v>
      </c>
      <c r="B2" s="359"/>
      <c r="C2" s="359"/>
      <c r="D2" s="362"/>
      <c r="E2" s="362"/>
      <c r="F2" s="362"/>
      <c r="G2" s="362"/>
      <c r="H2" s="362"/>
      <c r="I2" s="362"/>
    </row>
    <row r="3" spans="1:11" ht="20.25">
      <c r="A3" s="369" t="s">
        <v>1122</v>
      </c>
      <c r="B3" s="359"/>
      <c r="C3" s="359"/>
      <c r="D3" s="362"/>
      <c r="E3" s="362"/>
      <c r="F3" s="362"/>
      <c r="G3" s="362"/>
      <c r="H3" s="362"/>
      <c r="I3" s="362"/>
    </row>
    <row r="4" spans="1:11">
      <c r="A4" s="359"/>
      <c r="B4" s="359"/>
      <c r="C4" s="359"/>
      <c r="D4" s="362"/>
      <c r="E4" s="362"/>
      <c r="F4" s="362"/>
      <c r="G4" s="362"/>
      <c r="H4" s="362"/>
      <c r="I4" s="362"/>
    </row>
    <row r="5" spans="1:11">
      <c r="A5" s="359"/>
      <c r="B5" s="362"/>
      <c r="C5" s="362"/>
      <c r="D5" s="362" t="s">
        <v>1123</v>
      </c>
      <c r="E5" s="362"/>
      <c r="F5" s="362" t="s">
        <v>42</v>
      </c>
      <c r="G5" s="359"/>
      <c r="H5" s="359"/>
      <c r="I5" s="362"/>
    </row>
    <row r="6" spans="1:11">
      <c r="A6" s="359"/>
      <c r="B6" s="362" t="s">
        <v>78</v>
      </c>
      <c r="C6" s="362"/>
      <c r="D6" s="362" t="s">
        <v>1124</v>
      </c>
      <c r="E6" s="362"/>
      <c r="F6" s="362" t="s">
        <v>1125</v>
      </c>
      <c r="G6" s="359"/>
      <c r="H6" s="359"/>
      <c r="I6" s="362"/>
    </row>
    <row r="7" spans="1:11">
      <c r="A7" s="359"/>
      <c r="B7" s="363" t="s">
        <v>1126</v>
      </c>
      <c r="C7" s="363"/>
      <c r="D7" s="363" t="s">
        <v>1127</v>
      </c>
      <c r="E7" s="362"/>
      <c r="F7" s="363" t="s">
        <v>25</v>
      </c>
      <c r="G7" s="359"/>
      <c r="H7" s="359"/>
      <c r="I7" s="363"/>
      <c r="J7" s="74" t="s">
        <v>1132</v>
      </c>
      <c r="K7" s="74" t="s">
        <v>25</v>
      </c>
    </row>
    <row r="8" spans="1:11" ht="15.75" customHeight="1">
      <c r="A8" s="359" t="s">
        <v>251</v>
      </c>
      <c r="B8" s="364" t="s">
        <v>1128</v>
      </c>
      <c r="C8" s="365" t="s">
        <v>241</v>
      </c>
      <c r="D8" s="7">
        <f>D12+D16+D20+D24+D28+D32+D36+D40+D44+D48+D52+D56+D60+D64+D68+D72+D76+D80+D84+D88+D92+D96+D100+D104+D108+D112+D116+D120+D124+D128+D132+D136+D140+D144+D148+D152+D156+D160+D164+D168+D172+D176</f>
        <v>2635012</v>
      </c>
      <c r="E8" s="362"/>
      <c r="F8" s="7">
        <f t="shared" ref="F8" si="0">F12+F16+F20+F24+F28+F32+F36+F40+F44+F48+F52+F56+F60+F64+F68+F72+F76+F80+F84+F88+F92+F96+F100+F104+F108+F112+F116+F120+F124+F128+F132+F136+F140+F144+F148+F152+F156+F160+F164+F168+F172+F176</f>
        <v>2635012</v>
      </c>
      <c r="G8" s="358"/>
      <c r="H8" s="358"/>
      <c r="I8" s="359"/>
      <c r="J8" s="78">
        <f>Valuation!J36*1000</f>
        <v>4100000</v>
      </c>
      <c r="K8" s="78">
        <f>J8</f>
        <v>4100000</v>
      </c>
    </row>
    <row r="9" spans="1:11" ht="15.75" customHeight="1">
      <c r="A9" s="359" t="s">
        <v>251</v>
      </c>
      <c r="B9" s="364" t="s">
        <v>1129</v>
      </c>
      <c r="C9" s="365" t="s">
        <v>1130</v>
      </c>
      <c r="D9" s="277">
        <f>D13+D17+D21+D25+D29+D33+D37+D41+D45+D49+D53+D57+D61+D65+D69+D73+D77+D81+D85+D89+D93+D97+D101+D105+D109+D113+D117+D121+D125+D129+D133+D137+D141+D145+D149+D153+D157+D161+D165+D169+D173+D177</f>
        <v>1375517022.9953356</v>
      </c>
      <c r="E9" s="362"/>
      <c r="F9" s="277">
        <f t="shared" ref="F9" si="1">F13+F17+F21+F25+F29+F33+F37+F41+F45+F49+F53+F57+F61+F65+F69+F73+F77+F81+F85+F89+F93+F97+F101+F105+F109+F113+F117+F121+F125+F129+F133+F137+F141+F145+F149+F153+F157+F161+F165+F169+F173+F177</f>
        <v>2347711251.5</v>
      </c>
      <c r="G9" s="358"/>
      <c r="H9" s="358"/>
      <c r="I9" s="346">
        <f>J9/K9</f>
        <v>0.58589701868851629</v>
      </c>
      <c r="J9" s="78">
        <f>Valuation!J35*1000</f>
        <v>1375517022.9953353</v>
      </c>
      <c r="K9" s="78">
        <f>'Alloc. Factors'!E50</f>
        <v>2347711251.5</v>
      </c>
    </row>
    <row r="10" spans="1:11" ht="15.75" customHeight="1" thickBot="1">
      <c r="A10" s="359" t="s">
        <v>251</v>
      </c>
      <c r="B10" s="359"/>
      <c r="C10" s="364" t="s">
        <v>15</v>
      </c>
      <c r="D10" s="367">
        <f>D8+D9</f>
        <v>1378152034.9953356</v>
      </c>
      <c r="E10" s="362"/>
      <c r="F10" s="367">
        <f>F8+F9</f>
        <v>2350346263.5</v>
      </c>
      <c r="G10" s="409">
        <f>F10-'Alloc. Factors'!G50</f>
        <v>0</v>
      </c>
      <c r="H10" s="358"/>
      <c r="I10" s="359"/>
      <c r="J10" s="123"/>
    </row>
    <row r="11" spans="1:11" ht="15.75" customHeight="1" thickTop="1">
      <c r="A11" s="358"/>
      <c r="B11" s="358"/>
      <c r="C11" s="358"/>
      <c r="D11" s="358"/>
      <c r="E11" s="362"/>
      <c r="F11" s="385"/>
      <c r="G11" s="358"/>
      <c r="H11" s="358"/>
      <c r="I11" s="359"/>
      <c r="J11" s="123">
        <f>D9</f>
        <v>1375517022.9953356</v>
      </c>
      <c r="K11" s="123"/>
    </row>
    <row r="12" spans="1:11" ht="15.75" customHeight="1">
      <c r="A12" s="359" t="s">
        <v>649</v>
      </c>
      <c r="B12" s="364" t="s">
        <v>1128</v>
      </c>
      <c r="C12" s="365" t="s">
        <v>241</v>
      </c>
      <c r="D12" s="361">
        <f>F12</f>
        <v>0</v>
      </c>
      <c r="E12" s="359"/>
      <c r="F12" s="361">
        <f>'Alloc. Factors'!F8</f>
        <v>0</v>
      </c>
      <c r="G12" s="358"/>
      <c r="H12" s="358"/>
      <c r="I12" s="359"/>
      <c r="J12" s="123">
        <f>D77*-1</f>
        <v>-209025274.24838793</v>
      </c>
      <c r="K12" s="123"/>
    </row>
    <row r="13" spans="1:11" ht="15.75" customHeight="1">
      <c r="A13" s="359" t="s">
        <v>649</v>
      </c>
      <c r="B13" s="364" t="s">
        <v>1129</v>
      </c>
      <c r="C13" s="365" t="s">
        <v>1130</v>
      </c>
      <c r="D13" s="366">
        <f>$I$9*F13</f>
        <v>1539145.0232275268</v>
      </c>
      <c r="E13" s="359"/>
      <c r="F13" s="366">
        <f>'Alloc. Factors'!E8</f>
        <v>2626989</v>
      </c>
      <c r="G13" s="358"/>
      <c r="H13" s="358"/>
      <c r="I13" s="359"/>
      <c r="J13" s="123">
        <v>72013032</v>
      </c>
      <c r="K13" s="123"/>
    </row>
    <row r="14" spans="1:11" ht="15.75" customHeight="1" thickBot="1">
      <c r="A14" s="359" t="s">
        <v>649</v>
      </c>
      <c r="B14" s="359"/>
      <c r="C14" s="364" t="s">
        <v>15</v>
      </c>
      <c r="D14" s="367">
        <f>D12+D13</f>
        <v>1539145.0232275268</v>
      </c>
      <c r="E14" s="359"/>
      <c r="F14" s="367">
        <f>F12+F13</f>
        <v>2626989</v>
      </c>
      <c r="G14" s="358"/>
      <c r="H14" s="358"/>
      <c r="I14" s="359"/>
      <c r="J14" s="368">
        <f>SUM(J11:J13)</f>
        <v>1238504780.7469478</v>
      </c>
      <c r="K14" s="123"/>
    </row>
    <row r="15" spans="1:11" ht="15.75" customHeight="1" thickTop="1">
      <c r="A15" s="359"/>
      <c r="B15" s="359"/>
      <c r="C15" s="359"/>
      <c r="D15" s="361"/>
      <c r="E15" s="359"/>
      <c r="F15" s="361"/>
      <c r="G15" s="358"/>
      <c r="H15" s="358"/>
      <c r="I15" s="359"/>
      <c r="J15" s="123">
        <f>J9-J14</f>
        <v>137012242.24838758</v>
      </c>
      <c r="K15" s="123"/>
    </row>
    <row r="16" spans="1:11" ht="15.75" customHeight="1">
      <c r="A16" s="359" t="s">
        <v>141</v>
      </c>
      <c r="B16" s="364" t="s">
        <v>1128</v>
      </c>
      <c r="C16" s="365" t="s">
        <v>241</v>
      </c>
      <c r="D16" s="361">
        <f>F16</f>
        <v>210386</v>
      </c>
      <c r="E16" s="359"/>
      <c r="F16" s="361">
        <f>'Alloc. Factors'!F9</f>
        <v>210386</v>
      </c>
      <c r="G16" s="358"/>
      <c r="H16" s="358"/>
      <c r="I16" s="359"/>
      <c r="J16" s="123"/>
      <c r="K16" s="123"/>
    </row>
    <row r="17" spans="1:11" ht="15.75" customHeight="1">
      <c r="A17" s="359" t="s">
        <v>141</v>
      </c>
      <c r="B17" s="364" t="s">
        <v>1129</v>
      </c>
      <c r="C17" s="365" t="s">
        <v>1130</v>
      </c>
      <c r="D17" s="366">
        <f>$I$9*F17</f>
        <v>51791203.042017065</v>
      </c>
      <c r="E17" s="359"/>
      <c r="F17" s="366">
        <f>'Alloc. Factors'!E9</f>
        <v>88396427</v>
      </c>
      <c r="G17" s="358"/>
      <c r="H17" s="358"/>
      <c r="I17" s="359"/>
      <c r="J17" s="123"/>
      <c r="K17" s="123"/>
    </row>
    <row r="18" spans="1:11" ht="15.75" customHeight="1" thickBot="1">
      <c r="A18" s="359" t="s">
        <v>141</v>
      </c>
      <c r="B18" s="359"/>
      <c r="C18" s="364" t="s">
        <v>15</v>
      </c>
      <c r="D18" s="367">
        <f>D16+D17</f>
        <v>52001589.042017065</v>
      </c>
      <c r="E18" s="359"/>
      <c r="F18" s="367">
        <f>F16+F17</f>
        <v>88606813</v>
      </c>
      <c r="G18" s="358"/>
      <c r="H18" s="358"/>
      <c r="I18" s="359"/>
      <c r="J18" s="123"/>
      <c r="K18" s="123"/>
    </row>
    <row r="19" spans="1:11" ht="15.75" customHeight="1" thickTop="1">
      <c r="A19" s="359"/>
      <c r="B19" s="359"/>
      <c r="C19" s="359"/>
      <c r="D19" s="361"/>
      <c r="E19" s="359"/>
      <c r="F19" s="361"/>
      <c r="G19" s="358"/>
      <c r="H19" s="358"/>
      <c r="I19" s="359"/>
      <c r="J19" s="123"/>
      <c r="K19" s="123"/>
    </row>
    <row r="20" spans="1:11" ht="15.75" customHeight="1">
      <c r="A20" s="359" t="s">
        <v>142</v>
      </c>
      <c r="B20" s="364" t="s">
        <v>1128</v>
      </c>
      <c r="C20" s="365" t="s">
        <v>241</v>
      </c>
      <c r="D20" s="361">
        <f>F20</f>
        <v>0</v>
      </c>
      <c r="E20" s="359"/>
      <c r="F20" s="361">
        <f>'Alloc. Factors'!F10</f>
        <v>0</v>
      </c>
      <c r="G20" s="358"/>
      <c r="H20" s="358"/>
      <c r="I20" s="359"/>
      <c r="J20" s="123"/>
      <c r="K20" s="123"/>
    </row>
    <row r="21" spans="1:11" ht="15.75" customHeight="1">
      <c r="A21" s="359" t="s">
        <v>142</v>
      </c>
      <c r="B21" s="364" t="s">
        <v>1129</v>
      </c>
      <c r="C21" s="365" t="s">
        <v>1130</v>
      </c>
      <c r="D21" s="366">
        <f>$I$9*F21</f>
        <v>993745.20647076063</v>
      </c>
      <c r="E21" s="359"/>
      <c r="F21" s="366">
        <f>'Alloc. Factors'!E10</f>
        <v>1696109</v>
      </c>
      <c r="G21" s="358"/>
      <c r="H21" s="358"/>
      <c r="I21" s="359"/>
      <c r="J21" s="123"/>
      <c r="K21" s="123"/>
    </row>
    <row r="22" spans="1:11" ht="15.75" customHeight="1" thickBot="1">
      <c r="A22" s="359" t="s">
        <v>142</v>
      </c>
      <c r="B22" s="359"/>
      <c r="C22" s="364" t="s">
        <v>15</v>
      </c>
      <c r="D22" s="367">
        <f>D20+D21</f>
        <v>993745.20647076063</v>
      </c>
      <c r="E22" s="359"/>
      <c r="F22" s="367">
        <f>F20+F21</f>
        <v>1696109</v>
      </c>
      <c r="G22" s="358"/>
      <c r="H22" s="358"/>
      <c r="I22" s="359"/>
      <c r="J22" s="123"/>
      <c r="K22" s="123"/>
    </row>
    <row r="23" spans="1:11" ht="15.75" customHeight="1" thickTop="1">
      <c r="A23" s="359"/>
      <c r="B23" s="359"/>
      <c r="C23" s="359"/>
      <c r="D23" s="361"/>
      <c r="E23" s="359"/>
      <c r="F23" s="361"/>
      <c r="G23" s="358"/>
      <c r="H23" s="358"/>
      <c r="I23" s="359"/>
    </row>
    <row r="24" spans="1:11" ht="15.75" customHeight="1">
      <c r="A24" s="359" t="s">
        <v>1159</v>
      </c>
      <c r="B24" s="364" t="s">
        <v>1128</v>
      </c>
      <c r="C24" s="365" t="s">
        <v>241</v>
      </c>
      <c r="D24" s="361">
        <f>F24</f>
        <v>0</v>
      </c>
      <c r="E24" s="359"/>
      <c r="F24" s="361">
        <f>'Alloc. Factors'!F11</f>
        <v>0</v>
      </c>
      <c r="G24" s="358"/>
      <c r="H24" s="358"/>
      <c r="I24" s="359"/>
    </row>
    <row r="25" spans="1:11" ht="15.75" customHeight="1">
      <c r="A25" s="359" t="s">
        <v>1159</v>
      </c>
      <c r="B25" s="364" t="s">
        <v>1129</v>
      </c>
      <c r="C25" s="365" t="s">
        <v>1130</v>
      </c>
      <c r="D25" s="366">
        <f>$I$9*F25</f>
        <v>1726994.7453213902</v>
      </c>
      <c r="E25" s="359"/>
      <c r="F25" s="366">
        <f>'Alloc. Factors'!E11</f>
        <v>2947608.01</v>
      </c>
      <c r="G25" s="358"/>
      <c r="H25" s="358"/>
      <c r="I25" s="359"/>
    </row>
    <row r="26" spans="1:11" ht="15.75" customHeight="1" thickBot="1">
      <c r="A26" s="359" t="s">
        <v>1159</v>
      </c>
      <c r="B26" s="359"/>
      <c r="C26" s="364" t="s">
        <v>15</v>
      </c>
      <c r="D26" s="367">
        <f>D24+D25</f>
        <v>1726994.7453213902</v>
      </c>
      <c r="E26" s="359"/>
      <c r="F26" s="367">
        <f>F24+F25</f>
        <v>2947608.01</v>
      </c>
      <c r="G26" s="358"/>
      <c r="H26" s="358"/>
      <c r="I26" s="359"/>
    </row>
    <row r="27" spans="1:11" ht="15.75" customHeight="1" thickTop="1">
      <c r="A27" s="359"/>
      <c r="B27" s="359"/>
      <c r="C27" s="359"/>
      <c r="D27" s="361"/>
      <c r="E27" s="359"/>
      <c r="F27" s="361"/>
      <c r="G27" s="358"/>
      <c r="H27" s="358"/>
      <c r="I27" s="359"/>
    </row>
    <row r="28" spans="1:11" ht="15.75" customHeight="1">
      <c r="A28" s="359" t="s">
        <v>162</v>
      </c>
      <c r="B28" s="364" t="s">
        <v>1128</v>
      </c>
      <c r="C28" s="365" t="s">
        <v>241</v>
      </c>
      <c r="D28" s="361">
        <f>F28</f>
        <v>0</v>
      </c>
      <c r="E28" s="359"/>
      <c r="F28" s="361">
        <f>'Alloc. Factors'!F12</f>
        <v>0</v>
      </c>
      <c r="G28" s="358"/>
      <c r="H28" s="358"/>
      <c r="I28" s="359"/>
    </row>
    <row r="29" spans="1:11" ht="15.75" customHeight="1">
      <c r="A29" s="359" t="s">
        <v>162</v>
      </c>
      <c r="B29" s="364" t="s">
        <v>1129</v>
      </c>
      <c r="C29" s="365" t="s">
        <v>1130</v>
      </c>
      <c r="D29" s="366">
        <f>$I$9*F29</f>
        <v>84708441.390582159</v>
      </c>
      <c r="E29" s="359"/>
      <c r="F29" s="366">
        <f>'Alloc. Factors'!E12</f>
        <v>144579062</v>
      </c>
      <c r="G29" s="358"/>
      <c r="H29" s="358"/>
      <c r="I29" s="359"/>
    </row>
    <row r="30" spans="1:11" ht="15.75" customHeight="1" thickBot="1">
      <c r="A30" s="359" t="s">
        <v>162</v>
      </c>
      <c r="B30" s="359"/>
      <c r="C30" s="364" t="s">
        <v>15</v>
      </c>
      <c r="D30" s="367">
        <f>D28+D29</f>
        <v>84708441.390582159</v>
      </c>
      <c r="E30" s="359"/>
      <c r="F30" s="367">
        <f>F28+F29</f>
        <v>144579062</v>
      </c>
      <c r="G30" s="358"/>
      <c r="H30" s="358"/>
      <c r="I30" s="359"/>
    </row>
    <row r="31" spans="1:11" ht="15.75" customHeight="1" thickTop="1">
      <c r="A31" s="359"/>
      <c r="B31" s="359"/>
      <c r="C31" s="359"/>
      <c r="D31" s="361"/>
      <c r="E31" s="359"/>
      <c r="F31" s="361"/>
      <c r="G31" s="358"/>
      <c r="H31" s="358"/>
      <c r="I31" s="359"/>
    </row>
    <row r="32" spans="1:11" ht="15.75" customHeight="1">
      <c r="A32" s="359" t="s">
        <v>143</v>
      </c>
      <c r="B32" s="364" t="s">
        <v>1128</v>
      </c>
      <c r="C32" s="365" t="s">
        <v>241</v>
      </c>
      <c r="D32" s="361">
        <f>F32</f>
        <v>0</v>
      </c>
      <c r="E32" s="359"/>
      <c r="F32" s="361">
        <f>'Alloc. Factors'!F13</f>
        <v>0</v>
      </c>
      <c r="G32" s="358"/>
      <c r="H32" s="358"/>
      <c r="I32" s="359"/>
    </row>
    <row r="33" spans="1:9" ht="15.75" customHeight="1">
      <c r="A33" s="359" t="s">
        <v>143</v>
      </c>
      <c r="B33" s="364" t="s">
        <v>1129</v>
      </c>
      <c r="C33" s="365" t="s">
        <v>1130</v>
      </c>
      <c r="D33" s="366">
        <f>$I$9*F33</f>
        <v>13866647.968065236</v>
      </c>
      <c r="E33" s="359"/>
      <c r="F33" s="366">
        <f>'Alloc. Factors'!E13</f>
        <v>23667381</v>
      </c>
      <c r="G33" s="358"/>
      <c r="H33" s="358"/>
      <c r="I33" s="359"/>
    </row>
    <row r="34" spans="1:9" ht="15.75" customHeight="1" thickBot="1">
      <c r="A34" s="359" t="s">
        <v>143</v>
      </c>
      <c r="B34" s="359"/>
      <c r="C34" s="364" t="s">
        <v>15</v>
      </c>
      <c r="D34" s="367">
        <f>D32+D33</f>
        <v>13866647.968065236</v>
      </c>
      <c r="E34" s="359"/>
      <c r="F34" s="367">
        <f>F32+F33</f>
        <v>23667381</v>
      </c>
      <c r="G34" s="358"/>
      <c r="H34" s="358"/>
      <c r="I34" s="359"/>
    </row>
    <row r="35" spans="1:9" ht="15.75" customHeight="1" thickTop="1">
      <c r="A35" s="358"/>
      <c r="B35" s="359"/>
      <c r="C35" s="359"/>
      <c r="D35" s="361"/>
      <c r="E35" s="359"/>
      <c r="F35" s="361"/>
      <c r="G35" s="358"/>
      <c r="H35" s="358"/>
      <c r="I35" s="359"/>
    </row>
    <row r="36" spans="1:9" ht="15.75" customHeight="1">
      <c r="A36" s="359" t="s">
        <v>2</v>
      </c>
      <c r="B36" s="364" t="s">
        <v>1128</v>
      </c>
      <c r="C36" s="365" t="s">
        <v>241</v>
      </c>
      <c r="D36" s="361">
        <f>F36</f>
        <v>0</v>
      </c>
      <c r="E36" s="359"/>
      <c r="F36" s="361">
        <f>'Alloc. Factors'!F14</f>
        <v>0</v>
      </c>
      <c r="G36" s="358"/>
      <c r="H36" s="358"/>
      <c r="I36" s="359"/>
    </row>
    <row r="37" spans="1:9" ht="15.75" customHeight="1">
      <c r="A37" s="359" t="s">
        <v>2</v>
      </c>
      <c r="B37" s="364" t="s">
        <v>1129</v>
      </c>
      <c r="C37" s="365" t="s">
        <v>1130</v>
      </c>
      <c r="D37" s="366">
        <f>$I$9*F37</f>
        <v>14705889.20122274</v>
      </c>
      <c r="E37" s="359"/>
      <c r="F37" s="366">
        <f>'Alloc. Factors'!E14</f>
        <v>25099785</v>
      </c>
      <c r="G37" s="358"/>
      <c r="H37" s="358"/>
      <c r="I37" s="359"/>
    </row>
    <row r="38" spans="1:9" ht="15.75" customHeight="1" thickBot="1">
      <c r="A38" s="359" t="s">
        <v>2</v>
      </c>
      <c r="B38" s="359"/>
      <c r="C38" s="364" t="s">
        <v>15</v>
      </c>
      <c r="D38" s="367">
        <f>D36+D37</f>
        <v>14705889.20122274</v>
      </c>
      <c r="E38" s="359"/>
      <c r="F38" s="367">
        <f>F36+F37</f>
        <v>25099785</v>
      </c>
      <c r="G38" s="358"/>
      <c r="H38" s="358"/>
      <c r="I38" s="359"/>
    </row>
    <row r="39" spans="1:9" ht="15.75" customHeight="1" thickTop="1">
      <c r="A39" s="358"/>
      <c r="B39" s="359"/>
      <c r="C39" s="359"/>
      <c r="D39" s="361"/>
      <c r="E39" s="359"/>
      <c r="F39" s="361"/>
      <c r="G39" s="358"/>
      <c r="H39" s="358"/>
      <c r="I39" s="359"/>
    </row>
    <row r="40" spans="1:9" ht="15.75" customHeight="1">
      <c r="A40" s="359" t="s">
        <v>3</v>
      </c>
      <c r="B40" s="364" t="s">
        <v>1128</v>
      </c>
      <c r="C40" s="365" t="s">
        <v>241</v>
      </c>
      <c r="D40" s="361">
        <f>F40</f>
        <v>0</v>
      </c>
      <c r="E40" s="359"/>
      <c r="F40" s="361">
        <f>'Alloc. Factors'!F15</f>
        <v>0</v>
      </c>
      <c r="G40" s="358"/>
      <c r="H40" s="358"/>
      <c r="I40" s="359"/>
    </row>
    <row r="41" spans="1:9" ht="15.75" customHeight="1">
      <c r="A41" s="359" t="s">
        <v>3</v>
      </c>
      <c r="B41" s="364" t="s">
        <v>1129</v>
      </c>
      <c r="C41" s="365" t="s">
        <v>1130</v>
      </c>
      <c r="D41" s="366">
        <f>$I$9*F41</f>
        <v>57159854.176769391</v>
      </c>
      <c r="E41" s="359"/>
      <c r="F41" s="366">
        <f>'Alloc. Factors'!E15</f>
        <v>97559558</v>
      </c>
      <c r="G41" s="358"/>
      <c r="H41" s="358"/>
      <c r="I41" s="359"/>
    </row>
    <row r="42" spans="1:9" ht="15.75" customHeight="1" thickBot="1">
      <c r="A42" s="359" t="s">
        <v>3</v>
      </c>
      <c r="B42" s="359"/>
      <c r="C42" s="364" t="s">
        <v>15</v>
      </c>
      <c r="D42" s="367">
        <f>D40+D41</f>
        <v>57159854.176769391</v>
      </c>
      <c r="E42" s="359"/>
      <c r="F42" s="367">
        <f>F40+F41</f>
        <v>97559558</v>
      </c>
      <c r="G42" s="358"/>
      <c r="H42" s="358"/>
      <c r="I42" s="359"/>
    </row>
    <row r="43" spans="1:9" ht="15.75" customHeight="1" thickTop="1">
      <c r="A43" s="358"/>
      <c r="B43" s="359"/>
      <c r="C43" s="359"/>
      <c r="D43" s="361"/>
      <c r="E43" s="359"/>
      <c r="F43" s="361"/>
      <c r="G43" s="358"/>
      <c r="H43" s="358"/>
      <c r="I43" s="359"/>
    </row>
    <row r="44" spans="1:9" ht="15.75" customHeight="1">
      <c r="A44" s="359" t="s">
        <v>0</v>
      </c>
      <c r="B44" s="364" t="s">
        <v>1128</v>
      </c>
      <c r="C44" s="365" t="s">
        <v>241</v>
      </c>
      <c r="D44" s="361">
        <f>F44</f>
        <v>0</v>
      </c>
      <c r="E44" s="359"/>
      <c r="F44" s="361">
        <f>'Alloc. Factors'!F16</f>
        <v>0</v>
      </c>
      <c r="G44" s="358"/>
      <c r="H44" s="358"/>
      <c r="I44" s="359"/>
    </row>
    <row r="45" spans="1:9" ht="15.75" customHeight="1">
      <c r="A45" s="359" t="s">
        <v>0</v>
      </c>
      <c r="B45" s="364" t="s">
        <v>1129</v>
      </c>
      <c r="C45" s="365" t="s">
        <v>1130</v>
      </c>
      <c r="D45" s="366">
        <f>$I$9*F45</f>
        <v>146751.96985898743</v>
      </c>
      <c r="E45" s="359"/>
      <c r="F45" s="366">
        <f>'Alloc. Factors'!E16</f>
        <v>250474</v>
      </c>
      <c r="G45" s="358"/>
      <c r="H45" s="358"/>
      <c r="I45" s="359"/>
    </row>
    <row r="46" spans="1:9" ht="15.75" customHeight="1" thickBot="1">
      <c r="A46" s="359" t="s">
        <v>0</v>
      </c>
      <c r="B46" s="359"/>
      <c r="C46" s="364" t="s">
        <v>15</v>
      </c>
      <c r="D46" s="367">
        <f>D44+D45</f>
        <v>146751.96985898743</v>
      </c>
      <c r="E46" s="359"/>
      <c r="F46" s="367">
        <f>F44+F45</f>
        <v>250474</v>
      </c>
      <c r="G46" s="358"/>
      <c r="H46" s="358"/>
      <c r="I46" s="359"/>
    </row>
    <row r="47" spans="1:9" ht="15.75" customHeight="1" thickTop="1">
      <c r="A47" s="359"/>
      <c r="B47" s="359"/>
      <c r="C47" s="359"/>
      <c r="D47" s="361"/>
      <c r="E47" s="359"/>
      <c r="F47" s="361"/>
      <c r="G47" s="358"/>
      <c r="H47" s="358"/>
      <c r="I47" s="359"/>
    </row>
    <row r="48" spans="1:9" ht="15.75" customHeight="1">
      <c r="A48" s="359" t="s">
        <v>163</v>
      </c>
      <c r="B48" s="364" t="s">
        <v>1128</v>
      </c>
      <c r="C48" s="365" t="s">
        <v>241</v>
      </c>
      <c r="D48" s="361">
        <f>F48</f>
        <v>404936</v>
      </c>
      <c r="E48" s="359"/>
      <c r="F48" s="361">
        <f>'Alloc. Factors'!F17</f>
        <v>404936</v>
      </c>
      <c r="G48" s="358"/>
      <c r="H48" s="358"/>
      <c r="I48" s="359"/>
    </row>
    <row r="49" spans="1:9" ht="15.75" customHeight="1">
      <c r="A49" s="359" t="s">
        <v>163</v>
      </c>
      <c r="B49" s="364" t="s">
        <v>1129</v>
      </c>
      <c r="C49" s="365" t="s">
        <v>1130</v>
      </c>
      <c r="D49" s="366">
        <f>$I$9*F49</f>
        <v>101563049.90404017</v>
      </c>
      <c r="E49" s="359"/>
      <c r="F49" s="366">
        <f>'Alloc. Factors'!E17</f>
        <v>173346248</v>
      </c>
      <c r="G49" s="358"/>
      <c r="H49" s="358"/>
      <c r="I49" s="359"/>
    </row>
    <row r="50" spans="1:9" ht="15.75" customHeight="1" thickBot="1">
      <c r="A50" s="359" t="s">
        <v>163</v>
      </c>
      <c r="B50" s="359"/>
      <c r="C50" s="364" t="s">
        <v>15</v>
      </c>
      <c r="D50" s="367">
        <f>D48+D49</f>
        <v>101967985.90404017</v>
      </c>
      <c r="E50" s="359"/>
      <c r="F50" s="367">
        <f>F48+F49</f>
        <v>173751184</v>
      </c>
      <c r="G50" s="358"/>
      <c r="H50" s="358"/>
      <c r="I50" s="359"/>
    </row>
    <row r="51" spans="1:9" ht="15.75" customHeight="1" thickTop="1">
      <c r="A51" s="359"/>
      <c r="B51" s="359"/>
      <c r="C51" s="359"/>
      <c r="D51" s="361"/>
      <c r="E51" s="359"/>
      <c r="F51" s="361"/>
      <c r="G51" s="358"/>
      <c r="H51" s="358"/>
      <c r="I51" s="359"/>
    </row>
    <row r="52" spans="1:9" ht="15.75" customHeight="1">
      <c r="A52" s="359" t="s">
        <v>164</v>
      </c>
      <c r="B52" s="364" t="s">
        <v>1128</v>
      </c>
      <c r="C52" s="365" t="s">
        <v>241</v>
      </c>
      <c r="D52" s="361">
        <f>F52</f>
        <v>374171</v>
      </c>
      <c r="E52" s="359"/>
      <c r="F52" s="361">
        <f>'Alloc. Factors'!F18</f>
        <v>374171</v>
      </c>
      <c r="G52" s="358"/>
      <c r="H52" s="358"/>
      <c r="I52" s="359"/>
    </row>
    <row r="53" spans="1:9" ht="15.75" customHeight="1">
      <c r="A53" s="359" t="s">
        <v>164</v>
      </c>
      <c r="B53" s="364" t="s">
        <v>1129</v>
      </c>
      <c r="C53" s="365" t="s">
        <v>1130</v>
      </c>
      <c r="D53" s="366">
        <f>$I$9*F53</f>
        <v>134847484.56164283</v>
      </c>
      <c r="E53" s="359"/>
      <c r="F53" s="366">
        <f>'Alloc. Factors'!E18</f>
        <v>230155608</v>
      </c>
      <c r="G53" s="358"/>
      <c r="H53" s="358"/>
      <c r="I53" s="359"/>
    </row>
    <row r="54" spans="1:9" ht="15.75" customHeight="1" thickBot="1">
      <c r="A54" s="359" t="s">
        <v>164</v>
      </c>
      <c r="B54" s="359"/>
      <c r="C54" s="364" t="s">
        <v>15</v>
      </c>
      <c r="D54" s="367">
        <f>D52+D53</f>
        <v>135221655.56164283</v>
      </c>
      <c r="E54" s="359"/>
      <c r="F54" s="367">
        <f>F52+F53</f>
        <v>230529779</v>
      </c>
      <c r="G54" s="358"/>
      <c r="H54" s="358"/>
      <c r="I54" s="359"/>
    </row>
    <row r="55" spans="1:9" ht="15.75" customHeight="1" thickTop="1">
      <c r="A55" s="359"/>
      <c r="B55" s="359"/>
      <c r="C55" s="359"/>
      <c r="D55" s="361"/>
      <c r="E55" s="359"/>
      <c r="F55" s="361"/>
      <c r="G55" s="358"/>
      <c r="H55" s="358"/>
      <c r="I55" s="359"/>
    </row>
    <row r="56" spans="1:9" ht="15.75" customHeight="1">
      <c r="A56" s="359" t="s">
        <v>144</v>
      </c>
      <c r="B56" s="364" t="s">
        <v>1128</v>
      </c>
      <c r="C56" s="365" t="s">
        <v>241</v>
      </c>
      <c r="D56" s="361">
        <f>F56</f>
        <v>0</v>
      </c>
      <c r="E56" s="359"/>
      <c r="F56" s="361">
        <f>'Alloc. Factors'!F19</f>
        <v>0</v>
      </c>
      <c r="G56" s="358"/>
      <c r="H56" s="358"/>
      <c r="I56" s="359"/>
    </row>
    <row r="57" spans="1:9" ht="15.75" customHeight="1">
      <c r="A57" s="359" t="s">
        <v>144</v>
      </c>
      <c r="B57" s="364" t="s">
        <v>1129</v>
      </c>
      <c r="C57" s="365" t="s">
        <v>1130</v>
      </c>
      <c r="D57" s="366">
        <f>$I$9*F57</f>
        <v>5464442.9537198208</v>
      </c>
      <c r="E57" s="359"/>
      <c r="F57" s="366">
        <f>'Alloc. Factors'!E19</f>
        <v>9326627</v>
      </c>
      <c r="G57" s="358"/>
      <c r="H57" s="358"/>
      <c r="I57" s="359"/>
    </row>
    <row r="58" spans="1:9" ht="15.75" customHeight="1" thickBot="1">
      <c r="A58" s="359" t="s">
        <v>144</v>
      </c>
      <c r="B58" s="359"/>
      <c r="C58" s="364" t="s">
        <v>15</v>
      </c>
      <c r="D58" s="367">
        <f>D56+D57</f>
        <v>5464442.9537198208</v>
      </c>
      <c r="E58" s="359"/>
      <c r="F58" s="367">
        <f>F56+F57</f>
        <v>9326627</v>
      </c>
      <c r="G58" s="358"/>
      <c r="H58" s="358"/>
      <c r="I58" s="359"/>
    </row>
    <row r="59" spans="1:9" ht="15.75" customHeight="1" thickTop="1">
      <c r="A59" s="359"/>
      <c r="B59" s="359"/>
      <c r="C59" s="359"/>
      <c r="D59" s="361"/>
      <c r="E59" s="359"/>
      <c r="F59" s="361"/>
      <c r="G59" s="358"/>
      <c r="H59" s="358"/>
      <c r="I59" s="359"/>
    </row>
    <row r="60" spans="1:9" ht="15.75" customHeight="1">
      <c r="A60" s="359" t="s">
        <v>1163</v>
      </c>
      <c r="B60" s="364" t="s">
        <v>1128</v>
      </c>
      <c r="C60" s="365" t="s">
        <v>241</v>
      </c>
      <c r="D60" s="361">
        <f>F60</f>
        <v>0</v>
      </c>
      <c r="E60" s="359"/>
      <c r="F60" s="361">
        <f>'Alloc. Factors'!F21</f>
        <v>0</v>
      </c>
      <c r="G60" s="358"/>
      <c r="H60" s="358"/>
      <c r="I60" s="359"/>
    </row>
    <row r="61" spans="1:9" ht="15.75" customHeight="1">
      <c r="A61" s="359" t="s">
        <v>1163</v>
      </c>
      <c r="B61" s="364" t="s">
        <v>1129</v>
      </c>
      <c r="C61" s="365" t="s">
        <v>1130</v>
      </c>
      <c r="D61" s="366">
        <f>$I$9*F61</f>
        <v>687712.44490515057</v>
      </c>
      <c r="E61" s="359"/>
      <c r="F61" s="366">
        <f>'Alloc. Factors'!E21</f>
        <v>1173777</v>
      </c>
      <c r="G61" s="358"/>
      <c r="H61" s="358"/>
      <c r="I61" s="359"/>
    </row>
    <row r="62" spans="1:9" ht="15.75" customHeight="1" thickBot="1">
      <c r="A62" s="359" t="s">
        <v>1163</v>
      </c>
      <c r="B62" s="359"/>
      <c r="C62" s="364" t="s">
        <v>15</v>
      </c>
      <c r="D62" s="367">
        <f>D60+D61</f>
        <v>687712.44490515057</v>
      </c>
      <c r="E62" s="359"/>
      <c r="F62" s="367">
        <f>F60+F61</f>
        <v>1173777</v>
      </c>
      <c r="G62" s="358"/>
      <c r="H62" s="358"/>
      <c r="I62" s="359"/>
    </row>
    <row r="63" spans="1:9" ht="15.75" customHeight="1" thickTop="1">
      <c r="A63" s="359"/>
      <c r="B63" s="359"/>
      <c r="C63" s="359"/>
      <c r="D63" s="361"/>
      <c r="E63" s="359"/>
      <c r="F63" s="361"/>
      <c r="G63" s="358"/>
      <c r="H63" s="358"/>
      <c r="I63" s="359"/>
    </row>
    <row r="64" spans="1:9" ht="15.75" customHeight="1">
      <c r="A64" s="359" t="s">
        <v>4</v>
      </c>
      <c r="B64" s="364" t="s">
        <v>1128</v>
      </c>
      <c r="C64" s="365" t="s">
        <v>241</v>
      </c>
      <c r="D64" s="361">
        <f>F64</f>
        <v>0</v>
      </c>
      <c r="E64" s="359"/>
      <c r="F64" s="361">
        <f>'Alloc. Factors'!F20</f>
        <v>0</v>
      </c>
      <c r="G64" s="358"/>
      <c r="H64" s="358"/>
      <c r="I64" s="359"/>
    </row>
    <row r="65" spans="1:10" ht="15.75" customHeight="1">
      <c r="A65" s="359" t="s">
        <v>4</v>
      </c>
      <c r="B65" s="364" t="s">
        <v>1129</v>
      </c>
      <c r="C65" s="365" t="s">
        <v>1130</v>
      </c>
      <c r="D65" s="366">
        <f>$I$9*F65</f>
        <v>1774615.2773473854</v>
      </c>
      <c r="E65" s="359"/>
      <c r="F65" s="366">
        <f>'Alloc. Factors'!E20</f>
        <v>3028886</v>
      </c>
      <c r="G65" s="358"/>
      <c r="H65" s="358"/>
      <c r="I65" s="359"/>
    </row>
    <row r="66" spans="1:10" ht="15.75" customHeight="1" thickBot="1">
      <c r="A66" s="359" t="s">
        <v>4</v>
      </c>
      <c r="B66" s="359"/>
      <c r="C66" s="364" t="s">
        <v>15</v>
      </c>
      <c r="D66" s="367">
        <f>D64+D65</f>
        <v>1774615.2773473854</v>
      </c>
      <c r="E66" s="359"/>
      <c r="F66" s="367">
        <f>F64+F65</f>
        <v>3028886</v>
      </c>
      <c r="G66" s="358"/>
      <c r="H66" s="358"/>
      <c r="I66" s="359"/>
    </row>
    <row r="67" spans="1:10" ht="15.75" customHeight="1" thickTop="1">
      <c r="A67" s="359"/>
      <c r="B67" s="359"/>
      <c r="C67" s="359"/>
      <c r="D67" s="361"/>
      <c r="E67" s="359"/>
      <c r="F67" s="361"/>
      <c r="G67" s="358"/>
      <c r="H67" s="358"/>
      <c r="I67" s="359"/>
    </row>
    <row r="68" spans="1:10" ht="15.75" customHeight="1">
      <c r="A68" s="359" t="s">
        <v>165</v>
      </c>
      <c r="B68" s="364" t="s">
        <v>1128</v>
      </c>
      <c r="C68" s="365" t="s">
        <v>241</v>
      </c>
      <c r="D68" s="361">
        <f>F68</f>
        <v>0</v>
      </c>
      <c r="E68" s="359"/>
      <c r="F68" s="361">
        <f>'Alloc. Factors'!F22</f>
        <v>0</v>
      </c>
      <c r="G68" s="358"/>
      <c r="H68" s="358"/>
      <c r="I68" s="359"/>
    </row>
    <row r="69" spans="1:10" ht="15.75" customHeight="1">
      <c r="A69" s="359" t="s">
        <v>165</v>
      </c>
      <c r="B69" s="364" t="s">
        <v>1129</v>
      </c>
      <c r="C69" s="365" t="s">
        <v>1130</v>
      </c>
      <c r="D69" s="366">
        <f>$I$9*F69</f>
        <v>6821683.357761086</v>
      </c>
      <c r="E69" s="359"/>
      <c r="F69" s="366">
        <f>'Alloc. Factors'!E22</f>
        <v>11643144</v>
      </c>
      <c r="G69" s="358"/>
      <c r="H69" s="358"/>
      <c r="I69" s="359"/>
    </row>
    <row r="70" spans="1:10" ht="15.75" customHeight="1" thickBot="1">
      <c r="A70" s="359" t="s">
        <v>165</v>
      </c>
      <c r="B70" s="359"/>
      <c r="C70" s="364" t="s">
        <v>15</v>
      </c>
      <c r="D70" s="367">
        <f>D68+D69</f>
        <v>6821683.357761086</v>
      </c>
      <c r="E70" s="359"/>
      <c r="F70" s="367">
        <f>F68+F69</f>
        <v>11643144</v>
      </c>
      <c r="G70" s="358"/>
      <c r="H70" s="358"/>
      <c r="I70" s="359"/>
    </row>
    <row r="71" spans="1:10" ht="15.75" customHeight="1" thickTop="1">
      <c r="A71" s="359"/>
      <c r="B71" s="359"/>
      <c r="C71" s="359"/>
      <c r="D71" s="361"/>
      <c r="E71" s="359"/>
      <c r="F71" s="361"/>
      <c r="G71" s="358"/>
      <c r="H71" s="358"/>
      <c r="I71" s="359"/>
    </row>
    <row r="72" spans="1:10" ht="15.75" customHeight="1">
      <c r="A72" s="359" t="s">
        <v>5</v>
      </c>
      <c r="B72" s="364" t="s">
        <v>1128</v>
      </c>
      <c r="C72" s="365" t="s">
        <v>241</v>
      </c>
      <c r="D72" s="361">
        <f>F72</f>
        <v>8715</v>
      </c>
      <c r="E72" s="359"/>
      <c r="F72" s="361">
        <f>'Alloc. Factors'!F23</f>
        <v>8715</v>
      </c>
      <c r="G72" s="358"/>
      <c r="H72" s="358"/>
      <c r="I72" s="359"/>
    </row>
    <row r="73" spans="1:10" ht="15.75" customHeight="1">
      <c r="A73" s="359" t="s">
        <v>5</v>
      </c>
      <c r="B73" s="364" t="s">
        <v>1129</v>
      </c>
      <c r="C73" s="365" t="s">
        <v>1130</v>
      </c>
      <c r="D73" s="366">
        <f>$I$9*F73</f>
        <v>2005725.8717511827</v>
      </c>
      <c r="E73" s="359"/>
      <c r="F73" s="366">
        <f>'Alloc. Factors'!E23</f>
        <v>3423342</v>
      </c>
      <c r="G73" s="358"/>
      <c r="H73" s="358"/>
      <c r="I73" s="359"/>
    </row>
    <row r="74" spans="1:10" ht="15.75" customHeight="1" thickBot="1">
      <c r="A74" s="359" t="s">
        <v>5</v>
      </c>
      <c r="B74" s="359"/>
      <c r="C74" s="364" t="s">
        <v>15</v>
      </c>
      <c r="D74" s="367">
        <f>D72+D73</f>
        <v>2014440.8717511827</v>
      </c>
      <c r="E74" s="359"/>
      <c r="F74" s="367">
        <f>F72+F73</f>
        <v>3432057</v>
      </c>
      <c r="G74" s="358"/>
      <c r="H74" s="358"/>
      <c r="I74" s="359"/>
    </row>
    <row r="75" spans="1:10" ht="15.75" customHeight="1" thickTop="1">
      <c r="A75" s="359"/>
      <c r="B75" s="359"/>
      <c r="C75" s="359"/>
      <c r="D75" s="361"/>
      <c r="E75" s="359"/>
      <c r="F75" s="361"/>
      <c r="G75" s="358"/>
      <c r="H75" s="358"/>
      <c r="I75" s="359"/>
    </row>
    <row r="76" spans="1:10" ht="15.75" customHeight="1">
      <c r="A76" s="359" t="s">
        <v>166</v>
      </c>
      <c r="B76" s="364" t="s">
        <v>1128</v>
      </c>
      <c r="C76" s="365" t="s">
        <v>241</v>
      </c>
      <c r="D76" s="361">
        <f>F76</f>
        <v>145716</v>
      </c>
      <c r="E76" s="359"/>
      <c r="F76" s="361">
        <f>'Alloc. Factors'!F24</f>
        <v>145716</v>
      </c>
      <c r="G76" s="358"/>
      <c r="H76" s="358"/>
      <c r="I76" s="359"/>
    </row>
    <row r="77" spans="1:10" ht="15.75" customHeight="1">
      <c r="A77" s="359" t="s">
        <v>166</v>
      </c>
      <c r="B77" s="364" t="s">
        <v>1129</v>
      </c>
      <c r="C77" s="365" t="s">
        <v>1130</v>
      </c>
      <c r="D77" s="366">
        <f>$I$9*F77</f>
        <v>209025274.24838793</v>
      </c>
      <c r="E77" s="359"/>
      <c r="F77" s="366">
        <f>'Alloc. Factors'!E24</f>
        <v>356761116</v>
      </c>
      <c r="G77" s="358"/>
      <c r="H77" s="358"/>
      <c r="I77" s="366">
        <v>70461061.700714752</v>
      </c>
      <c r="J77" s="123">
        <f>D77-I77</f>
        <v>138564212.54767317</v>
      </c>
    </row>
    <row r="78" spans="1:10" ht="15.75" customHeight="1" thickBot="1">
      <c r="A78" s="359" t="s">
        <v>166</v>
      </c>
      <c r="B78" s="359"/>
      <c r="C78" s="364" t="s">
        <v>15</v>
      </c>
      <c r="D78" s="367">
        <f>D76+D77</f>
        <v>209170990.24838793</v>
      </c>
      <c r="E78" s="359"/>
      <c r="F78" s="367">
        <f>F76+F77</f>
        <v>356906832</v>
      </c>
      <c r="G78" s="358"/>
      <c r="H78" s="358"/>
      <c r="I78" s="359"/>
    </row>
    <row r="79" spans="1:10" ht="15.75" customHeight="1" thickTop="1">
      <c r="A79" s="358"/>
      <c r="B79" s="359"/>
      <c r="C79" s="359"/>
      <c r="D79" s="361"/>
      <c r="E79" s="359"/>
      <c r="F79" s="361"/>
      <c r="G79" s="358"/>
      <c r="H79" s="358"/>
      <c r="I79" s="359"/>
    </row>
    <row r="80" spans="1:10" ht="15.75" customHeight="1">
      <c r="A80" s="359" t="s">
        <v>207</v>
      </c>
      <c r="B80" s="364" t="s">
        <v>1128</v>
      </c>
      <c r="C80" s="365" t="s">
        <v>241</v>
      </c>
      <c r="D80" s="361">
        <f>F80</f>
        <v>0</v>
      </c>
      <c r="E80" s="359"/>
      <c r="F80" s="361">
        <f>'Alloc. Factors'!F25</f>
        <v>0</v>
      </c>
      <c r="G80" s="358"/>
      <c r="H80" s="358"/>
      <c r="I80" s="359"/>
    </row>
    <row r="81" spans="1:9" ht="15.75" customHeight="1">
      <c r="A81" s="359" t="s">
        <v>207</v>
      </c>
      <c r="B81" s="364" t="s">
        <v>1129</v>
      </c>
      <c r="C81" s="365" t="s">
        <v>1130</v>
      </c>
      <c r="D81" s="366">
        <f>$I$9*F81</f>
        <v>133660.68687341124</v>
      </c>
      <c r="E81" s="359"/>
      <c r="F81" s="366">
        <f>'Alloc. Factors'!E25</f>
        <v>228130</v>
      </c>
      <c r="G81" s="358"/>
      <c r="H81" s="358"/>
      <c r="I81" s="359"/>
    </row>
    <row r="82" spans="1:9" ht="15.75" customHeight="1" thickBot="1">
      <c r="A82" s="359" t="s">
        <v>207</v>
      </c>
      <c r="B82" s="359"/>
      <c r="C82" s="364" t="s">
        <v>15</v>
      </c>
      <c r="D82" s="367">
        <f>D80+D81</f>
        <v>133660.68687341124</v>
      </c>
      <c r="E82" s="359"/>
      <c r="F82" s="367">
        <f>F80+F81</f>
        <v>228130</v>
      </c>
      <c r="G82" s="358"/>
      <c r="H82" s="358"/>
      <c r="I82" s="359"/>
    </row>
    <row r="83" spans="1:9" ht="15.75" customHeight="1" thickTop="1">
      <c r="A83" s="359"/>
      <c r="B83" s="359"/>
      <c r="C83" s="359"/>
      <c r="D83" s="361"/>
      <c r="E83" s="359"/>
      <c r="F83" s="361"/>
      <c r="G83" s="358"/>
      <c r="H83" s="358"/>
      <c r="I83" s="359"/>
    </row>
    <row r="84" spans="1:9" ht="15.75" customHeight="1">
      <c r="A84" s="359" t="s">
        <v>1131</v>
      </c>
      <c r="B84" s="364" t="s">
        <v>1128</v>
      </c>
      <c r="C84" s="365" t="s">
        <v>241</v>
      </c>
      <c r="D84" s="361">
        <f>F84</f>
        <v>0</v>
      </c>
      <c r="E84" s="359"/>
      <c r="F84" s="361">
        <f>'Alloc. Factors'!F26</f>
        <v>0</v>
      </c>
      <c r="G84" s="358"/>
      <c r="H84" s="358"/>
      <c r="I84" s="359"/>
    </row>
    <row r="85" spans="1:9" ht="15.75" customHeight="1">
      <c r="A85" s="359" t="s">
        <v>1131</v>
      </c>
      <c r="B85" s="364" t="s">
        <v>1129</v>
      </c>
      <c r="C85" s="365" t="s">
        <v>1130</v>
      </c>
      <c r="D85" s="366">
        <f>$I$9*F85</f>
        <v>75963.892061040897</v>
      </c>
      <c r="E85" s="359"/>
      <c r="F85" s="366">
        <f>'Alloc. Factors'!E26</f>
        <v>129654</v>
      </c>
      <c r="G85" s="358"/>
      <c r="H85" s="358"/>
      <c r="I85" s="359"/>
    </row>
    <row r="86" spans="1:9" ht="15.75" customHeight="1" thickBot="1">
      <c r="A86" s="359" t="s">
        <v>1131</v>
      </c>
      <c r="B86" s="359"/>
      <c r="C86" s="364" t="s">
        <v>15</v>
      </c>
      <c r="D86" s="367">
        <f>D84+D85</f>
        <v>75963.892061040897</v>
      </c>
      <c r="E86" s="359"/>
      <c r="F86" s="367">
        <f>F84+F85</f>
        <v>129654</v>
      </c>
      <c r="G86" s="358"/>
      <c r="H86" s="358"/>
      <c r="I86" s="359"/>
    </row>
    <row r="87" spans="1:9" ht="15.75" customHeight="1" thickTop="1">
      <c r="A87" s="359"/>
      <c r="B87" s="359"/>
      <c r="C87" s="359"/>
      <c r="D87" s="361"/>
      <c r="E87" s="359"/>
      <c r="F87" s="361"/>
      <c r="G87" s="358"/>
      <c r="H87" s="358"/>
      <c r="I87" s="359"/>
    </row>
    <row r="88" spans="1:9" ht="15.75" customHeight="1">
      <c r="A88" s="359" t="s">
        <v>145</v>
      </c>
      <c r="B88" s="364" t="s">
        <v>1128</v>
      </c>
      <c r="C88" s="365" t="s">
        <v>241</v>
      </c>
      <c r="D88" s="361">
        <f>F88</f>
        <v>60475</v>
      </c>
      <c r="E88" s="359"/>
      <c r="F88" s="361">
        <f>'Alloc. Factors'!F27</f>
        <v>60475</v>
      </c>
      <c r="G88" s="358"/>
      <c r="H88" s="358"/>
      <c r="I88" s="359"/>
    </row>
    <row r="89" spans="1:9" ht="15.75" customHeight="1">
      <c r="A89" s="359" t="s">
        <v>145</v>
      </c>
      <c r="B89" s="364" t="s">
        <v>1129</v>
      </c>
      <c r="C89" s="365" t="s">
        <v>1130</v>
      </c>
      <c r="D89" s="366">
        <f>$I$9*F89</f>
        <v>24613017.579831105</v>
      </c>
      <c r="E89" s="359"/>
      <c r="F89" s="366">
        <f>'Alloc. Factors'!E27</f>
        <v>42009119</v>
      </c>
      <c r="G89" s="358"/>
      <c r="H89" s="358"/>
      <c r="I89" s="359"/>
    </row>
    <row r="90" spans="1:9" ht="15.75" customHeight="1" thickBot="1">
      <c r="A90" s="359" t="s">
        <v>145</v>
      </c>
      <c r="B90" s="359"/>
      <c r="C90" s="364" t="s">
        <v>15</v>
      </c>
      <c r="D90" s="367">
        <f>D88+D89</f>
        <v>24673492.579831105</v>
      </c>
      <c r="E90" s="359"/>
      <c r="F90" s="367">
        <f>F88+F89</f>
        <v>42069594</v>
      </c>
      <c r="G90" s="358"/>
      <c r="H90" s="358"/>
      <c r="I90" s="359"/>
    </row>
    <row r="91" spans="1:9" ht="15.75" customHeight="1" thickTop="1">
      <c r="A91" s="359"/>
      <c r="B91" s="359"/>
      <c r="C91" s="359"/>
      <c r="D91" s="361"/>
      <c r="E91" s="359"/>
      <c r="F91" s="361"/>
      <c r="G91" s="358"/>
      <c r="H91" s="358"/>
      <c r="I91" s="359"/>
    </row>
    <row r="92" spans="1:9" ht="15.75" customHeight="1">
      <c r="A92" s="359" t="s">
        <v>9</v>
      </c>
      <c r="B92" s="364" t="s">
        <v>1128</v>
      </c>
      <c r="C92" s="365" t="s">
        <v>241</v>
      </c>
      <c r="D92" s="361">
        <f>F92</f>
        <v>492019</v>
      </c>
      <c r="E92" s="359"/>
      <c r="F92" s="361">
        <f>'Alloc. Factors'!F28</f>
        <v>492019</v>
      </c>
      <c r="G92" s="358"/>
      <c r="H92" s="358"/>
      <c r="I92" s="359"/>
    </row>
    <row r="93" spans="1:9" ht="15.75" customHeight="1">
      <c r="A93" s="359" t="s">
        <v>9</v>
      </c>
      <c r="B93" s="364" t="s">
        <v>1129</v>
      </c>
      <c r="C93" s="365" t="s">
        <v>1130</v>
      </c>
      <c r="D93" s="366">
        <f>$I$9*F93</f>
        <v>57563524.918808386</v>
      </c>
      <c r="E93" s="359"/>
      <c r="F93" s="366">
        <f>'Alloc. Factors'!E28</f>
        <v>98248537</v>
      </c>
      <c r="G93" s="358"/>
      <c r="H93" s="358"/>
      <c r="I93" s="359"/>
    </row>
    <row r="94" spans="1:9" ht="15.75" customHeight="1" thickBot="1">
      <c r="A94" s="359" t="s">
        <v>9</v>
      </c>
      <c r="B94" s="359"/>
      <c r="C94" s="364" t="s">
        <v>15</v>
      </c>
      <c r="D94" s="367">
        <f>D92+D93</f>
        <v>58055543.918808386</v>
      </c>
      <c r="E94" s="359"/>
      <c r="F94" s="367">
        <f>F92+F93</f>
        <v>98740556</v>
      </c>
      <c r="G94" s="358"/>
      <c r="H94" s="358"/>
      <c r="I94" s="359"/>
    </row>
    <row r="95" spans="1:9" ht="15.75" customHeight="1" thickTop="1">
      <c r="A95" s="359"/>
      <c r="B95" s="359"/>
      <c r="C95" s="359"/>
      <c r="D95" s="361"/>
      <c r="E95" s="359"/>
      <c r="F95" s="361"/>
      <c r="G95" s="358"/>
      <c r="H95" s="358"/>
      <c r="I95" s="359"/>
    </row>
    <row r="96" spans="1:9" ht="15.75" customHeight="1">
      <c r="A96" s="359" t="s">
        <v>146</v>
      </c>
      <c r="B96" s="364" t="s">
        <v>1128</v>
      </c>
      <c r="C96" s="365" t="s">
        <v>241</v>
      </c>
      <c r="D96" s="361">
        <f>F96</f>
        <v>0</v>
      </c>
      <c r="E96" s="359"/>
      <c r="F96" s="361">
        <f>'Alloc. Factors'!F29</f>
        <v>0</v>
      </c>
      <c r="G96" s="358"/>
      <c r="H96" s="358"/>
      <c r="I96" s="359"/>
    </row>
    <row r="97" spans="1:9" ht="15.75" customHeight="1">
      <c r="A97" s="359" t="s">
        <v>146</v>
      </c>
      <c r="B97" s="364" t="s">
        <v>1129</v>
      </c>
      <c r="C97" s="365" t="s">
        <v>1130</v>
      </c>
      <c r="D97" s="366">
        <f>$I$9*F97</f>
        <v>184781.66063756082</v>
      </c>
      <c r="E97" s="359"/>
      <c r="F97" s="366">
        <f>'Alloc. Factors'!E29</f>
        <v>315382.49000000005</v>
      </c>
      <c r="G97" s="358"/>
      <c r="H97" s="358"/>
      <c r="I97" s="359"/>
    </row>
    <row r="98" spans="1:9" ht="15.75" customHeight="1" thickBot="1">
      <c r="A98" s="359" t="s">
        <v>146</v>
      </c>
      <c r="B98" s="359"/>
      <c r="C98" s="364" t="s">
        <v>15</v>
      </c>
      <c r="D98" s="367">
        <f>D96+D97</f>
        <v>184781.66063756082</v>
      </c>
      <c r="E98" s="359"/>
      <c r="F98" s="367">
        <f>F96+F97</f>
        <v>315382.49000000005</v>
      </c>
      <c r="G98" s="358"/>
      <c r="H98" s="358"/>
      <c r="I98" s="359"/>
    </row>
    <row r="99" spans="1:9" ht="15.75" customHeight="1" thickTop="1">
      <c r="A99" s="359"/>
      <c r="B99" s="359"/>
      <c r="C99" s="359"/>
      <c r="D99" s="361"/>
      <c r="E99" s="359"/>
      <c r="F99" s="361"/>
      <c r="G99" s="358"/>
      <c r="H99" s="358"/>
      <c r="I99" s="359"/>
    </row>
    <row r="100" spans="1:9" ht="15.75" customHeight="1">
      <c r="A100" s="359" t="s">
        <v>147</v>
      </c>
      <c r="B100" s="364" t="s">
        <v>1128</v>
      </c>
      <c r="C100" s="365" t="s">
        <v>241</v>
      </c>
      <c r="D100" s="361">
        <f>F100</f>
        <v>0</v>
      </c>
      <c r="E100" s="359"/>
      <c r="F100" s="361">
        <f>'Alloc. Factors'!F30</f>
        <v>0</v>
      </c>
      <c r="G100" s="358"/>
      <c r="H100" s="358"/>
      <c r="I100" s="359"/>
    </row>
    <row r="101" spans="1:9" ht="15.75" customHeight="1">
      <c r="A101" s="359" t="s">
        <v>147</v>
      </c>
      <c r="B101" s="364" t="s">
        <v>1129</v>
      </c>
      <c r="C101" s="365" t="s">
        <v>1130</v>
      </c>
      <c r="D101" s="366">
        <f>$I$9*F101</f>
        <v>359726.12204928178</v>
      </c>
      <c r="E101" s="359"/>
      <c r="F101" s="366">
        <f>'Alloc. Factors'!E30</f>
        <v>613975</v>
      </c>
      <c r="G101" s="358"/>
      <c r="H101" s="358"/>
      <c r="I101" s="359"/>
    </row>
    <row r="102" spans="1:9" ht="15.75" customHeight="1" thickBot="1">
      <c r="A102" s="359" t="s">
        <v>147</v>
      </c>
      <c r="B102" s="359"/>
      <c r="C102" s="364" t="s">
        <v>15</v>
      </c>
      <c r="D102" s="367">
        <f>D100+D101</f>
        <v>359726.12204928178</v>
      </c>
      <c r="E102" s="359"/>
      <c r="F102" s="367">
        <f>F100+F101</f>
        <v>613975</v>
      </c>
      <c r="G102" s="358"/>
      <c r="H102" s="358"/>
      <c r="I102" s="359"/>
    </row>
    <row r="103" spans="1:9" ht="15.75" customHeight="1" thickTop="1">
      <c r="A103" s="359"/>
      <c r="B103" s="359"/>
      <c r="C103" s="359"/>
      <c r="D103" s="361"/>
      <c r="E103" s="359"/>
      <c r="F103" s="361"/>
      <c r="G103" s="358"/>
      <c r="H103" s="358"/>
      <c r="I103" s="359"/>
    </row>
    <row r="104" spans="1:9" ht="15.75" customHeight="1">
      <c r="A104" s="359" t="s">
        <v>148</v>
      </c>
      <c r="B104" s="364" t="s">
        <v>1128</v>
      </c>
      <c r="C104" s="365" t="s">
        <v>241</v>
      </c>
      <c r="D104" s="361">
        <f>F104</f>
        <v>0</v>
      </c>
      <c r="E104" s="359"/>
      <c r="F104" s="361">
        <f>'Alloc. Factors'!F31</f>
        <v>0</v>
      </c>
      <c r="G104" s="358"/>
      <c r="H104" s="358"/>
      <c r="I104" s="359"/>
    </row>
    <row r="105" spans="1:9" ht="15.75" customHeight="1">
      <c r="A105" s="359" t="s">
        <v>148</v>
      </c>
      <c r="B105" s="364" t="s">
        <v>1129</v>
      </c>
      <c r="C105" s="365" t="s">
        <v>1130</v>
      </c>
      <c r="D105" s="366">
        <f>$I$9*F105</f>
        <v>90724.981549879376</v>
      </c>
      <c r="E105" s="359"/>
      <c r="F105" s="366">
        <f>'Alloc. Factors'!E31</f>
        <v>154848</v>
      </c>
      <c r="G105" s="358"/>
      <c r="H105" s="358"/>
      <c r="I105" s="359"/>
    </row>
    <row r="106" spans="1:9" ht="15.75" customHeight="1" thickBot="1">
      <c r="A106" s="359" t="s">
        <v>148</v>
      </c>
      <c r="B106" s="359"/>
      <c r="C106" s="364" t="s">
        <v>15</v>
      </c>
      <c r="D106" s="367">
        <f>D104+D105</f>
        <v>90724.981549879376</v>
      </c>
      <c r="E106" s="359"/>
      <c r="F106" s="367">
        <f>F104+F105</f>
        <v>154848</v>
      </c>
      <c r="G106" s="358"/>
      <c r="H106" s="358"/>
      <c r="I106" s="359"/>
    </row>
    <row r="107" spans="1:9" ht="15.75" customHeight="1" thickTop="1">
      <c r="A107" s="359"/>
      <c r="B107" s="359"/>
      <c r="C107" s="359"/>
      <c r="D107" s="361"/>
      <c r="E107" s="359"/>
      <c r="F107" s="361"/>
      <c r="G107" s="358"/>
      <c r="H107" s="358"/>
      <c r="I107" s="359"/>
    </row>
    <row r="108" spans="1:9" ht="15.75" customHeight="1">
      <c r="A108" s="359" t="s">
        <v>167</v>
      </c>
      <c r="B108" s="364" t="s">
        <v>1128</v>
      </c>
      <c r="C108" s="365" t="s">
        <v>241</v>
      </c>
      <c r="D108" s="361">
        <f>F108</f>
        <v>0</v>
      </c>
      <c r="E108" s="359"/>
      <c r="F108" s="361">
        <f>'Alloc. Factors'!F32</f>
        <v>0</v>
      </c>
      <c r="G108" s="358"/>
      <c r="H108" s="358"/>
      <c r="I108" s="359"/>
    </row>
    <row r="109" spans="1:9" ht="15.75" customHeight="1">
      <c r="A109" s="359" t="s">
        <v>167</v>
      </c>
      <c r="B109" s="364" t="s">
        <v>1129</v>
      </c>
      <c r="C109" s="365" t="s">
        <v>1130</v>
      </c>
      <c r="D109" s="366">
        <f>$I$9*F109</f>
        <v>54642531.816754676</v>
      </c>
      <c r="E109" s="359"/>
      <c r="F109" s="366">
        <f>'Alloc. Factors'!E32</f>
        <v>93263031</v>
      </c>
      <c r="G109" s="358"/>
      <c r="H109" s="358"/>
      <c r="I109" s="359"/>
    </row>
    <row r="110" spans="1:9" ht="15.75" customHeight="1" thickBot="1">
      <c r="A110" s="359" t="s">
        <v>167</v>
      </c>
      <c r="B110" s="359"/>
      <c r="C110" s="364" t="s">
        <v>15</v>
      </c>
      <c r="D110" s="367">
        <f>D108+D109</f>
        <v>54642531.816754676</v>
      </c>
      <c r="E110" s="359"/>
      <c r="F110" s="367">
        <f>F108+F109</f>
        <v>93263031</v>
      </c>
      <c r="G110" s="358"/>
      <c r="H110" s="358"/>
      <c r="I110" s="359"/>
    </row>
    <row r="111" spans="1:9" ht="15.75" customHeight="1" thickTop="1">
      <c r="A111" s="359"/>
      <c r="B111" s="359"/>
      <c r="C111" s="359"/>
      <c r="D111" s="361"/>
      <c r="E111" s="359"/>
      <c r="F111" s="361"/>
      <c r="G111" s="358"/>
      <c r="H111" s="358"/>
      <c r="I111" s="359"/>
    </row>
    <row r="112" spans="1:9" ht="15.75" customHeight="1">
      <c r="A112" s="359" t="s">
        <v>168</v>
      </c>
      <c r="B112" s="364" t="s">
        <v>1128</v>
      </c>
      <c r="C112" s="365" t="s">
        <v>241</v>
      </c>
      <c r="D112" s="361">
        <f>F112</f>
        <v>320990</v>
      </c>
      <c r="E112" s="359"/>
      <c r="F112" s="361">
        <f>'Alloc. Factors'!F33</f>
        <v>320990</v>
      </c>
      <c r="G112" s="358"/>
      <c r="H112" s="358"/>
      <c r="I112" s="359"/>
    </row>
    <row r="113" spans="1:9" ht="15.75" customHeight="1">
      <c r="A113" s="359" t="s">
        <v>168</v>
      </c>
      <c r="B113" s="364" t="s">
        <v>1129</v>
      </c>
      <c r="C113" s="365" t="s">
        <v>1130</v>
      </c>
      <c r="D113" s="366">
        <f>$I$9*F113</f>
        <v>39442986.879877664</v>
      </c>
      <c r="E113" s="359"/>
      <c r="F113" s="366">
        <f>'Alloc. Factors'!E33</f>
        <v>67320682</v>
      </c>
      <c r="G113" s="358"/>
      <c r="H113" s="358"/>
      <c r="I113" s="359"/>
    </row>
    <row r="114" spans="1:9" ht="15.75" customHeight="1" thickBot="1">
      <c r="A114" s="359" t="s">
        <v>168</v>
      </c>
      <c r="B114" s="359"/>
      <c r="C114" s="364" t="s">
        <v>15</v>
      </c>
      <c r="D114" s="367">
        <f>D112+D113</f>
        <v>39763976.879877664</v>
      </c>
      <c r="E114" s="359"/>
      <c r="F114" s="367">
        <f>F112+F113</f>
        <v>67641672</v>
      </c>
      <c r="G114" s="358"/>
      <c r="H114" s="358"/>
      <c r="I114" s="359"/>
    </row>
    <row r="115" spans="1:9" ht="15.75" customHeight="1" thickTop="1">
      <c r="A115" s="359"/>
      <c r="B115" s="359"/>
      <c r="C115" s="359"/>
      <c r="D115" s="361"/>
      <c r="E115" s="359"/>
      <c r="F115" s="361"/>
      <c r="G115" s="358"/>
      <c r="H115" s="358"/>
      <c r="I115" s="359"/>
    </row>
    <row r="116" spans="1:9" ht="15.75" customHeight="1">
      <c r="A116" s="359" t="s">
        <v>10</v>
      </c>
      <c r="B116" s="364" t="s">
        <v>1128</v>
      </c>
      <c r="C116" s="365" t="s">
        <v>241</v>
      </c>
      <c r="D116" s="361">
        <f>F116</f>
        <v>0</v>
      </c>
      <c r="E116" s="359"/>
      <c r="F116" s="361">
        <f>'Alloc. Factors'!F34</f>
        <v>0</v>
      </c>
      <c r="G116" s="358"/>
      <c r="H116" s="358"/>
      <c r="I116" s="359"/>
    </row>
    <row r="117" spans="1:9" ht="15.75" customHeight="1">
      <c r="A117" s="359" t="s">
        <v>10</v>
      </c>
      <c r="B117" s="364" t="s">
        <v>1129</v>
      </c>
      <c r="C117" s="365" t="s">
        <v>1130</v>
      </c>
      <c r="D117" s="366">
        <f>$I$9*F117</f>
        <v>5100525.3243988408</v>
      </c>
      <c r="E117" s="359"/>
      <c r="F117" s="366">
        <f>'Alloc. Factors'!E34</f>
        <v>8705498</v>
      </c>
      <c r="G117" s="358"/>
      <c r="H117" s="358"/>
      <c r="I117" s="359"/>
    </row>
    <row r="118" spans="1:9" ht="15.75" customHeight="1" thickBot="1">
      <c r="A118" s="359" t="s">
        <v>10</v>
      </c>
      <c r="B118" s="359"/>
      <c r="C118" s="364" t="s">
        <v>15</v>
      </c>
      <c r="D118" s="367">
        <f>D116+D117</f>
        <v>5100525.3243988408</v>
      </c>
      <c r="E118" s="359"/>
      <c r="F118" s="367">
        <f>F116+F117</f>
        <v>8705498</v>
      </c>
      <c r="G118" s="358"/>
      <c r="H118" s="358"/>
      <c r="I118" s="359"/>
    </row>
    <row r="119" spans="1:9" ht="15.75" customHeight="1" thickTop="1">
      <c r="A119" s="359"/>
      <c r="B119" s="359"/>
      <c r="C119" s="359"/>
      <c r="D119" s="361"/>
      <c r="E119" s="359"/>
      <c r="F119" s="361"/>
      <c r="G119" s="358"/>
      <c r="H119" s="358"/>
      <c r="I119" s="359"/>
    </row>
    <row r="120" spans="1:9" ht="15.75" customHeight="1">
      <c r="A120" s="359" t="s">
        <v>11</v>
      </c>
      <c r="B120" s="364" t="s">
        <v>1128</v>
      </c>
      <c r="C120" s="365" t="s">
        <v>241</v>
      </c>
      <c r="D120" s="361">
        <f>F120</f>
        <v>0</v>
      </c>
      <c r="E120" s="359"/>
      <c r="F120" s="361">
        <f>'Alloc. Factors'!F35</f>
        <v>0</v>
      </c>
      <c r="G120" s="358"/>
      <c r="H120" s="358"/>
      <c r="I120" s="359"/>
    </row>
    <row r="121" spans="1:9" ht="15.75" customHeight="1">
      <c r="A121" s="359" t="s">
        <v>11</v>
      </c>
      <c r="B121" s="364" t="s">
        <v>1129</v>
      </c>
      <c r="C121" s="365" t="s">
        <v>1130</v>
      </c>
      <c r="D121" s="366">
        <f>$I$9*F121</f>
        <v>23104773.351266228</v>
      </c>
      <c r="E121" s="359"/>
      <c r="F121" s="366">
        <f>'Alloc. Factors'!E35</f>
        <v>39434871</v>
      </c>
      <c r="G121" s="358"/>
      <c r="H121" s="358"/>
      <c r="I121" s="359"/>
    </row>
    <row r="122" spans="1:9" ht="15.75" customHeight="1" thickBot="1">
      <c r="A122" s="359" t="s">
        <v>11</v>
      </c>
      <c r="B122" s="359"/>
      <c r="C122" s="364" t="s">
        <v>15</v>
      </c>
      <c r="D122" s="367">
        <f>D120+D121</f>
        <v>23104773.351266228</v>
      </c>
      <c r="E122" s="359"/>
      <c r="F122" s="367">
        <f>F120+F121</f>
        <v>39434871</v>
      </c>
      <c r="G122" s="358"/>
      <c r="H122" s="358"/>
      <c r="I122" s="359"/>
    </row>
    <row r="123" spans="1:9" ht="15.75" customHeight="1" thickTop="1">
      <c r="A123" s="359"/>
      <c r="B123" s="359"/>
      <c r="C123" s="359"/>
      <c r="D123" s="361"/>
      <c r="E123" s="359"/>
      <c r="F123" s="361"/>
      <c r="G123" s="358"/>
      <c r="H123" s="358"/>
      <c r="I123" s="359"/>
    </row>
    <row r="124" spans="1:9" ht="15.75" customHeight="1">
      <c r="A124" s="359" t="s">
        <v>6</v>
      </c>
      <c r="B124" s="364" t="s">
        <v>1128</v>
      </c>
      <c r="C124" s="365" t="s">
        <v>241</v>
      </c>
      <c r="D124" s="361">
        <f>F124</f>
        <v>92234</v>
      </c>
      <c r="E124" s="359"/>
      <c r="F124" s="361">
        <f>'Alloc. Factors'!F36</f>
        <v>92234</v>
      </c>
      <c r="G124" s="358"/>
      <c r="H124" s="358"/>
      <c r="I124" s="359"/>
    </row>
    <row r="125" spans="1:9" ht="15.75" customHeight="1">
      <c r="A125" s="359" t="s">
        <v>6</v>
      </c>
      <c r="B125" s="364" t="s">
        <v>1129</v>
      </c>
      <c r="C125" s="365" t="s">
        <v>1130</v>
      </c>
      <c r="D125" s="366">
        <f>$I$9*F125</f>
        <v>123943591.26332939</v>
      </c>
      <c r="E125" s="359"/>
      <c r="F125" s="366">
        <f>'Alloc. Factors'!E36</f>
        <v>211545011</v>
      </c>
      <c r="G125" s="358"/>
      <c r="H125" s="358"/>
      <c r="I125" s="359"/>
    </row>
    <row r="126" spans="1:9" ht="15.75" customHeight="1" thickBot="1">
      <c r="A126" s="359" t="s">
        <v>6</v>
      </c>
      <c r="B126" s="359"/>
      <c r="C126" s="364" t="s">
        <v>15</v>
      </c>
      <c r="D126" s="367">
        <f>D124+D125</f>
        <v>124035825.26332939</v>
      </c>
      <c r="E126" s="359"/>
      <c r="F126" s="367">
        <f>F124+F125</f>
        <v>211637245</v>
      </c>
      <c r="G126" s="358"/>
      <c r="H126" s="358"/>
      <c r="I126" s="359"/>
    </row>
    <row r="127" spans="1:9" ht="15.75" customHeight="1" thickTop="1">
      <c r="A127" s="359"/>
      <c r="B127" s="359"/>
      <c r="C127" s="359"/>
      <c r="D127" s="361"/>
      <c r="E127" s="359"/>
      <c r="F127" s="361"/>
      <c r="G127" s="358"/>
      <c r="H127" s="358"/>
      <c r="I127" s="359"/>
    </row>
    <row r="128" spans="1:9" ht="15.75" customHeight="1">
      <c r="A128" s="359" t="s">
        <v>169</v>
      </c>
      <c r="B128" s="364" t="s">
        <v>1128</v>
      </c>
      <c r="C128" s="365" t="s">
        <v>241</v>
      </c>
      <c r="D128" s="361">
        <f>F128</f>
        <v>0</v>
      </c>
      <c r="E128" s="359"/>
      <c r="F128" s="361">
        <f>'Alloc. Factors'!F37</f>
        <v>0</v>
      </c>
      <c r="G128" s="358"/>
      <c r="H128" s="358"/>
      <c r="I128" s="359"/>
    </row>
    <row r="129" spans="1:9" ht="15.75" customHeight="1">
      <c r="A129" s="359" t="s">
        <v>169</v>
      </c>
      <c r="B129" s="364" t="s">
        <v>1129</v>
      </c>
      <c r="C129" s="365" t="s">
        <v>1130</v>
      </c>
      <c r="D129" s="366">
        <f>$I$9*F129</f>
        <v>28110933.515938081</v>
      </c>
      <c r="E129" s="359"/>
      <c r="F129" s="366">
        <f>'Alloc. Factors'!E37</f>
        <v>47979308</v>
      </c>
      <c r="G129" s="358"/>
      <c r="H129" s="358"/>
      <c r="I129" s="359"/>
    </row>
    <row r="130" spans="1:9" ht="15.75" customHeight="1" thickBot="1">
      <c r="A130" s="359" t="s">
        <v>169</v>
      </c>
      <c r="B130" s="359"/>
      <c r="C130" s="364" t="s">
        <v>15</v>
      </c>
      <c r="D130" s="367">
        <f>D128+D129</f>
        <v>28110933.515938081</v>
      </c>
      <c r="E130" s="359"/>
      <c r="F130" s="367">
        <f>F128+F129</f>
        <v>47979308</v>
      </c>
      <c r="G130" s="358"/>
      <c r="H130" s="358"/>
      <c r="I130" s="359"/>
    </row>
    <row r="131" spans="1:9" ht="15.75" customHeight="1" thickTop="1">
      <c r="A131" s="359"/>
      <c r="B131" s="359"/>
      <c r="C131" s="359"/>
      <c r="D131" s="361"/>
      <c r="E131" s="359"/>
      <c r="F131" s="361"/>
      <c r="G131" s="358"/>
      <c r="H131" s="358"/>
      <c r="I131" s="359"/>
    </row>
    <row r="132" spans="1:9" ht="15.75" customHeight="1">
      <c r="A132" s="359" t="s">
        <v>170</v>
      </c>
      <c r="B132" s="364" t="s">
        <v>1128</v>
      </c>
      <c r="C132" s="365" t="s">
        <v>241</v>
      </c>
      <c r="D132" s="361">
        <f>F132</f>
        <v>103750</v>
      </c>
      <c r="E132" s="359"/>
      <c r="F132" s="361">
        <f>'Alloc. Factors'!F38</f>
        <v>103750</v>
      </c>
      <c r="G132" s="358"/>
      <c r="H132" s="358"/>
      <c r="I132" s="359"/>
    </row>
    <row r="133" spans="1:9" ht="15.75" customHeight="1">
      <c r="A133" s="359" t="s">
        <v>170</v>
      </c>
      <c r="B133" s="364" t="s">
        <v>1129</v>
      </c>
      <c r="C133" s="365" t="s">
        <v>1130</v>
      </c>
      <c r="D133" s="366">
        <f>$I$9*F133</f>
        <v>19465840.205319192</v>
      </c>
      <c r="E133" s="359"/>
      <c r="F133" s="366">
        <f>'Alloc. Factors'!E38</f>
        <v>33223996</v>
      </c>
      <c r="G133" s="358"/>
      <c r="H133" s="358"/>
      <c r="I133" s="359"/>
    </row>
    <row r="134" spans="1:9" ht="15.75" customHeight="1" thickBot="1">
      <c r="A134" s="359" t="s">
        <v>170</v>
      </c>
      <c r="B134" s="359"/>
      <c r="C134" s="364" t="s">
        <v>15</v>
      </c>
      <c r="D134" s="367">
        <f>D132+D133</f>
        <v>19569590.205319192</v>
      </c>
      <c r="E134" s="359"/>
      <c r="F134" s="367">
        <f>F132+F133</f>
        <v>33327746</v>
      </c>
      <c r="G134" s="358"/>
      <c r="H134" s="358"/>
      <c r="I134" s="359"/>
    </row>
    <row r="135" spans="1:9" ht="15.75" customHeight="1" thickTop="1">
      <c r="A135" s="359"/>
      <c r="B135" s="359"/>
      <c r="C135" s="359"/>
      <c r="D135" s="361"/>
      <c r="E135" s="359"/>
      <c r="F135" s="361"/>
      <c r="G135" s="358"/>
      <c r="H135" s="358"/>
      <c r="I135" s="359"/>
    </row>
    <row r="136" spans="1:9" ht="15.75" customHeight="1">
      <c r="A136" s="359" t="s">
        <v>171</v>
      </c>
      <c r="B136" s="364" t="s">
        <v>1128</v>
      </c>
      <c r="C136" s="365" t="s">
        <v>241</v>
      </c>
      <c r="D136" s="361">
        <f>F136</f>
        <v>0</v>
      </c>
      <c r="E136" s="359"/>
      <c r="F136" s="361">
        <f>'Alloc. Factors'!F39</f>
        <v>0</v>
      </c>
      <c r="G136" s="358"/>
      <c r="H136" s="358"/>
      <c r="I136" s="359"/>
    </row>
    <row r="137" spans="1:9" ht="15.75" customHeight="1">
      <c r="A137" s="359" t="s">
        <v>171</v>
      </c>
      <c r="B137" s="364" t="s">
        <v>1129</v>
      </c>
      <c r="C137" s="365" t="s">
        <v>1130</v>
      </c>
      <c r="D137" s="366">
        <f>$I$9*F137</f>
        <v>26757138.186366703</v>
      </c>
      <c r="E137" s="359"/>
      <c r="F137" s="366">
        <f>'Alloc. Factors'!E39</f>
        <v>45668671</v>
      </c>
      <c r="G137" s="358"/>
      <c r="H137" s="358"/>
      <c r="I137" s="359"/>
    </row>
    <row r="138" spans="1:9" ht="15.75" customHeight="1" thickBot="1">
      <c r="A138" s="359" t="s">
        <v>171</v>
      </c>
      <c r="B138" s="359"/>
      <c r="C138" s="364" t="s">
        <v>15</v>
      </c>
      <c r="D138" s="367">
        <f>D136+D137</f>
        <v>26757138.186366703</v>
      </c>
      <c r="E138" s="359"/>
      <c r="F138" s="367">
        <f>F136+F137</f>
        <v>45668671</v>
      </c>
      <c r="G138" s="358"/>
      <c r="H138" s="358"/>
      <c r="I138" s="359"/>
    </row>
    <row r="139" spans="1:9" ht="15.75" customHeight="1" thickTop="1">
      <c r="A139" s="359"/>
      <c r="B139" s="359"/>
      <c r="C139" s="359"/>
      <c r="D139" s="361"/>
      <c r="E139" s="359"/>
      <c r="F139" s="361"/>
      <c r="G139" s="358"/>
      <c r="H139" s="358"/>
      <c r="I139" s="359"/>
    </row>
    <row r="140" spans="1:9" ht="15.75" customHeight="1">
      <c r="A140" s="359" t="s">
        <v>172</v>
      </c>
      <c r="B140" s="364" t="s">
        <v>1128</v>
      </c>
      <c r="C140" s="365" t="s">
        <v>241</v>
      </c>
      <c r="D140" s="361">
        <f>F140</f>
        <v>132334</v>
      </c>
      <c r="E140" s="359"/>
      <c r="F140" s="361">
        <f>'Alloc. Factors'!F40</f>
        <v>132334</v>
      </c>
      <c r="G140" s="358"/>
      <c r="H140" s="358"/>
      <c r="I140" s="359"/>
    </row>
    <row r="141" spans="1:9" ht="15.75" customHeight="1">
      <c r="A141" s="359" t="s">
        <v>172</v>
      </c>
      <c r="B141" s="364" t="s">
        <v>1129</v>
      </c>
      <c r="C141" s="365" t="s">
        <v>1130</v>
      </c>
      <c r="D141" s="366">
        <f>$I$9*F141</f>
        <v>67822773.890266433</v>
      </c>
      <c r="E141" s="359"/>
      <c r="F141" s="366">
        <f>'Alloc. Factors'!E40</f>
        <v>115758865</v>
      </c>
      <c r="G141" s="358"/>
      <c r="H141" s="358"/>
      <c r="I141" s="359"/>
    </row>
    <row r="142" spans="1:9" ht="15.75" customHeight="1" thickBot="1">
      <c r="A142" s="359" t="s">
        <v>172</v>
      </c>
      <c r="B142" s="359"/>
      <c r="C142" s="364" t="s">
        <v>15</v>
      </c>
      <c r="D142" s="367">
        <f>D140+D141</f>
        <v>67955107.890266433</v>
      </c>
      <c r="E142" s="359"/>
      <c r="F142" s="367">
        <f>F140+F141</f>
        <v>115891199</v>
      </c>
      <c r="G142" s="358"/>
      <c r="H142" s="358"/>
      <c r="I142" s="359"/>
    </row>
    <row r="143" spans="1:9" ht="15.75" customHeight="1" thickTop="1">
      <c r="A143" s="359"/>
      <c r="B143" s="359"/>
      <c r="C143" s="359"/>
      <c r="D143" s="361"/>
      <c r="E143" s="359"/>
      <c r="F143" s="361"/>
      <c r="G143" s="358"/>
      <c r="H143" s="358"/>
      <c r="I143" s="359"/>
    </row>
    <row r="144" spans="1:9" ht="15.75" customHeight="1">
      <c r="A144" s="359" t="s">
        <v>173</v>
      </c>
      <c r="B144" s="364" t="s">
        <v>1128</v>
      </c>
      <c r="C144" s="365" t="s">
        <v>241</v>
      </c>
      <c r="D144" s="361">
        <f>F144</f>
        <v>40435</v>
      </c>
      <c r="E144" s="359"/>
      <c r="F144" s="361">
        <f>'Alloc. Factors'!F41</f>
        <v>40435</v>
      </c>
      <c r="G144" s="358"/>
      <c r="H144" s="358"/>
      <c r="I144" s="359"/>
    </row>
    <row r="145" spans="1:9" ht="15.75" customHeight="1">
      <c r="A145" s="359" t="s">
        <v>173</v>
      </c>
      <c r="B145" s="364" t="s">
        <v>1129</v>
      </c>
      <c r="C145" s="365" t="s">
        <v>1130</v>
      </c>
      <c r="D145" s="366">
        <f>$I$9*F145</f>
        <v>24936307.938082185</v>
      </c>
      <c r="E145" s="359"/>
      <c r="F145" s="366">
        <f>'Alloc. Factors'!E41</f>
        <v>42560906</v>
      </c>
      <c r="G145" s="358"/>
      <c r="H145" s="358"/>
      <c r="I145" s="359"/>
    </row>
    <row r="146" spans="1:9" ht="15.75" customHeight="1" thickBot="1">
      <c r="A146" s="359" t="s">
        <v>173</v>
      </c>
      <c r="B146" s="359"/>
      <c r="C146" s="364" t="s">
        <v>15</v>
      </c>
      <c r="D146" s="367">
        <f>D144+D145</f>
        <v>24976742.938082185</v>
      </c>
      <c r="E146" s="359"/>
      <c r="F146" s="367">
        <f>F144+F145</f>
        <v>42601341</v>
      </c>
      <c r="G146" s="358"/>
      <c r="H146" s="358"/>
      <c r="I146" s="359"/>
    </row>
    <row r="147" spans="1:9" ht="15.75" customHeight="1" thickTop="1">
      <c r="A147" s="358"/>
      <c r="B147" s="359"/>
      <c r="C147" s="359"/>
      <c r="D147" s="361"/>
      <c r="E147" s="359"/>
      <c r="F147" s="361"/>
      <c r="G147" s="358"/>
      <c r="H147" s="358"/>
      <c r="I147" s="359"/>
    </row>
    <row r="148" spans="1:9" ht="15.75" customHeight="1">
      <c r="A148" s="359" t="s">
        <v>149</v>
      </c>
      <c r="B148" s="364" t="s">
        <v>1128</v>
      </c>
      <c r="C148" s="365" t="s">
        <v>241</v>
      </c>
      <c r="D148" s="361">
        <f>F148</f>
        <v>0</v>
      </c>
      <c r="E148" s="359"/>
      <c r="F148" s="361">
        <f>'Alloc. Factors'!F42</f>
        <v>0</v>
      </c>
      <c r="G148" s="358"/>
      <c r="H148" s="358"/>
      <c r="I148" s="359"/>
    </row>
    <row r="149" spans="1:9" ht="15.75" customHeight="1">
      <c r="A149" s="359" t="s">
        <v>149</v>
      </c>
      <c r="B149" s="364" t="s">
        <v>1129</v>
      </c>
      <c r="C149" s="365" t="s">
        <v>1130</v>
      </c>
      <c r="D149" s="366">
        <f>$I$9*F149</f>
        <v>2806040.6928840419</v>
      </c>
      <c r="E149" s="359"/>
      <c r="F149" s="366">
        <f>'Alloc. Factors'!E42</f>
        <v>4789307</v>
      </c>
      <c r="G149" s="358"/>
      <c r="H149" s="358"/>
      <c r="I149" s="359"/>
    </row>
    <row r="150" spans="1:9" ht="15.75" customHeight="1" thickBot="1">
      <c r="A150" s="359" t="s">
        <v>149</v>
      </c>
      <c r="B150" s="359"/>
      <c r="C150" s="364" t="s">
        <v>15</v>
      </c>
      <c r="D150" s="367">
        <f>D148+D149</f>
        <v>2806040.6928840419</v>
      </c>
      <c r="E150" s="359"/>
      <c r="F150" s="367">
        <f>F148+F149</f>
        <v>4789307</v>
      </c>
      <c r="G150" s="358"/>
      <c r="H150" s="358"/>
      <c r="I150" s="359"/>
    </row>
    <row r="151" spans="1:9" ht="15.75" customHeight="1" thickTop="1">
      <c r="A151" s="359"/>
      <c r="B151" s="359"/>
      <c r="C151" s="359"/>
      <c r="D151" s="361"/>
      <c r="E151" s="359"/>
      <c r="F151" s="361"/>
      <c r="G151" s="358"/>
      <c r="H151" s="358"/>
      <c r="I151" s="359"/>
    </row>
    <row r="152" spans="1:9" ht="15.75" customHeight="1">
      <c r="A152" s="359" t="s">
        <v>137</v>
      </c>
      <c r="B152" s="364" t="s">
        <v>1128</v>
      </c>
      <c r="C152" s="365" t="s">
        <v>241</v>
      </c>
      <c r="D152" s="361">
        <f>F152</f>
        <v>196710</v>
      </c>
      <c r="E152" s="359"/>
      <c r="F152" s="361">
        <f>'Alloc. Factors'!F43</f>
        <v>196710</v>
      </c>
      <c r="G152" s="358"/>
      <c r="H152" s="358"/>
      <c r="I152" s="359"/>
    </row>
    <row r="153" spans="1:9" ht="15.75" customHeight="1">
      <c r="A153" s="359" t="s">
        <v>137</v>
      </c>
      <c r="B153" s="364" t="s">
        <v>1129</v>
      </c>
      <c r="C153" s="365" t="s">
        <v>1130</v>
      </c>
      <c r="D153" s="366">
        <f>$I$9*F153</f>
        <v>46267729.20597332</v>
      </c>
      <c r="E153" s="359"/>
      <c r="F153" s="366">
        <f>'Alloc. Factors'!E43</f>
        <v>78969047</v>
      </c>
      <c r="G153" s="358"/>
      <c r="H153" s="358"/>
      <c r="I153" s="359"/>
    </row>
    <row r="154" spans="1:9" ht="15.75" customHeight="1" thickBot="1">
      <c r="A154" s="359" t="s">
        <v>137</v>
      </c>
      <c r="B154" s="359"/>
      <c r="C154" s="364" t="s">
        <v>15</v>
      </c>
      <c r="D154" s="367">
        <f>D152+D153</f>
        <v>46464439.20597332</v>
      </c>
      <c r="E154" s="359"/>
      <c r="F154" s="367">
        <f>F152+F153</f>
        <v>79165757</v>
      </c>
      <c r="G154" s="358"/>
      <c r="H154" s="358"/>
      <c r="I154" s="359"/>
    </row>
    <row r="155" spans="1:9" ht="15.75" customHeight="1" thickTop="1">
      <c r="A155" s="359"/>
      <c r="B155" s="359"/>
      <c r="C155" s="359"/>
      <c r="D155" s="361"/>
      <c r="E155" s="359"/>
      <c r="F155" s="361"/>
      <c r="G155" s="358"/>
      <c r="H155" s="358"/>
      <c r="I155" s="359"/>
    </row>
    <row r="156" spans="1:9" ht="15.75" customHeight="1">
      <c r="A156" s="359" t="s">
        <v>7</v>
      </c>
      <c r="B156" s="364" t="s">
        <v>1128</v>
      </c>
      <c r="C156" s="365" t="s">
        <v>241</v>
      </c>
      <c r="D156" s="361">
        <f>F156</f>
        <v>0</v>
      </c>
      <c r="E156" s="359"/>
      <c r="F156" s="361">
        <f>'Alloc. Factors'!F44</f>
        <v>0</v>
      </c>
      <c r="G156" s="358"/>
      <c r="H156" s="358"/>
      <c r="I156" s="359"/>
    </row>
    <row r="157" spans="1:9" ht="15.75" customHeight="1">
      <c r="A157" s="359" t="s">
        <v>7</v>
      </c>
      <c r="B157" s="364" t="s">
        <v>1129</v>
      </c>
      <c r="C157" s="365" t="s">
        <v>1130</v>
      </c>
      <c r="D157" s="366">
        <f>$I$9*F157</f>
        <v>23474672.403251</v>
      </c>
      <c r="E157" s="359"/>
      <c r="F157" s="366">
        <f>'Alloc. Factors'!E44</f>
        <v>40066209</v>
      </c>
      <c r="G157" s="358"/>
      <c r="H157" s="358"/>
      <c r="I157" s="359"/>
    </row>
    <row r="158" spans="1:9" ht="15.75" customHeight="1" thickBot="1">
      <c r="A158" s="359" t="s">
        <v>7</v>
      </c>
      <c r="B158" s="359"/>
      <c r="C158" s="364" t="s">
        <v>15</v>
      </c>
      <c r="D158" s="367">
        <f>D156+D157</f>
        <v>23474672.403251</v>
      </c>
      <c r="E158" s="359"/>
      <c r="F158" s="367">
        <f>F156+F157</f>
        <v>40066209</v>
      </c>
      <c r="G158" s="358"/>
      <c r="H158" s="358"/>
      <c r="I158" s="359"/>
    </row>
    <row r="159" spans="1:9" ht="15.75" customHeight="1" thickTop="1">
      <c r="A159" s="359"/>
      <c r="B159" s="359"/>
      <c r="C159" s="359"/>
      <c r="D159" s="361"/>
      <c r="E159" s="359"/>
      <c r="F159" s="361"/>
      <c r="G159" s="358"/>
      <c r="H159" s="358"/>
      <c r="I159" s="359"/>
    </row>
    <row r="160" spans="1:9" ht="15.75" customHeight="1">
      <c r="A160" s="359" t="s">
        <v>1</v>
      </c>
      <c r="B160" s="364" t="s">
        <v>1128</v>
      </c>
      <c r="C160" s="365" t="s">
        <v>241</v>
      </c>
      <c r="D160" s="361">
        <f>F160</f>
        <v>0</v>
      </c>
      <c r="E160" s="359"/>
      <c r="F160" s="361">
        <f>'Alloc. Factors'!F45</f>
        <v>0</v>
      </c>
      <c r="G160" s="358"/>
      <c r="H160" s="358"/>
      <c r="I160" s="359"/>
    </row>
    <row r="161" spans="1:9" ht="15.75" customHeight="1">
      <c r="A161" s="359" t="s">
        <v>1</v>
      </c>
      <c r="B161" s="364" t="s">
        <v>1129</v>
      </c>
      <c r="C161" s="365" t="s">
        <v>1130</v>
      </c>
      <c r="D161" s="366">
        <f>$I$9*F161</f>
        <v>58193961.828857601</v>
      </c>
      <c r="E161" s="359"/>
      <c r="F161" s="366">
        <f>'Alloc. Factors'!E45</f>
        <v>99324557</v>
      </c>
      <c r="G161" s="358"/>
      <c r="H161" s="358"/>
      <c r="I161" s="359"/>
    </row>
    <row r="162" spans="1:9" ht="15.75" customHeight="1" thickBot="1">
      <c r="A162" s="359" t="s">
        <v>1</v>
      </c>
      <c r="B162" s="359"/>
      <c r="C162" s="364" t="s">
        <v>15</v>
      </c>
      <c r="D162" s="367">
        <f>D160+D161</f>
        <v>58193961.828857601</v>
      </c>
      <c r="E162" s="359"/>
      <c r="F162" s="367">
        <f>F160+F161</f>
        <v>99324557</v>
      </c>
      <c r="G162" s="358"/>
      <c r="H162" s="358"/>
      <c r="I162" s="359"/>
    </row>
    <row r="163" spans="1:9" ht="15.75" customHeight="1" thickTop="1">
      <c r="A163" s="359"/>
      <c r="B163" s="359"/>
      <c r="C163" s="359"/>
      <c r="D163" s="361"/>
      <c r="E163" s="359"/>
      <c r="F163" s="361"/>
      <c r="G163" s="358"/>
      <c r="H163" s="358"/>
      <c r="I163" s="359"/>
    </row>
    <row r="164" spans="1:9" ht="15.75" customHeight="1">
      <c r="A164" s="359" t="s">
        <v>150</v>
      </c>
      <c r="B164" s="364" t="s">
        <v>1128</v>
      </c>
      <c r="C164" s="365" t="s">
        <v>241</v>
      </c>
      <c r="D164" s="361">
        <f>F164</f>
        <v>0</v>
      </c>
      <c r="E164" s="359"/>
      <c r="F164" s="361">
        <f>'Alloc. Factors'!F46</f>
        <v>0</v>
      </c>
      <c r="G164" s="358"/>
      <c r="H164" s="358"/>
      <c r="I164" s="359"/>
    </row>
    <row r="165" spans="1:9" ht="15.75" customHeight="1">
      <c r="A165" s="359" t="s">
        <v>150</v>
      </c>
      <c r="B165" s="364" t="s">
        <v>1129</v>
      </c>
      <c r="C165" s="365" t="s">
        <v>1130</v>
      </c>
      <c r="D165" s="366">
        <f>$I$9*F165</f>
        <v>1763737.5132984144</v>
      </c>
      <c r="E165" s="359"/>
      <c r="F165" s="366">
        <f>'Alloc. Factors'!E46</f>
        <v>3010320</v>
      </c>
      <c r="G165" s="358"/>
      <c r="H165" s="358"/>
      <c r="I165" s="359"/>
    </row>
    <row r="166" spans="1:9" ht="15.75" customHeight="1" thickBot="1">
      <c r="A166" s="359" t="s">
        <v>150</v>
      </c>
      <c r="B166" s="359"/>
      <c r="C166" s="364" t="s">
        <v>15</v>
      </c>
      <c r="D166" s="367">
        <f>D164+D165</f>
        <v>1763737.5132984144</v>
      </c>
      <c r="E166" s="359"/>
      <c r="F166" s="367">
        <f>F164+F165</f>
        <v>3010320</v>
      </c>
      <c r="G166" s="358"/>
      <c r="H166" s="358"/>
      <c r="I166" s="359"/>
    </row>
    <row r="167" spans="1:9" ht="15.75" customHeight="1" thickTop="1">
      <c r="A167" s="359"/>
      <c r="B167" s="359"/>
      <c r="C167" s="359"/>
      <c r="D167" s="361"/>
      <c r="E167" s="359"/>
      <c r="F167" s="361"/>
      <c r="G167" s="358"/>
      <c r="H167" s="358"/>
      <c r="I167" s="359"/>
    </row>
    <row r="168" spans="1:9" ht="15.75" customHeight="1">
      <c r="A168" s="359" t="s">
        <v>12</v>
      </c>
      <c r="B168" s="364" t="s">
        <v>1128</v>
      </c>
      <c r="C168" s="365" t="s">
        <v>241</v>
      </c>
      <c r="D168" s="361">
        <f>F168</f>
        <v>0</v>
      </c>
      <c r="E168" s="359"/>
      <c r="F168" s="361">
        <f>'Alloc. Factors'!F47</f>
        <v>0</v>
      </c>
      <c r="G168" s="358"/>
      <c r="H168" s="358"/>
      <c r="I168" s="359"/>
    </row>
    <row r="169" spans="1:9" ht="15.75" customHeight="1">
      <c r="A169" s="359" t="s">
        <v>12</v>
      </c>
      <c r="B169" s="364" t="s">
        <v>1129</v>
      </c>
      <c r="C169" s="365" t="s">
        <v>1130</v>
      </c>
      <c r="D169" s="366">
        <f>$I$9*F169</f>
        <v>33305966.373039454</v>
      </c>
      <c r="E169" s="359"/>
      <c r="F169" s="366">
        <f>'Alloc. Factors'!E47</f>
        <v>56846110</v>
      </c>
      <c r="G169" s="358"/>
      <c r="H169" s="358"/>
      <c r="I169" s="359"/>
    </row>
    <row r="170" spans="1:9" ht="15.75" customHeight="1" thickBot="1">
      <c r="A170" s="359" t="s">
        <v>12</v>
      </c>
      <c r="B170" s="359"/>
      <c r="C170" s="364" t="s">
        <v>15</v>
      </c>
      <c r="D170" s="367">
        <f>D168+D169</f>
        <v>33305966.373039454</v>
      </c>
      <c r="E170" s="359"/>
      <c r="F170" s="367">
        <f>F168+F169</f>
        <v>56846110</v>
      </c>
      <c r="G170" s="358"/>
      <c r="H170" s="358"/>
      <c r="I170" s="359"/>
    </row>
    <row r="171" spans="1:9" ht="15.75" customHeight="1" thickTop="1">
      <c r="A171" s="359"/>
      <c r="B171" s="359"/>
      <c r="C171" s="359"/>
      <c r="D171" s="361"/>
      <c r="E171" s="359"/>
      <c r="F171" s="361"/>
      <c r="G171" s="358"/>
      <c r="H171" s="358"/>
      <c r="I171" s="359"/>
    </row>
    <row r="172" spans="1:9" ht="15.75" customHeight="1">
      <c r="A172" s="359" t="s">
        <v>660</v>
      </c>
      <c r="B172" s="364" t="s">
        <v>1128</v>
      </c>
      <c r="C172" s="365" t="s">
        <v>241</v>
      </c>
      <c r="D172" s="361">
        <f>F172</f>
        <v>52141</v>
      </c>
      <c r="E172" s="359"/>
      <c r="F172" s="361">
        <f>'Alloc. Factors'!F48</f>
        <v>52141</v>
      </c>
      <c r="G172" s="358"/>
      <c r="H172" s="358"/>
      <c r="I172" s="359"/>
    </row>
    <row r="173" spans="1:9" ht="15.75" customHeight="1">
      <c r="A173" s="359" t="s">
        <v>660</v>
      </c>
      <c r="B173" s="364" t="s">
        <v>1129</v>
      </c>
      <c r="C173" s="365" t="s">
        <v>1130</v>
      </c>
      <c r="D173" s="366">
        <f>$I$9*F173</f>
        <v>24419164.762742728</v>
      </c>
      <c r="E173" s="359"/>
      <c r="F173" s="366">
        <f>'Alloc. Factors'!E48</f>
        <v>41678254</v>
      </c>
      <c r="G173" s="358"/>
      <c r="H173" s="358"/>
      <c r="I173" s="359"/>
    </row>
    <row r="174" spans="1:9" ht="15.75" customHeight="1" thickBot="1">
      <c r="A174" s="359" t="s">
        <v>660</v>
      </c>
      <c r="B174" s="359"/>
      <c r="C174" s="364" t="s">
        <v>15</v>
      </c>
      <c r="D174" s="367">
        <f>D172+D173</f>
        <v>24471305.762742728</v>
      </c>
      <c r="E174" s="359"/>
      <c r="F174" s="367">
        <f>F172+F173</f>
        <v>41730395</v>
      </c>
      <c r="G174" s="358"/>
      <c r="H174" s="358"/>
      <c r="I174" s="359"/>
    </row>
    <row r="175" spans="1:9" ht="15.75" customHeight="1" thickTop="1">
      <c r="A175" s="359"/>
      <c r="B175" s="359"/>
      <c r="C175" s="359"/>
      <c r="D175" s="361"/>
      <c r="E175" s="359"/>
      <c r="F175" s="361"/>
      <c r="G175" s="358"/>
      <c r="H175" s="358"/>
      <c r="I175" s="359"/>
    </row>
    <row r="176" spans="1:9" ht="15.75" customHeight="1">
      <c r="A176" s="359" t="s">
        <v>153</v>
      </c>
      <c r="B176" s="364" t="s">
        <v>1128</v>
      </c>
      <c r="C176" s="365" t="s">
        <v>241</v>
      </c>
      <c r="D176" s="361">
        <f>F176</f>
        <v>0</v>
      </c>
      <c r="E176" s="359"/>
      <c r="F176" s="361">
        <f>'Alloc. Factors'!F49</f>
        <v>0</v>
      </c>
      <c r="G176" s="358"/>
      <c r="H176" s="358"/>
      <c r="I176" s="359"/>
    </row>
    <row r="177" spans="1:9" ht="15.75" customHeight="1">
      <c r="A177" s="359" t="s">
        <v>153</v>
      </c>
      <c r="B177" s="364" t="s">
        <v>1129</v>
      </c>
      <c r="C177" s="365" t="s">
        <v>1130</v>
      </c>
      <c r="D177" s="366">
        <f>$I$9*F177</f>
        <v>108286.65878804895</v>
      </c>
      <c r="E177" s="359"/>
      <c r="F177" s="366">
        <f>'Alloc. Factors'!E49</f>
        <v>184822</v>
      </c>
      <c r="G177" s="358"/>
      <c r="H177" s="358"/>
      <c r="I177" s="359"/>
    </row>
    <row r="178" spans="1:9" ht="15.75" customHeight="1" thickBot="1">
      <c r="A178" s="359" t="s">
        <v>153</v>
      </c>
      <c r="B178" s="359"/>
      <c r="C178" s="364" t="s">
        <v>15</v>
      </c>
      <c r="D178" s="367">
        <f>D176+D177</f>
        <v>108286.65878804895</v>
      </c>
      <c r="E178" s="359"/>
      <c r="F178" s="367">
        <f>F176+F177</f>
        <v>184822</v>
      </c>
      <c r="G178" s="358"/>
      <c r="H178" s="358"/>
      <c r="I178" s="359"/>
    </row>
    <row r="179" spans="1:9" ht="15.75" customHeight="1" thickTop="1">
      <c r="A179" s="359"/>
      <c r="B179" s="359"/>
      <c r="C179" s="359"/>
      <c r="D179" s="361"/>
      <c r="E179" s="359"/>
      <c r="F179" s="361"/>
      <c r="G179" s="358"/>
      <c r="H179" s="358"/>
      <c r="I179" s="359"/>
    </row>
    <row r="180" spans="1:9" ht="15.75" customHeight="1">
      <c r="A180" s="359"/>
      <c r="B180" s="359"/>
      <c r="C180" s="359"/>
      <c r="D180" s="361"/>
      <c r="E180" s="359"/>
      <c r="F180" s="361"/>
      <c r="G180" s="358"/>
      <c r="H180" s="358"/>
      <c r="I180" s="359"/>
    </row>
    <row r="181" spans="1:9" ht="15.75" customHeight="1">
      <c r="A181" s="359"/>
      <c r="B181" s="359"/>
      <c r="C181" s="359"/>
      <c r="D181" s="361"/>
      <c r="E181" s="359"/>
      <c r="F181" s="361"/>
      <c r="G181" s="358"/>
      <c r="H181" s="358"/>
      <c r="I181" s="359"/>
    </row>
    <row r="182" spans="1:9" ht="15.75" customHeight="1">
      <c r="A182" s="359"/>
      <c r="B182" s="359"/>
      <c r="C182" s="359"/>
      <c r="D182" s="361"/>
      <c r="E182" s="359"/>
      <c r="F182" s="361"/>
      <c r="G182" s="358"/>
      <c r="H182" s="358"/>
      <c r="I182" s="359"/>
    </row>
    <row r="183" spans="1:9" ht="15.75" customHeight="1">
      <c r="A183" s="359"/>
      <c r="B183" s="359"/>
      <c r="C183" s="359"/>
      <c r="D183" s="361"/>
      <c r="E183" s="359"/>
      <c r="F183" s="361"/>
      <c r="G183" s="358"/>
      <c r="H183" s="358"/>
      <c r="I183" s="359"/>
    </row>
    <row r="184" spans="1:9" ht="15.75" customHeight="1">
      <c r="A184" s="359"/>
      <c r="B184" s="359"/>
      <c r="C184" s="359"/>
      <c r="D184" s="361"/>
      <c r="E184" s="359"/>
      <c r="F184" s="361"/>
      <c r="G184" s="358"/>
      <c r="H184" s="358"/>
      <c r="I184" s="359"/>
    </row>
    <row r="185" spans="1:9" ht="15.75" customHeight="1">
      <c r="A185" s="359"/>
      <c r="B185" s="359"/>
      <c r="C185" s="359"/>
      <c r="D185" s="361"/>
      <c r="E185" s="359"/>
      <c r="F185" s="361"/>
      <c r="G185" s="358"/>
      <c r="H185" s="358"/>
      <c r="I185" s="359"/>
    </row>
    <row r="186" spans="1:9" ht="15.75" customHeight="1">
      <c r="A186" s="359"/>
      <c r="B186" s="359"/>
      <c r="C186" s="359"/>
      <c r="D186" s="361"/>
      <c r="E186" s="359"/>
      <c r="F186" s="361"/>
      <c r="G186" s="358"/>
      <c r="H186" s="358"/>
      <c r="I186" s="359"/>
    </row>
    <row r="187" spans="1:9" ht="15.75" customHeight="1">
      <c r="A187" s="359"/>
      <c r="B187" s="359"/>
      <c r="C187" s="359"/>
      <c r="D187" s="361"/>
      <c r="E187" s="359"/>
      <c r="F187" s="361"/>
      <c r="G187" s="358"/>
      <c r="H187" s="358"/>
      <c r="I187" s="359"/>
    </row>
    <row r="188" spans="1:9" ht="15.75" customHeight="1">
      <c r="A188" s="359"/>
      <c r="B188" s="359"/>
      <c r="C188" s="359"/>
      <c r="D188" s="361"/>
      <c r="E188" s="359"/>
      <c r="F188" s="361"/>
      <c r="G188" s="358"/>
      <c r="H188" s="358"/>
      <c r="I188" s="359"/>
    </row>
    <row r="189" spans="1:9" ht="15.75" customHeight="1">
      <c r="A189" s="359"/>
      <c r="B189" s="359"/>
      <c r="C189" s="359"/>
      <c r="D189" s="361"/>
      <c r="E189" s="359"/>
      <c r="F189" s="361"/>
      <c r="G189" s="358"/>
      <c r="H189" s="358"/>
      <c r="I189" s="359"/>
    </row>
    <row r="190" spans="1:9" ht="15.75" customHeight="1">
      <c r="A190" s="359"/>
      <c r="B190" s="359"/>
      <c r="C190" s="359"/>
      <c r="D190" s="361"/>
      <c r="E190" s="359"/>
      <c r="F190" s="361"/>
      <c r="G190" s="358"/>
      <c r="H190" s="358"/>
      <c r="I190" s="359"/>
    </row>
    <row r="191" spans="1:9" ht="15.75" customHeight="1">
      <c r="A191" s="359"/>
      <c r="B191" s="359"/>
      <c r="C191" s="359"/>
      <c r="D191" s="361"/>
      <c r="E191" s="359"/>
      <c r="F191" s="361"/>
      <c r="G191" s="358"/>
      <c r="H191" s="358"/>
      <c r="I191" s="359"/>
    </row>
    <row r="192" spans="1:9" ht="15.75" customHeight="1">
      <c r="A192" s="359"/>
      <c r="B192" s="359"/>
      <c r="C192" s="359"/>
      <c r="D192" s="361"/>
      <c r="E192" s="359"/>
      <c r="F192" s="361"/>
      <c r="G192" s="358"/>
      <c r="H192" s="358"/>
      <c r="I192" s="359"/>
    </row>
    <row r="193" spans="1:9" ht="15.75" customHeight="1">
      <c r="A193" s="359"/>
      <c r="B193" s="359"/>
      <c r="C193" s="359"/>
      <c r="D193" s="361"/>
      <c r="E193" s="359"/>
      <c r="F193" s="361"/>
      <c r="G193" s="358"/>
      <c r="H193" s="358"/>
      <c r="I193" s="359"/>
    </row>
    <row r="194" spans="1:9" ht="15.75" customHeight="1">
      <c r="A194" s="359"/>
      <c r="B194" s="359"/>
      <c r="C194" s="359"/>
      <c r="D194" s="361"/>
      <c r="E194" s="359"/>
      <c r="F194" s="361"/>
      <c r="G194" s="358"/>
      <c r="H194" s="358"/>
      <c r="I194" s="359"/>
    </row>
    <row r="195" spans="1:9" ht="15.75" customHeight="1">
      <c r="A195" s="359"/>
      <c r="B195" s="359"/>
      <c r="C195" s="359"/>
      <c r="D195" s="361"/>
      <c r="E195" s="359"/>
      <c r="F195" s="361"/>
      <c r="G195" s="358"/>
      <c r="H195" s="358"/>
      <c r="I195" s="359"/>
    </row>
    <row r="196" spans="1:9" ht="15.75" customHeight="1">
      <c r="A196" s="359"/>
      <c r="B196" s="359"/>
      <c r="C196" s="359"/>
      <c r="D196" s="361"/>
      <c r="E196" s="359"/>
      <c r="F196" s="361"/>
      <c r="G196" s="358"/>
      <c r="H196" s="358"/>
      <c r="I196" s="359"/>
    </row>
    <row r="197" spans="1:9" ht="15.75" customHeight="1">
      <c r="A197" s="359"/>
      <c r="B197" s="359"/>
      <c r="C197" s="359"/>
      <c r="D197" s="361"/>
      <c r="E197" s="359"/>
      <c r="F197" s="361"/>
      <c r="G197" s="358"/>
      <c r="H197" s="358"/>
      <c r="I197" s="359"/>
    </row>
    <row r="198" spans="1:9" ht="15.75" customHeight="1">
      <c r="A198" s="359"/>
      <c r="B198" s="359"/>
      <c r="C198" s="359"/>
      <c r="D198" s="361"/>
      <c r="E198" s="359"/>
      <c r="F198" s="361"/>
      <c r="G198" s="358"/>
      <c r="H198" s="358"/>
      <c r="I198" s="359"/>
    </row>
    <row r="199" spans="1:9" ht="15.75" customHeight="1">
      <c r="A199" s="359"/>
      <c r="B199" s="359"/>
      <c r="C199" s="359"/>
      <c r="D199" s="361"/>
      <c r="E199" s="359"/>
      <c r="F199" s="361"/>
      <c r="G199" s="358"/>
      <c r="H199" s="358"/>
      <c r="I199" s="359"/>
    </row>
    <row r="200" spans="1:9" ht="15.75" customHeight="1">
      <c r="A200" s="359"/>
      <c r="B200" s="359"/>
      <c r="C200" s="359"/>
      <c r="D200" s="361"/>
      <c r="E200" s="359"/>
      <c r="F200" s="361"/>
      <c r="G200" s="358"/>
      <c r="H200" s="358"/>
      <c r="I200" s="359"/>
    </row>
    <row r="201" spans="1:9" ht="15.75" customHeight="1">
      <c r="A201" s="359"/>
      <c r="B201" s="359"/>
      <c r="C201" s="359"/>
      <c r="D201" s="361"/>
      <c r="E201" s="359"/>
      <c r="F201" s="361"/>
      <c r="G201" s="358"/>
      <c r="H201" s="358"/>
      <c r="I201" s="359"/>
    </row>
    <row r="202" spans="1:9" ht="15.75" customHeight="1">
      <c r="A202" s="359"/>
      <c r="B202" s="359"/>
      <c r="C202" s="359"/>
      <c r="D202" s="361"/>
      <c r="E202" s="359"/>
      <c r="F202" s="361"/>
      <c r="G202" s="358"/>
      <c r="H202" s="358"/>
      <c r="I202" s="359"/>
    </row>
    <row r="203" spans="1:9" ht="15.75" customHeight="1">
      <c r="A203" s="359"/>
      <c r="B203" s="359"/>
      <c r="C203" s="359"/>
      <c r="D203" s="361"/>
      <c r="E203" s="359"/>
      <c r="F203" s="361"/>
      <c r="G203" s="358"/>
      <c r="H203" s="358"/>
      <c r="I203" s="359"/>
    </row>
    <row r="204" spans="1:9" ht="15.75" customHeight="1">
      <c r="A204" s="359"/>
      <c r="B204" s="359"/>
      <c r="C204" s="359"/>
      <c r="D204" s="361"/>
      <c r="E204" s="359"/>
      <c r="F204" s="361"/>
      <c r="G204" s="358"/>
      <c r="H204" s="358"/>
      <c r="I204" s="359"/>
    </row>
    <row r="205" spans="1:9" ht="15.75" customHeight="1">
      <c r="A205" s="359"/>
      <c r="B205" s="359"/>
      <c r="C205" s="359"/>
      <c r="D205" s="361"/>
      <c r="E205" s="359"/>
      <c r="F205" s="361"/>
      <c r="G205" s="358"/>
      <c r="H205" s="358"/>
      <c r="I205" s="359"/>
    </row>
    <row r="206" spans="1:9" ht="15.75" customHeight="1">
      <c r="A206" s="359"/>
      <c r="B206" s="359"/>
      <c r="C206" s="359"/>
      <c r="D206" s="361"/>
      <c r="E206" s="359"/>
      <c r="F206" s="361"/>
      <c r="G206" s="358"/>
      <c r="H206" s="358"/>
      <c r="I206" s="359"/>
    </row>
    <row r="207" spans="1:9" ht="15.75" customHeight="1">
      <c r="A207" s="359"/>
      <c r="B207" s="359"/>
      <c r="C207" s="359"/>
      <c r="D207" s="361"/>
      <c r="E207" s="359"/>
      <c r="F207" s="361"/>
      <c r="G207" s="358"/>
      <c r="H207" s="358"/>
      <c r="I207" s="359"/>
    </row>
    <row r="208" spans="1:9" ht="15.75" customHeight="1">
      <c r="A208" s="359"/>
      <c r="B208" s="359"/>
      <c r="C208" s="359"/>
      <c r="D208" s="361"/>
      <c r="E208" s="359"/>
      <c r="F208" s="361"/>
      <c r="G208" s="358"/>
      <c r="H208" s="358"/>
      <c r="I208" s="359"/>
    </row>
    <row r="209" spans="1:9" ht="15.75" customHeight="1">
      <c r="A209" s="359"/>
      <c r="B209" s="359"/>
      <c r="C209" s="359"/>
      <c r="D209" s="361"/>
      <c r="E209" s="359"/>
      <c r="F209" s="361"/>
      <c r="G209" s="358"/>
      <c r="H209" s="358"/>
      <c r="I209" s="359"/>
    </row>
    <row r="210" spans="1:9" ht="15.75" customHeight="1">
      <c r="A210" s="359"/>
      <c r="B210" s="359"/>
      <c r="C210" s="359"/>
      <c r="D210" s="361"/>
      <c r="E210" s="359"/>
      <c r="F210" s="361"/>
      <c r="G210" s="358"/>
      <c r="H210" s="358"/>
      <c r="I210" s="359"/>
    </row>
    <row r="211" spans="1:9" ht="15.75" customHeight="1">
      <c r="A211" s="359"/>
      <c r="B211" s="359"/>
      <c r="C211" s="359"/>
      <c r="D211" s="361"/>
      <c r="E211" s="359"/>
      <c r="F211" s="361"/>
      <c r="G211" s="358"/>
      <c r="H211" s="358"/>
      <c r="I211" s="359"/>
    </row>
    <row r="212" spans="1:9" ht="15.75" customHeight="1">
      <c r="A212" s="359"/>
      <c r="B212" s="359"/>
      <c r="C212" s="359"/>
      <c r="D212" s="361"/>
      <c r="E212" s="359"/>
      <c r="F212" s="361"/>
      <c r="G212" s="358"/>
      <c r="H212" s="358"/>
      <c r="I212" s="359"/>
    </row>
    <row r="213" spans="1:9" ht="15.75" customHeight="1">
      <c r="A213" s="359"/>
      <c r="B213" s="359"/>
      <c r="C213" s="359"/>
      <c r="D213" s="361"/>
      <c r="E213" s="359"/>
      <c r="F213" s="361"/>
      <c r="G213" s="358"/>
      <c r="H213" s="358"/>
      <c r="I213" s="359"/>
    </row>
    <row r="214" spans="1:9" ht="15.75" customHeight="1">
      <c r="A214" s="359"/>
      <c r="B214" s="359"/>
      <c r="C214" s="359"/>
      <c r="D214" s="361"/>
      <c r="E214" s="359"/>
      <c r="F214" s="361"/>
      <c r="G214" s="358"/>
      <c r="H214" s="358"/>
      <c r="I214" s="359"/>
    </row>
    <row r="215" spans="1:9" ht="15.75" customHeight="1">
      <c r="A215" s="359"/>
      <c r="B215" s="359"/>
      <c r="C215" s="359"/>
      <c r="D215" s="361"/>
      <c r="E215" s="359"/>
      <c r="F215" s="361"/>
      <c r="G215" s="358"/>
      <c r="H215" s="358"/>
      <c r="I215" s="359"/>
    </row>
    <row r="216" spans="1:9" ht="15.75" customHeight="1">
      <c r="A216" s="359"/>
      <c r="B216" s="359"/>
      <c r="C216" s="359"/>
      <c r="D216" s="361"/>
      <c r="E216" s="359"/>
      <c r="F216" s="361"/>
      <c r="G216" s="358"/>
      <c r="H216" s="358"/>
      <c r="I216" s="359"/>
    </row>
    <row r="217" spans="1:9" ht="15.75" customHeight="1">
      <c r="A217" s="359"/>
      <c r="B217" s="359"/>
      <c r="C217" s="359"/>
      <c r="D217" s="361"/>
      <c r="E217" s="359"/>
      <c r="F217" s="361"/>
      <c r="G217" s="358"/>
      <c r="H217" s="358"/>
      <c r="I217" s="359"/>
    </row>
    <row r="218" spans="1:9" ht="15.75" customHeight="1">
      <c r="A218" s="359"/>
      <c r="B218" s="359"/>
      <c r="C218" s="359"/>
      <c r="D218" s="361"/>
      <c r="E218" s="359"/>
      <c r="F218" s="361"/>
      <c r="G218" s="358"/>
      <c r="H218" s="358"/>
      <c r="I218" s="359"/>
    </row>
    <row r="219" spans="1:9" ht="15.75" customHeight="1">
      <c r="A219" s="359"/>
      <c r="B219" s="359"/>
      <c r="C219" s="359"/>
      <c r="D219" s="361"/>
      <c r="E219" s="359"/>
      <c r="F219" s="361"/>
      <c r="G219" s="358"/>
      <c r="H219" s="358"/>
      <c r="I219" s="359"/>
    </row>
    <row r="220" spans="1:9" ht="15.75" customHeight="1">
      <c r="A220" s="359"/>
      <c r="B220" s="359"/>
      <c r="C220" s="359"/>
      <c r="D220" s="361"/>
      <c r="E220" s="359"/>
      <c r="F220" s="361"/>
      <c r="G220" s="358"/>
      <c r="H220" s="358"/>
      <c r="I220" s="359"/>
    </row>
    <row r="221" spans="1:9" ht="15.75" customHeight="1">
      <c r="A221" s="359"/>
      <c r="B221" s="359"/>
      <c r="C221" s="359"/>
      <c r="D221" s="361"/>
      <c r="E221" s="359"/>
      <c r="F221" s="361"/>
      <c r="G221" s="358"/>
      <c r="H221" s="358"/>
      <c r="I221" s="359"/>
    </row>
    <row r="222" spans="1:9" ht="15.75" customHeight="1">
      <c r="A222" s="359"/>
      <c r="B222" s="359"/>
      <c r="C222" s="359"/>
      <c r="D222" s="361"/>
      <c r="E222" s="359"/>
      <c r="F222" s="361"/>
      <c r="G222" s="358"/>
      <c r="H222" s="358"/>
      <c r="I222" s="359"/>
    </row>
    <row r="223" spans="1:9" ht="15.75" customHeight="1">
      <c r="A223" s="359"/>
      <c r="B223" s="359"/>
      <c r="C223" s="359"/>
      <c r="D223" s="361"/>
      <c r="E223" s="359"/>
      <c r="F223" s="361"/>
      <c r="G223" s="358"/>
      <c r="H223" s="358"/>
      <c r="I223" s="359"/>
    </row>
    <row r="224" spans="1:9" ht="15.75" customHeight="1">
      <c r="A224" s="359"/>
      <c r="B224" s="359"/>
      <c r="C224" s="359"/>
      <c r="D224" s="361"/>
      <c r="E224" s="359"/>
      <c r="F224" s="361"/>
      <c r="G224" s="358"/>
      <c r="H224" s="358"/>
      <c r="I224" s="359"/>
    </row>
    <row r="225" spans="1:9" ht="15.75" customHeight="1">
      <c r="A225" s="359"/>
      <c r="B225" s="359"/>
      <c r="C225" s="359"/>
      <c r="D225" s="361"/>
      <c r="E225" s="359"/>
      <c r="F225" s="361"/>
      <c r="G225" s="358"/>
      <c r="H225" s="358"/>
      <c r="I225" s="359"/>
    </row>
    <row r="226" spans="1:9" ht="15.75" customHeight="1">
      <c r="A226" s="359"/>
      <c r="B226" s="359"/>
      <c r="C226" s="359"/>
      <c r="D226" s="361"/>
      <c r="E226" s="359"/>
      <c r="F226" s="361"/>
      <c r="G226" s="358"/>
      <c r="H226" s="358"/>
      <c r="I226" s="359"/>
    </row>
    <row r="227" spans="1:9" ht="15.75" customHeight="1">
      <c r="A227" s="359"/>
      <c r="B227" s="359"/>
      <c r="C227" s="359"/>
      <c r="D227" s="361"/>
      <c r="E227" s="359"/>
      <c r="F227" s="361"/>
      <c r="G227" s="358"/>
      <c r="H227" s="358"/>
      <c r="I227" s="359"/>
    </row>
    <row r="228" spans="1:9">
      <c r="A228" s="359"/>
      <c r="B228" s="359"/>
      <c r="C228" s="359"/>
      <c r="D228" s="361"/>
      <c r="E228" s="359"/>
      <c r="F228" s="361"/>
      <c r="G228" s="358"/>
      <c r="H228" s="358"/>
      <c r="I228" s="359"/>
    </row>
    <row r="229" spans="1:9">
      <c r="A229" s="359"/>
      <c r="B229" s="359"/>
      <c r="C229" s="359"/>
      <c r="D229" s="361"/>
      <c r="E229" s="359"/>
      <c r="F229" s="361"/>
      <c r="G229" s="358"/>
      <c r="H229" s="358"/>
      <c r="I229" s="359"/>
    </row>
    <row r="230" spans="1:9">
      <c r="A230" s="359"/>
      <c r="B230" s="359"/>
      <c r="C230" s="359"/>
      <c r="D230" s="361"/>
      <c r="E230" s="359"/>
      <c r="F230" s="361"/>
      <c r="G230" s="358"/>
      <c r="H230" s="358"/>
      <c r="I230" s="359"/>
    </row>
    <row r="231" spans="1:9">
      <c r="A231" s="359"/>
      <c r="B231" s="359"/>
      <c r="C231" s="359"/>
      <c r="D231" s="361"/>
      <c r="E231" s="359"/>
      <c r="F231" s="361"/>
      <c r="G231" s="358"/>
      <c r="H231" s="358"/>
      <c r="I231" s="359"/>
    </row>
    <row r="232" spans="1:9">
      <c r="A232" s="359"/>
      <c r="B232" s="359"/>
      <c r="C232" s="359"/>
      <c r="D232" s="361"/>
      <c r="E232" s="359"/>
      <c r="F232" s="361"/>
      <c r="G232" s="358"/>
      <c r="H232" s="358"/>
      <c r="I232" s="359"/>
    </row>
    <row r="233" spans="1:9">
      <c r="A233" s="359"/>
      <c r="B233" s="359"/>
      <c r="C233" s="359"/>
      <c r="D233" s="361"/>
      <c r="E233" s="359"/>
      <c r="F233" s="361"/>
      <c r="G233" s="358"/>
      <c r="H233" s="358"/>
      <c r="I233" s="359"/>
    </row>
    <row r="234" spans="1:9">
      <c r="A234" s="359"/>
      <c r="B234" s="359"/>
      <c r="C234" s="359"/>
      <c r="D234" s="361"/>
      <c r="E234" s="359"/>
      <c r="F234" s="361"/>
      <c r="G234" s="358"/>
      <c r="H234" s="358"/>
      <c r="I234" s="359"/>
    </row>
    <row r="235" spans="1:9">
      <c r="A235" s="359"/>
      <c r="B235" s="359"/>
      <c r="C235" s="359"/>
      <c r="D235" s="361"/>
      <c r="E235" s="359"/>
      <c r="F235" s="361"/>
      <c r="G235" s="358"/>
      <c r="H235" s="358"/>
      <c r="I235" s="359"/>
    </row>
    <row r="236" spans="1:9">
      <c r="A236" s="359"/>
      <c r="B236" s="359"/>
      <c r="C236" s="359"/>
      <c r="D236" s="361"/>
      <c r="E236" s="359"/>
      <c r="F236" s="361"/>
      <c r="G236" s="358"/>
      <c r="H236" s="358"/>
      <c r="I236" s="359"/>
    </row>
    <row r="237" spans="1:9">
      <c r="A237" s="359"/>
      <c r="B237" s="359"/>
      <c r="C237" s="359"/>
      <c r="D237" s="361"/>
      <c r="E237" s="359"/>
      <c r="F237" s="361"/>
      <c r="G237" s="358"/>
      <c r="H237" s="358"/>
      <c r="I237" s="359"/>
    </row>
    <row r="238" spans="1:9">
      <c r="A238" s="359"/>
      <c r="B238" s="359"/>
      <c r="C238" s="359"/>
      <c r="D238" s="361"/>
      <c r="E238" s="359"/>
      <c r="F238" s="361"/>
      <c r="G238" s="358"/>
      <c r="H238" s="358"/>
      <c r="I238" s="359"/>
    </row>
    <row r="239" spans="1:9">
      <c r="A239" s="359"/>
      <c r="B239" s="359"/>
      <c r="C239" s="359"/>
      <c r="D239" s="361"/>
      <c r="E239" s="359"/>
      <c r="F239" s="361"/>
      <c r="G239" s="358"/>
      <c r="H239" s="358"/>
      <c r="I239" s="359"/>
    </row>
    <row r="240" spans="1:9">
      <c r="A240" s="359"/>
      <c r="B240" s="359"/>
      <c r="C240" s="359"/>
      <c r="D240" s="361"/>
      <c r="E240" s="359"/>
      <c r="F240" s="361"/>
      <c r="G240" s="358"/>
      <c r="H240" s="358"/>
      <c r="I240" s="359"/>
    </row>
    <row r="241" spans="1:9">
      <c r="A241" s="359"/>
      <c r="B241" s="359"/>
      <c r="C241" s="359"/>
      <c r="D241" s="361"/>
      <c r="E241" s="359"/>
      <c r="F241" s="361"/>
      <c r="G241" s="358"/>
      <c r="H241" s="358"/>
      <c r="I241" s="359"/>
    </row>
    <row r="242" spans="1:9">
      <c r="A242" s="359"/>
      <c r="B242" s="359"/>
      <c r="C242" s="359"/>
      <c r="D242" s="361"/>
      <c r="E242" s="359"/>
      <c r="F242" s="361"/>
      <c r="G242" s="358"/>
      <c r="H242" s="358"/>
      <c r="I242" s="359"/>
    </row>
    <row r="243" spans="1:9">
      <c r="A243" s="359"/>
      <c r="B243" s="359"/>
      <c r="C243" s="359"/>
      <c r="D243" s="361"/>
      <c r="E243" s="359"/>
      <c r="F243" s="361"/>
      <c r="G243" s="358"/>
      <c r="H243" s="358"/>
      <c r="I243" s="359"/>
    </row>
  </sheetData>
  <pageMargins left="0.7" right="0.7" top="0.75" bottom="0.75" header="0.3" footer="0.3"/>
  <pageSetup scale="85"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E1A9C8-7A5D-49FF-9385-E07F01FF0898}"/>
</file>

<file path=customXml/itemProps2.xml><?xml version="1.0" encoding="utf-8"?>
<ds:datastoreItem xmlns:ds="http://schemas.openxmlformats.org/officeDocument/2006/customXml" ds:itemID="{E1311D79-C8F0-4AC3-B408-25F97A8A6F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E45B5F-156D-4481-8A2C-AE574860B6AC}">
  <ds:schemaRefs>
    <ds:schemaRef ds:uri="ce9d3abe-bc67-4c3a-8bb7-62a662d1f451"/>
    <ds:schemaRef ds:uri="http://schemas.microsoft.com/office/2006/documentManagement/types"/>
    <ds:schemaRef ds:uri="http://schemas.microsoft.com/office/2006/metadata/properties"/>
    <ds:schemaRef ds:uri="94791C15-4105-42DF-B17E-66B53D20FD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4791c15-4105-42df-b17e-66b53d20fde0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12</vt:i4>
      </vt:variant>
    </vt:vector>
  </HeadingPairs>
  <TitlesOfParts>
    <vt:vector size="34" baseType="lpstr">
      <vt:lpstr>PlantByAcctByCounty</vt:lpstr>
      <vt:lpstr>M&amp;S</vt:lpstr>
      <vt:lpstr>101 &amp; 106 By County</vt:lpstr>
      <vt:lpstr>Distribution</vt:lpstr>
      <vt:lpstr>Meters</vt:lpstr>
      <vt:lpstr>Bills</vt:lpstr>
      <vt:lpstr>TPP by County</vt:lpstr>
      <vt:lpstr>Allocation Stats</vt:lpstr>
      <vt:lpstr>DR-405</vt:lpstr>
      <vt:lpstr>Cost Approach</vt:lpstr>
      <vt:lpstr>Sum. of Prop.</vt:lpstr>
      <vt:lpstr>CapRate</vt:lpstr>
      <vt:lpstr>LTD</vt:lpstr>
      <vt:lpstr>Inc Approach</vt:lpstr>
      <vt:lpstr>Valuation</vt:lpstr>
      <vt:lpstr>Reconciliation</vt:lpstr>
      <vt:lpstr>FMV BY COUNTY-DR405 AUDIT</vt:lpstr>
      <vt:lpstr>Alloc. Factors</vt:lpstr>
      <vt:lpstr>CountyDetailEst-'22 factors</vt:lpstr>
      <vt:lpstr>BalSht-NBV</vt:lpstr>
      <vt:lpstr>ByPANSummary</vt:lpstr>
      <vt:lpstr>Division budget</vt:lpstr>
      <vt:lpstr>'Alloc. Factors'!Print_Area</vt:lpstr>
      <vt:lpstr>'BalSht-NBV'!Print_Area</vt:lpstr>
      <vt:lpstr>CapRate!Print_Area</vt:lpstr>
      <vt:lpstr>'Cost Approach'!Print_Area</vt:lpstr>
      <vt:lpstr>'Inc Approach'!Print_Area</vt:lpstr>
      <vt:lpstr>LTD!Print_Area</vt:lpstr>
      <vt:lpstr>Reconciliation!Print_Area</vt:lpstr>
      <vt:lpstr>'Sum. of Prop.'!Print_Area</vt:lpstr>
      <vt:lpstr>'TPP by County'!Print_Area</vt:lpstr>
      <vt:lpstr>Valuation!Print_Area</vt:lpstr>
      <vt:lpstr>'TPP by County'!Print_Titles</vt:lpstr>
      <vt:lpstr>Valuation!Print_Titles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Keene, David M.</dc:creator>
  <cp:lastModifiedBy>Vega, Tison</cp:lastModifiedBy>
  <cp:lastPrinted>2023-07-17T18:45:26Z</cp:lastPrinted>
  <dcterms:created xsi:type="dcterms:W3CDTF">2010-03-17T12:14:49Z</dcterms:created>
  <dcterms:modified xsi:type="dcterms:W3CDTF">2023-07-18T11:08:13Z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2021-07-29T17:17:28Z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223fba86-9c82-4392-92e0-f1590761b539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