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60" yWindow="1560" windowWidth="21600" windowHeight="11265" activeTab="1"/>
  </bookViews>
  <sheets>
    <sheet name="Summary" sheetId="3" r:id="rId1"/>
    <sheet name="Scenario" sheetId="16" r:id="rId2"/>
    <sheet name="Variance to Rate Case" sheetId="21" r:id="rId3"/>
    <sheet name="IncomeStmt Scenario" sheetId="19" r:id="rId4"/>
    <sheet name="Rate Case" sheetId="4" r:id="rId5"/>
    <sheet name="IncomeStmt Rate Case" sheetId="20" r:id="rId6"/>
  </sheets>
  <definedNames>
    <definedName name="_Key1" localSheetId="5" hidden="1">#REF!</definedName>
    <definedName name="_Key1" localSheetId="3" hidden="1">#REF!</definedName>
    <definedName name="_Key1" hidden="1">#REF!</definedName>
    <definedName name="_Order1" hidden="1">255</definedName>
    <definedName name="_Sort" localSheetId="5" hidden="1">#REF!</definedName>
    <definedName name="_Sort" localSheetId="3" hidden="1">#REF!</definedName>
    <definedName name="_Sort" hidden="1">#REF!</definedName>
    <definedName name="CIQWBGuid" hidden="1">"f0842c6b-4f67-4da4-8ab9-05f9b8d91da0"</definedName>
    <definedName name="CYFGSGF">#REF!</definedName>
    <definedName name="DAT">#REF!</definedName>
    <definedName name="dcHundred">100</definedName>
    <definedName name="dcMillions">1000000</definedName>
    <definedName name="dcMonthsinYear">12</definedName>
    <definedName name="dcThousands">1000</definedName>
    <definedName name="EV__LASTREFTIME__" hidden="1">"(GMT-05:00)9/28/2017 1:11:18 PM"</definedName>
    <definedName name="Interest_synch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TRA_ACC_ITEMS_BR" hidden="1">"c412"</definedName>
    <definedName name="IQ_FH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44420.558275463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Last_Row" localSheetId="5">IF('IncomeStmt Rate Case'!Values_Entered,Header_Row+'IncomeStmt Rate Case'!Number_of_Payments,Header_Row)</definedName>
    <definedName name="Last_Row" localSheetId="3">IF('IncomeStmt Scenario'!Values_Entered,Header_Row+'IncomeStmt Scenario'!Number_of_Payments,Header_Row)</definedName>
    <definedName name="Last_Row" localSheetId="1">IF(Scenario!Values_Entered,Header_Row+Scenario!Number_of_Payments,Header_Row)</definedName>
    <definedName name="Last_Row" localSheetId="2">IF('Variance to Rate Case'!Values_Entered,Header_Row+'Variance to Rate Case'!Number_of_Payments,Header_Row)</definedName>
    <definedName name="Last_Row">IF(Values_Entered,Header_Row+Number_of_Payments,Header_Row)</definedName>
    <definedName name="MACROS">#REF!</definedName>
    <definedName name="Number_of_Payments" localSheetId="5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 localSheetId="2">MATCH(0.01,End_Bal,-1)+1</definedName>
    <definedName name="Number_of_Payments">MATCH(0.01,End_Bal,-1)+1</definedName>
    <definedName name="Payment_Date" localSheetId="5">DATE(YEAR(Loan_Start),MONTH(Loan_Start)+Payment_Number,DAY(Loan_Start))</definedName>
    <definedName name="Payment_Date" localSheetId="3">DATE(YEAR(Loan_Start),MONTH(Loan_Start)+Payment_Number,DAY(Loan_Start))</definedName>
    <definedName name="Payment_Date" localSheetId="1">DATE(YEAR(Loan_Start),MONTH(Loan_Start)+Payment_Number,DAY(Loan_Start))</definedName>
    <definedName name="Payment_Date" localSheetId="2">DATE(YEAR(Loan_Start),MONTH(Loan_Start)+Payment_Number,DAY(Loan_Start))</definedName>
    <definedName name="Payment_Date">DATE(YEAR(Loan_Start),MONTH(Loan_Start)+Payment_Number,DAY(Loan_Start))</definedName>
    <definedName name="_xlnm.Print_Area" localSheetId="5">'IncomeStmt Rate Case'!$A$1:$R$43</definedName>
    <definedName name="_xlnm.Print_Area" localSheetId="3">'IncomeStmt Scenario'!$A$1:$R$43</definedName>
    <definedName name="_xlnm.Print_Area" localSheetId="4">'Rate Case'!$A$1:$P$77</definedName>
    <definedName name="_xlnm.Print_Area" localSheetId="1">Scenario!$A$1:$P$76</definedName>
    <definedName name="_xlnm.Print_Area" localSheetId="0">Summary!$A$1:$N$20</definedName>
    <definedName name="Print_Area_Reset" localSheetId="5">OFFSET(Full_Print,0,0,'IncomeStmt Rate Case'!Last_Row)</definedName>
    <definedName name="Print_Area_Reset" localSheetId="3">OFFSET(Full_Print,0,0,'IncomeStmt Scenario'!Last_Row)</definedName>
    <definedName name="Print_Area_Reset" localSheetId="1">OFFSET(Full_Print,0,0,Scenario!Last_Row)</definedName>
    <definedName name="Print_Area_Reset" localSheetId="2">OFFSET(Full_Print,0,0,'Variance to Rate Case'!Last_Row)</definedName>
    <definedName name="Print_Area_Reset">OFFSET(Full_Print,0,0,Last_Row)</definedName>
    <definedName name="random">#REF!</definedName>
    <definedName name="REGTAX">#REF!</definedName>
    <definedName name="sally">#REF!</definedName>
    <definedName name="SURV">#REF!</definedName>
    <definedName name="Surv_support">#REF!</definedName>
    <definedName name="TAXRATE">#REF!</definedName>
    <definedName name="TAXUP">#REF!</definedName>
    <definedName name="Tolerance" localSheetId="5">#REF!</definedName>
    <definedName name="Tolerance" localSheetId="3">#REF!</definedName>
    <definedName name="Tolerance">#REF!</definedName>
    <definedName name="Total_Payment" localSheetId="5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TOTAVG">#REF!</definedName>
    <definedName name="Values_Entered" localSheetId="5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WC_AVG">#REF!</definedName>
    <definedName name="YTD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F18" i="19"/>
  <c r="R43" i="16" l="1"/>
  <c r="C15" i="16"/>
  <c r="P17" i="16" l="1"/>
  <c r="A22" i="16" l="1"/>
  <c r="A23" i="16"/>
  <c r="A25" i="16"/>
  <c r="A26" i="16"/>
  <c r="A24" i="16"/>
  <c r="D22" i="16"/>
  <c r="C22" i="16"/>
  <c r="C2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C30" i="16"/>
  <c r="D26" i="16"/>
  <c r="D26" i="21" s="1"/>
  <c r="E26" i="16"/>
  <c r="E26" i="21" s="1"/>
  <c r="F26" i="16"/>
  <c r="F26" i="21" s="1"/>
  <c r="G26" i="16"/>
  <c r="G26" i="21" s="1"/>
  <c r="H26" i="16"/>
  <c r="H26" i="21" s="1"/>
  <c r="I26" i="16"/>
  <c r="I26" i="21" s="1"/>
  <c r="J26" i="16"/>
  <c r="J26" i="21" s="1"/>
  <c r="K26" i="16"/>
  <c r="K26" i="21" s="1"/>
  <c r="L26" i="16"/>
  <c r="L26" i="21" s="1"/>
  <c r="M26" i="16"/>
  <c r="M26" i="21" s="1"/>
  <c r="P17" i="21" l="1"/>
  <c r="O26" i="16"/>
  <c r="O26" i="21" s="1"/>
  <c r="N26" i="16"/>
  <c r="N26" i="21" s="1"/>
  <c r="P26" i="21" s="1"/>
  <c r="P26" i="16" l="1"/>
  <c r="C24" i="16" l="1"/>
  <c r="D15" i="16"/>
  <c r="D24" i="16" l="1"/>
  <c r="E15" i="16"/>
  <c r="E24" i="16" l="1"/>
  <c r="F15" i="16"/>
  <c r="G15" i="16" l="1"/>
  <c r="F24" i="16"/>
  <c r="H15" i="16" l="1"/>
  <c r="G24" i="16"/>
  <c r="I15" i="16" l="1"/>
  <c r="H24" i="16"/>
  <c r="J15" i="16" l="1"/>
  <c r="I24" i="16"/>
  <c r="C23" i="16" l="1"/>
  <c r="K15" i="16"/>
  <c r="J24" i="16"/>
  <c r="L15" i="16" l="1"/>
  <c r="K24" i="16"/>
  <c r="M15" i="16" l="1"/>
  <c r="M24" i="16" s="1"/>
  <c r="L24" i="16"/>
  <c r="M30" i="16"/>
  <c r="J30" i="16"/>
  <c r="G30" i="16"/>
  <c r="D14" i="16"/>
  <c r="D23" i="16" s="1"/>
  <c r="N15" i="16" l="1"/>
  <c r="H16" i="21"/>
  <c r="G16" i="21"/>
  <c r="F16" i="21"/>
  <c r="E16" i="21"/>
  <c r="D16" i="21"/>
  <c r="C25" i="21"/>
  <c r="C16" i="21"/>
  <c r="O15" i="16" l="1"/>
  <c r="O24" i="16" s="1"/>
  <c r="N24" i="16"/>
  <c r="K30" i="16"/>
  <c r="H30" i="16"/>
  <c r="N30" i="16"/>
  <c r="O30" i="16" l="1"/>
  <c r="L30" i="16"/>
  <c r="I30" i="16"/>
  <c r="R44" i="19" l="1"/>
  <c r="D30" i="16"/>
  <c r="H13" i="3"/>
  <c r="M13" i="3" s="1"/>
  <c r="E30" i="16" l="1"/>
  <c r="N9" i="19"/>
  <c r="J9" i="19"/>
  <c r="M9" i="19"/>
  <c r="H9" i="19"/>
  <c r="P9" i="19"/>
  <c r="F67" i="19"/>
  <c r="N67" i="19"/>
  <c r="N32" i="19" s="1"/>
  <c r="R15" i="19"/>
  <c r="L67" i="19"/>
  <c r="R13" i="19"/>
  <c r="I67" i="19"/>
  <c r="I32" i="19" s="1"/>
  <c r="Q67" i="19"/>
  <c r="Q32" i="19" s="1"/>
  <c r="L9" i="19"/>
  <c r="K67" i="19"/>
  <c r="K32" i="19" s="1"/>
  <c r="R55" i="19"/>
  <c r="R38" i="19"/>
  <c r="R40" i="19"/>
  <c r="H67" i="19"/>
  <c r="P67" i="19"/>
  <c r="P32" i="19" s="1"/>
  <c r="R60" i="19"/>
  <c r="R64" i="19"/>
  <c r="R57" i="19"/>
  <c r="R65" i="19"/>
  <c r="J67" i="19"/>
  <c r="J32" i="19" s="1"/>
  <c r="R66" i="19"/>
  <c r="R31" i="19"/>
  <c r="R37" i="19"/>
  <c r="R12" i="19"/>
  <c r="Q9" i="19"/>
  <c r="F9" i="19"/>
  <c r="R25" i="19"/>
  <c r="R26" i="19"/>
  <c r="R56" i="19"/>
  <c r="R17" i="19"/>
  <c r="T17" i="19" s="1"/>
  <c r="R28" i="19"/>
  <c r="R30" i="19"/>
  <c r="R48" i="19"/>
  <c r="M67" i="19"/>
  <c r="R61" i="19"/>
  <c r="R58" i="19"/>
  <c r="R19" i="19"/>
  <c r="R7" i="19"/>
  <c r="R16" i="19"/>
  <c r="R27" i="19"/>
  <c r="O9" i="19"/>
  <c r="R62" i="19"/>
  <c r="I9" i="19"/>
  <c r="G67" i="19"/>
  <c r="G32" i="19" s="1"/>
  <c r="O67" i="19"/>
  <c r="O32" i="19" s="1"/>
  <c r="R59" i="19"/>
  <c r="R63" i="19"/>
  <c r="R14" i="19"/>
  <c r="R39" i="19"/>
  <c r="K9" i="19"/>
  <c r="R54" i="19"/>
  <c r="T38" i="19" l="1"/>
  <c r="H32" i="19"/>
  <c r="F32" i="19"/>
  <c r="F30" i="16"/>
  <c r="L32" i="19"/>
  <c r="G9" i="19"/>
  <c r="R9" i="19" s="1"/>
  <c r="R8" i="19"/>
  <c r="R67" i="19"/>
  <c r="D25" i="16" l="1"/>
  <c r="D25" i="21" s="1"/>
  <c r="H25" i="16"/>
  <c r="H25" i="21" s="1"/>
  <c r="G25" i="16"/>
  <c r="G25" i="21" s="1"/>
  <c r="F25" i="16"/>
  <c r="F25" i="21" s="1"/>
  <c r="E25" i="16"/>
  <c r="E25" i="21" s="1"/>
  <c r="M32" i="19"/>
  <c r="R29" i="19"/>
  <c r="R11" i="19"/>
  <c r="P7" i="16"/>
  <c r="P8" i="16"/>
  <c r="P9" i="16"/>
  <c r="P4" i="16"/>
  <c r="R32" i="19" l="1"/>
  <c r="P48" i="16"/>
  <c r="P50" i="16"/>
  <c r="P49" i="16"/>
  <c r="E14" i="16"/>
  <c r="E23" i="16" s="1"/>
  <c r="E13" i="16"/>
  <c r="E22" i="16" s="1"/>
  <c r="P45" i="16"/>
  <c r="F14" i="16" l="1"/>
  <c r="F23" i="16" s="1"/>
  <c r="C27" i="16"/>
  <c r="C18" i="16"/>
  <c r="C29" i="16" s="1"/>
  <c r="F13" i="16"/>
  <c r="F22" i="16" s="1"/>
  <c r="G14" i="16" l="1"/>
  <c r="G23" i="16" s="1"/>
  <c r="D21" i="16"/>
  <c r="D27" i="16" s="1"/>
  <c r="D12" i="16"/>
  <c r="G13" i="16"/>
  <c r="G22" i="16" s="1"/>
  <c r="E12" i="16" l="1"/>
  <c r="E18" i="16" s="1"/>
  <c r="D18" i="16"/>
  <c r="E21" i="16"/>
  <c r="E27" i="16" s="1"/>
  <c r="D21" i="21"/>
  <c r="H14" i="16"/>
  <c r="H23" i="16" s="1"/>
  <c r="E12" i="21"/>
  <c r="D12" i="21"/>
  <c r="F12" i="16"/>
  <c r="H13" i="16"/>
  <c r="H22" i="16" s="1"/>
  <c r="F12" i="21" l="1"/>
  <c r="F18" i="16"/>
  <c r="F21" i="16"/>
  <c r="F27" i="16" s="1"/>
  <c r="E21" i="21"/>
  <c r="I14" i="16"/>
  <c r="I23" i="16" s="1"/>
  <c r="F35" i="19"/>
  <c r="G12" i="16"/>
  <c r="G18" i="16" s="1"/>
  <c r="H12" i="16"/>
  <c r="H18" i="16" s="1"/>
  <c r="I13" i="16"/>
  <c r="I22" i="16" s="1"/>
  <c r="H12" i="21" l="1"/>
  <c r="I12" i="16"/>
  <c r="I16" i="16" s="1"/>
  <c r="G12" i="21"/>
  <c r="G35" i="19"/>
  <c r="J14" i="16"/>
  <c r="J23" i="16" s="1"/>
  <c r="G21" i="16"/>
  <c r="G27" i="16" s="1"/>
  <c r="F21" i="21"/>
  <c r="J13" i="16"/>
  <c r="J22" i="16" s="1"/>
  <c r="J16" i="16" l="1"/>
  <c r="I16" i="21"/>
  <c r="I25" i="16"/>
  <c r="J12" i="16"/>
  <c r="K12" i="16" s="1"/>
  <c r="I18" i="16"/>
  <c r="I12" i="21"/>
  <c r="K14" i="16"/>
  <c r="K23" i="16" s="1"/>
  <c r="H21" i="16"/>
  <c r="G21" i="21"/>
  <c r="H35" i="19"/>
  <c r="K13" i="16"/>
  <c r="K22" i="16" s="1"/>
  <c r="K16" i="16" l="1"/>
  <c r="J25" i="16"/>
  <c r="I21" i="16"/>
  <c r="H27" i="16"/>
  <c r="L12" i="16"/>
  <c r="L12" i="21" s="1"/>
  <c r="K18" i="16"/>
  <c r="J12" i="21"/>
  <c r="J18" i="16"/>
  <c r="K12" i="21"/>
  <c r="I35" i="19"/>
  <c r="H21" i="21"/>
  <c r="L14" i="16"/>
  <c r="L23" i="16" s="1"/>
  <c r="L13" i="16"/>
  <c r="L22" i="16" s="1"/>
  <c r="L16" i="16" l="1"/>
  <c r="K25" i="16"/>
  <c r="J21" i="16"/>
  <c r="J27" i="16" s="1"/>
  <c r="I27" i="16"/>
  <c r="M12" i="16"/>
  <c r="J35" i="19"/>
  <c r="M14" i="16"/>
  <c r="M23" i="16" s="1"/>
  <c r="I21" i="21"/>
  <c r="M13" i="16"/>
  <c r="M22" i="16" s="1"/>
  <c r="M16" i="16" l="1"/>
  <c r="L25" i="16"/>
  <c r="L18" i="16"/>
  <c r="N12" i="16"/>
  <c r="M18" i="16"/>
  <c r="M12" i="21"/>
  <c r="K35" i="19"/>
  <c r="K21" i="16"/>
  <c r="K27" i="16" s="1"/>
  <c r="J21" i="21"/>
  <c r="N14" i="16"/>
  <c r="N23" i="16" s="1"/>
  <c r="N13" i="16"/>
  <c r="N22" i="16" s="1"/>
  <c r="N16" i="16" l="1"/>
  <c r="M25" i="16"/>
  <c r="O12" i="16"/>
  <c r="N18" i="16"/>
  <c r="N12" i="21"/>
  <c r="L21" i="16"/>
  <c r="L27" i="16" s="1"/>
  <c r="K21" i="21"/>
  <c r="L35" i="19"/>
  <c r="O14" i="16"/>
  <c r="O23" i="16" s="1"/>
  <c r="O13" i="16"/>
  <c r="O22" i="16" s="1"/>
  <c r="O16" i="16" l="1"/>
  <c r="O25" i="16" s="1"/>
  <c r="N25" i="16"/>
  <c r="P16" i="16"/>
  <c r="O18" i="16"/>
  <c r="O12" i="21"/>
  <c r="P12" i="16"/>
  <c r="P15" i="16"/>
  <c r="M35" i="19"/>
  <c r="M21" i="16"/>
  <c r="M27" i="16" s="1"/>
  <c r="L21" i="21"/>
  <c r="P14" i="16"/>
  <c r="P13" i="16"/>
  <c r="P25" i="16" l="1"/>
  <c r="P18" i="16"/>
  <c r="N35" i="19"/>
  <c r="N21" i="16"/>
  <c r="N27" i="16" s="1"/>
  <c r="M21" i="21"/>
  <c r="O35" i="19" l="1"/>
  <c r="P24" i="16"/>
  <c r="P22" i="16"/>
  <c r="O21" i="16"/>
  <c r="O27" i="16" s="1"/>
  <c r="N21" i="21"/>
  <c r="P23" i="16"/>
  <c r="P35" i="19" l="1"/>
  <c r="O21" i="21"/>
  <c r="P21" i="16"/>
  <c r="O30" i="4"/>
  <c r="O30" i="21" s="1"/>
  <c r="N30" i="4"/>
  <c r="N30" i="21" s="1"/>
  <c r="M30" i="4"/>
  <c r="M30" i="21" s="1"/>
  <c r="L30" i="4"/>
  <c r="L30" i="21" s="1"/>
  <c r="K30" i="4"/>
  <c r="K30" i="21" s="1"/>
  <c r="J30" i="4"/>
  <c r="J30" i="21" s="1"/>
  <c r="I30" i="4"/>
  <c r="I30" i="21" s="1"/>
  <c r="H30" i="4"/>
  <c r="H30" i="21" s="1"/>
  <c r="G30" i="4"/>
  <c r="G30" i="21" s="1"/>
  <c r="F30" i="4"/>
  <c r="F30" i="21" s="1"/>
  <c r="E30" i="4"/>
  <c r="E30" i="21" s="1"/>
  <c r="D30" i="4"/>
  <c r="D30" i="21" s="1"/>
  <c r="P21" i="4"/>
  <c r="C30" i="4"/>
  <c r="C30" i="21" l="1"/>
  <c r="C31" i="4"/>
  <c r="P27" i="16"/>
  <c r="Q35" i="19"/>
  <c r="P21" i="21"/>
  <c r="B21" i="21"/>
  <c r="R35" i="19" l="1"/>
  <c r="T35" i="19" s="1"/>
  <c r="C22" i="4"/>
  <c r="C23" i="4"/>
  <c r="C24" i="4"/>
  <c r="U35" i="19" l="1"/>
  <c r="B24" i="21"/>
  <c r="B23" i="21"/>
  <c r="B22" i="21"/>
  <c r="B25" i="21"/>
  <c r="J16" i="4"/>
  <c r="J16" i="21" s="1"/>
  <c r="I25" i="4"/>
  <c r="I25" i="21" s="1"/>
  <c r="K16" i="4" l="1"/>
  <c r="K16" i="21" s="1"/>
  <c r="J25" i="4"/>
  <c r="J25" i="21" s="1"/>
  <c r="D22" i="4" l="1"/>
  <c r="D22" i="21" s="1"/>
  <c r="L16" i="4"/>
  <c r="L16" i="21" s="1"/>
  <c r="K25" i="4"/>
  <c r="K25" i="21" s="1"/>
  <c r="C22" i="21" l="1"/>
  <c r="D23" i="4"/>
  <c r="C23" i="21"/>
  <c r="D24" i="4"/>
  <c r="C24" i="21"/>
  <c r="M16" i="4"/>
  <c r="M16" i="21" s="1"/>
  <c r="L25" i="4"/>
  <c r="L25" i="21" s="1"/>
  <c r="E22" i="4"/>
  <c r="E22" i="21" s="1"/>
  <c r="D27" i="4" l="1"/>
  <c r="D23" i="21"/>
  <c r="E23" i="4"/>
  <c r="D24" i="21"/>
  <c r="E24" i="4"/>
  <c r="N16" i="4"/>
  <c r="N16" i="21" s="1"/>
  <c r="M25" i="4"/>
  <c r="M25" i="21" s="1"/>
  <c r="F22" i="4"/>
  <c r="F22" i="21" s="1"/>
  <c r="D27" i="21" l="1"/>
  <c r="F24" i="4"/>
  <c r="E24" i="21"/>
  <c r="E27" i="4"/>
  <c r="F23" i="4"/>
  <c r="E23" i="21"/>
  <c r="E27" i="21" s="1"/>
  <c r="O16" i="4"/>
  <c r="N25" i="4"/>
  <c r="N25" i="21" s="1"/>
  <c r="G22" i="4"/>
  <c r="G22" i="21" s="1"/>
  <c r="F27" i="4" l="1"/>
  <c r="G23" i="4"/>
  <c r="F23" i="21"/>
  <c r="O25" i="4"/>
  <c r="O25" i="21" s="1"/>
  <c r="P25" i="21" s="1"/>
  <c r="O16" i="21"/>
  <c r="P16" i="21" s="1"/>
  <c r="G24" i="4"/>
  <c r="F24" i="21"/>
  <c r="H22" i="4"/>
  <c r="H22" i="21" s="1"/>
  <c r="F27" i="21" l="1"/>
  <c r="H24" i="4"/>
  <c r="G24" i="21"/>
  <c r="G27" i="4"/>
  <c r="P25" i="4"/>
  <c r="H23" i="4"/>
  <c r="G23" i="21"/>
  <c r="G27" i="21" s="1"/>
  <c r="I22" i="4"/>
  <c r="I22" i="21" s="1"/>
  <c r="H27" i="4" l="1"/>
  <c r="I23" i="4"/>
  <c r="H23" i="21"/>
  <c r="I24" i="4"/>
  <c r="H24" i="21"/>
  <c r="J22" i="4"/>
  <c r="J22" i="21" s="1"/>
  <c r="I27" i="4"/>
  <c r="H27" i="21" l="1"/>
  <c r="J24" i="4"/>
  <c r="I24" i="21"/>
  <c r="J23" i="4"/>
  <c r="I23" i="21"/>
  <c r="I27" i="21" s="1"/>
  <c r="K22" i="4"/>
  <c r="K22" i="21" s="1"/>
  <c r="J27" i="4" l="1"/>
  <c r="K23" i="4"/>
  <c r="J23" i="21"/>
  <c r="K24" i="4"/>
  <c r="J24" i="21"/>
  <c r="L22" i="4"/>
  <c r="L22" i="21" s="1"/>
  <c r="J27" i="21" l="1"/>
  <c r="L24" i="4"/>
  <c r="K24" i="21"/>
  <c r="K27" i="4"/>
  <c r="L23" i="4"/>
  <c r="K23" i="21"/>
  <c r="K27" i="21" s="1"/>
  <c r="M22" i="4"/>
  <c r="M22" i="21" s="1"/>
  <c r="M23" i="4" l="1"/>
  <c r="L23" i="21"/>
  <c r="L27" i="4"/>
  <c r="M24" i="4"/>
  <c r="L24" i="21"/>
  <c r="N22" i="4"/>
  <c r="N22" i="21" s="1"/>
  <c r="L27" i="21" l="1"/>
  <c r="N24" i="4"/>
  <c r="M24" i="21"/>
  <c r="M27" i="4"/>
  <c r="N23" i="4"/>
  <c r="M23" i="21"/>
  <c r="M27" i="21" s="1"/>
  <c r="O22" i="4"/>
  <c r="O22" i="21" s="1"/>
  <c r="P16" i="4"/>
  <c r="N27" i="4" l="1"/>
  <c r="O23" i="4"/>
  <c r="N23" i="21"/>
  <c r="O24" i="4"/>
  <c r="N24" i="21"/>
  <c r="P22" i="21"/>
  <c r="P22" i="4"/>
  <c r="P41" i="21"/>
  <c r="P40" i="21"/>
  <c r="P39" i="21"/>
  <c r="P36" i="21"/>
  <c r="O4" i="21"/>
  <c r="E4" i="21"/>
  <c r="F4" i="21"/>
  <c r="G4" i="21"/>
  <c r="H4" i="21"/>
  <c r="I4" i="21"/>
  <c r="J4" i="21"/>
  <c r="K4" i="21"/>
  <c r="L4" i="21"/>
  <c r="M4" i="21"/>
  <c r="N4" i="21"/>
  <c r="E29" i="4"/>
  <c r="F29" i="4"/>
  <c r="G29" i="4"/>
  <c r="H29" i="4"/>
  <c r="I29" i="4"/>
  <c r="J29" i="4"/>
  <c r="K29" i="4"/>
  <c r="L29" i="4"/>
  <c r="M29" i="4"/>
  <c r="N29" i="4"/>
  <c r="O29" i="4"/>
  <c r="E7" i="21"/>
  <c r="F7" i="21"/>
  <c r="G7" i="21"/>
  <c r="H7" i="21"/>
  <c r="I7" i="21"/>
  <c r="J7" i="21"/>
  <c r="K7" i="21"/>
  <c r="L7" i="21"/>
  <c r="M7" i="21"/>
  <c r="N7" i="21"/>
  <c r="O7" i="21"/>
  <c r="E8" i="21"/>
  <c r="F8" i="21"/>
  <c r="G8" i="21"/>
  <c r="H8" i="21"/>
  <c r="I8" i="21"/>
  <c r="J8" i="21"/>
  <c r="K8" i="21"/>
  <c r="L8" i="21"/>
  <c r="M8" i="21"/>
  <c r="N8" i="21"/>
  <c r="O8" i="21"/>
  <c r="E9" i="21"/>
  <c r="F9" i="21"/>
  <c r="G9" i="21"/>
  <c r="H9" i="21"/>
  <c r="I9" i="21"/>
  <c r="J9" i="21"/>
  <c r="K9" i="21"/>
  <c r="L9" i="21"/>
  <c r="M9" i="21"/>
  <c r="N9" i="21"/>
  <c r="O9" i="21"/>
  <c r="D8" i="21"/>
  <c r="D9" i="21"/>
  <c r="D7" i="21"/>
  <c r="D4" i="21"/>
  <c r="N27" i="21" l="1"/>
  <c r="D29" i="4"/>
  <c r="D31" i="4"/>
  <c r="P61" i="21"/>
  <c r="O24" i="21"/>
  <c r="P24" i="21" s="1"/>
  <c r="P24" i="4"/>
  <c r="D15" i="4"/>
  <c r="C15" i="21"/>
  <c r="P65" i="21"/>
  <c r="D14" i="4"/>
  <c r="C14" i="21"/>
  <c r="P12" i="4"/>
  <c r="C12" i="21"/>
  <c r="C18" i="21" s="1"/>
  <c r="P64" i="21"/>
  <c r="O27" i="4"/>
  <c r="C13" i="21"/>
  <c r="O23" i="21"/>
  <c r="P23" i="4"/>
  <c r="F5" i="16"/>
  <c r="M5" i="16"/>
  <c r="E5" i="16"/>
  <c r="K5" i="16"/>
  <c r="J5" i="16"/>
  <c r="I5" i="16"/>
  <c r="H5" i="16"/>
  <c r="N5" i="16"/>
  <c r="L5" i="16"/>
  <c r="O5" i="16"/>
  <c r="G5" i="16"/>
  <c r="M31" i="4"/>
  <c r="L31" i="4"/>
  <c r="N31" i="4"/>
  <c r="F31" i="4"/>
  <c r="I31" i="4"/>
  <c r="K31" i="4"/>
  <c r="O31" i="4"/>
  <c r="G31" i="4"/>
  <c r="H31" i="4"/>
  <c r="E31" i="4"/>
  <c r="J31" i="4"/>
  <c r="D13" i="4"/>
  <c r="D13" i="21" s="1"/>
  <c r="C18" i="4"/>
  <c r="C5" i="4" s="1"/>
  <c r="P43" i="4"/>
  <c r="O27" i="21" l="1"/>
  <c r="P27" i="4"/>
  <c r="D14" i="21"/>
  <c r="E14" i="4"/>
  <c r="P23" i="21"/>
  <c r="D15" i="21"/>
  <c r="E15" i="4"/>
  <c r="P12" i="21"/>
  <c r="C27" i="4"/>
  <c r="C21" i="21"/>
  <c r="C27" i="21" s="1"/>
  <c r="E13" i="4"/>
  <c r="E13" i="21" s="1"/>
  <c r="D18" i="4"/>
  <c r="D5" i="4" s="1"/>
  <c r="C29" i="4"/>
  <c r="C4" i="21"/>
  <c r="P4" i="21" s="1"/>
  <c r="P44" i="21" s="1"/>
  <c r="D18" i="21" l="1"/>
  <c r="P29" i="4"/>
  <c r="C29" i="21"/>
  <c r="P27" i="21"/>
  <c r="P8" i="4"/>
  <c r="C8" i="21"/>
  <c r="P8" i="21" s="1"/>
  <c r="P48" i="21" s="1"/>
  <c r="F15" i="4"/>
  <c r="E15" i="21"/>
  <c r="P9" i="4"/>
  <c r="C9" i="21"/>
  <c r="P9" i="21" s="1"/>
  <c r="P49" i="21" s="1"/>
  <c r="F14" i="4"/>
  <c r="E14" i="21"/>
  <c r="P7" i="4"/>
  <c r="P48" i="4" s="1"/>
  <c r="C7" i="21"/>
  <c r="P7" i="21" s="1"/>
  <c r="P47" i="21" s="1"/>
  <c r="P6" i="4"/>
  <c r="P31" i="4"/>
  <c r="D34" i="4"/>
  <c r="D33" i="4"/>
  <c r="D53" i="4" s="1"/>
  <c r="D10" i="4"/>
  <c r="F13" i="4"/>
  <c r="F13" i="21" s="1"/>
  <c r="E18" i="4"/>
  <c r="E5" i="4" s="1"/>
  <c r="P4" i="4"/>
  <c r="P45" i="4" s="1"/>
  <c r="C33" i="4"/>
  <c r="C34" i="4"/>
  <c r="C10" i="4"/>
  <c r="E18" i="21" l="1"/>
  <c r="C54" i="4"/>
  <c r="C55" i="4"/>
  <c r="C53" i="4"/>
  <c r="P50" i="4"/>
  <c r="P49" i="4"/>
  <c r="E29" i="16"/>
  <c r="E29" i="21" s="1"/>
  <c r="E5" i="21"/>
  <c r="G14" i="4"/>
  <c r="F14" i="21"/>
  <c r="G15" i="4"/>
  <c r="F15" i="21"/>
  <c r="P47" i="4"/>
  <c r="D55" i="4"/>
  <c r="D54" i="4"/>
  <c r="P30" i="4"/>
  <c r="E33" i="4"/>
  <c r="E34" i="4"/>
  <c r="E10" i="4"/>
  <c r="G13" i="4"/>
  <c r="G13" i="21" s="1"/>
  <c r="F18" i="4"/>
  <c r="F5" i="4" s="1"/>
  <c r="F18" i="21" l="1"/>
  <c r="P64" i="4"/>
  <c r="E6" i="16"/>
  <c r="H15" i="4"/>
  <c r="G15" i="21"/>
  <c r="H14" i="4"/>
  <c r="G14" i="21"/>
  <c r="G18" i="21" s="1"/>
  <c r="F29" i="16"/>
  <c r="F29" i="21" s="1"/>
  <c r="F5" i="21"/>
  <c r="E55" i="4"/>
  <c r="E53" i="4"/>
  <c r="E54" i="4"/>
  <c r="F34" i="4"/>
  <c r="F10" i="4"/>
  <c r="F33" i="4"/>
  <c r="F54" i="4" s="1"/>
  <c r="H13" i="4"/>
  <c r="H13" i="21" s="1"/>
  <c r="G18" i="4"/>
  <c r="G5" i="4" s="1"/>
  <c r="E33" i="16" l="1"/>
  <c r="E53" i="16" s="1"/>
  <c r="E52" i="21" s="1"/>
  <c r="E6" i="21"/>
  <c r="E10" i="21" s="1"/>
  <c r="E10" i="16"/>
  <c r="E34" i="16"/>
  <c r="E34" i="21" s="1"/>
  <c r="F6" i="16"/>
  <c r="G5" i="21"/>
  <c r="G29" i="16"/>
  <c r="G29" i="21" s="1"/>
  <c r="I14" i="4"/>
  <c r="H14" i="21"/>
  <c r="I15" i="4"/>
  <c r="H15" i="21"/>
  <c r="F53" i="4"/>
  <c r="F55" i="4"/>
  <c r="G34" i="4"/>
  <c r="G33" i="4"/>
  <c r="G10" i="4"/>
  <c r="I13" i="4"/>
  <c r="I13" i="21" s="1"/>
  <c r="H18" i="4"/>
  <c r="H5" i="4" s="1"/>
  <c r="H18" i="21" l="1"/>
  <c r="E54" i="16"/>
  <c r="E53" i="21" s="1"/>
  <c r="E55" i="16"/>
  <c r="E54" i="21" s="1"/>
  <c r="F34" i="16"/>
  <c r="F34" i="21" s="1"/>
  <c r="E33" i="21"/>
  <c r="F33" i="16"/>
  <c r="F55" i="16" s="1"/>
  <c r="F54" i="21" s="1"/>
  <c r="F10" i="16"/>
  <c r="F6" i="21"/>
  <c r="F33" i="21" s="1"/>
  <c r="F31" i="16"/>
  <c r="H36" i="19" s="1"/>
  <c r="H41" i="19" s="1"/>
  <c r="H18" i="19" s="1"/>
  <c r="G6" i="16"/>
  <c r="J15" i="4"/>
  <c r="I15" i="21"/>
  <c r="H29" i="16"/>
  <c r="H29" i="21" s="1"/>
  <c r="H5" i="21"/>
  <c r="J14" i="4"/>
  <c r="I14" i="21"/>
  <c r="I18" i="21" s="1"/>
  <c r="G55" i="4"/>
  <c r="G53" i="4"/>
  <c r="G54" i="4"/>
  <c r="H33" i="4"/>
  <c r="H10" i="4"/>
  <c r="H34" i="4"/>
  <c r="J13" i="4"/>
  <c r="J13" i="21" s="1"/>
  <c r="I18" i="4"/>
  <c r="I5" i="4" s="1"/>
  <c r="G33" i="16" l="1"/>
  <c r="G55" i="16" s="1"/>
  <c r="G54" i="21" s="1"/>
  <c r="G10" i="16"/>
  <c r="F53" i="16"/>
  <c r="F52" i="21" s="1"/>
  <c r="F31" i="21"/>
  <c r="F54" i="16"/>
  <c r="F53" i="21" s="1"/>
  <c r="G6" i="21"/>
  <c r="G10" i="21" s="1"/>
  <c r="F10" i="21"/>
  <c r="G34" i="16"/>
  <c r="G34" i="21" s="1"/>
  <c r="G31" i="16"/>
  <c r="G31" i="21" s="1"/>
  <c r="H6" i="16"/>
  <c r="I29" i="16"/>
  <c r="I29" i="21" s="1"/>
  <c r="I5" i="21"/>
  <c r="H21" i="19"/>
  <c r="K14" i="4"/>
  <c r="J14" i="21"/>
  <c r="J18" i="21" s="1"/>
  <c r="K15" i="4"/>
  <c r="J15" i="21"/>
  <c r="H53" i="4"/>
  <c r="H55" i="4"/>
  <c r="H54" i="4"/>
  <c r="I33" i="4"/>
  <c r="I34" i="4"/>
  <c r="I10" i="4"/>
  <c r="K13" i="4"/>
  <c r="K13" i="21" s="1"/>
  <c r="J18" i="4"/>
  <c r="J5" i="4" s="1"/>
  <c r="G54" i="16" l="1"/>
  <c r="G53" i="21" s="1"/>
  <c r="G53" i="16"/>
  <c r="G52" i="21" s="1"/>
  <c r="H34" i="16"/>
  <c r="H34" i="21" s="1"/>
  <c r="G33" i="21"/>
  <c r="I36" i="19"/>
  <c r="I41" i="19" s="1"/>
  <c r="I18" i="19" s="1"/>
  <c r="H10" i="16"/>
  <c r="H33" i="16"/>
  <c r="H55" i="16" s="1"/>
  <c r="H54" i="21" s="1"/>
  <c r="H31" i="16"/>
  <c r="J36" i="19" s="1"/>
  <c r="J41" i="19" s="1"/>
  <c r="J18" i="19" s="1"/>
  <c r="H6" i="21"/>
  <c r="H10" i="21" s="1"/>
  <c r="I6" i="16"/>
  <c r="H20" i="19"/>
  <c r="H22" i="19" s="1"/>
  <c r="H43" i="19" s="1"/>
  <c r="H45" i="19" s="1"/>
  <c r="J29" i="16"/>
  <c r="J29" i="21" s="1"/>
  <c r="J5" i="21"/>
  <c r="L15" i="4"/>
  <c r="K15" i="21"/>
  <c r="L14" i="4"/>
  <c r="K14" i="21"/>
  <c r="I53" i="4"/>
  <c r="I55" i="4"/>
  <c r="I54" i="4"/>
  <c r="J33" i="4"/>
  <c r="J10" i="4"/>
  <c r="J34" i="4"/>
  <c r="L13" i="4"/>
  <c r="L13" i="21" s="1"/>
  <c r="K18" i="4"/>
  <c r="K5" i="4" s="1"/>
  <c r="K18" i="21" l="1"/>
  <c r="I34" i="16"/>
  <c r="I34" i="21" s="1"/>
  <c r="I21" i="19"/>
  <c r="H31" i="21"/>
  <c r="H54" i="16"/>
  <c r="H53" i="21" s="1"/>
  <c r="H53" i="16"/>
  <c r="H52" i="21" s="1"/>
  <c r="H33" i="21"/>
  <c r="I31" i="16"/>
  <c r="K36" i="19" s="1"/>
  <c r="K41" i="19" s="1"/>
  <c r="K18" i="19" s="1"/>
  <c r="I6" i="21"/>
  <c r="I10" i="16"/>
  <c r="I33" i="16"/>
  <c r="I55" i="16" s="1"/>
  <c r="I54" i="21" s="1"/>
  <c r="J6" i="16"/>
  <c r="I20" i="19"/>
  <c r="I22" i="19" s="1"/>
  <c r="I43" i="19" s="1"/>
  <c r="I45" i="19" s="1"/>
  <c r="J21" i="19"/>
  <c r="K5" i="21"/>
  <c r="K29" i="16"/>
  <c r="K29" i="21" s="1"/>
  <c r="M14" i="4"/>
  <c r="L14" i="21"/>
  <c r="M15" i="4"/>
  <c r="L15" i="21"/>
  <c r="J53" i="4"/>
  <c r="J55" i="4"/>
  <c r="J54" i="4"/>
  <c r="K33" i="4"/>
  <c r="K34" i="4"/>
  <c r="K10" i="4"/>
  <c r="M13" i="4"/>
  <c r="M13" i="21" s="1"/>
  <c r="L18" i="4"/>
  <c r="L5" i="4" s="1"/>
  <c r="L18" i="21" l="1"/>
  <c r="J6" i="21"/>
  <c r="J10" i="21" s="1"/>
  <c r="I31" i="21"/>
  <c r="I53" i="16"/>
  <c r="I52" i="21" s="1"/>
  <c r="I33" i="21"/>
  <c r="I10" i="21"/>
  <c r="I54" i="16"/>
  <c r="I53" i="21" s="1"/>
  <c r="J33" i="21"/>
  <c r="J10" i="16"/>
  <c r="J31" i="16"/>
  <c r="J33" i="16"/>
  <c r="J55" i="16" s="1"/>
  <c r="J54" i="21" s="1"/>
  <c r="J34" i="16"/>
  <c r="J34" i="21" s="1"/>
  <c r="K6" i="16"/>
  <c r="J20" i="19"/>
  <c r="J22" i="19" s="1"/>
  <c r="J43" i="19" s="1"/>
  <c r="J45" i="19" s="1"/>
  <c r="N15" i="4"/>
  <c r="M15" i="21"/>
  <c r="N14" i="4"/>
  <c r="M14" i="21"/>
  <c r="L29" i="16"/>
  <c r="L29" i="21" s="1"/>
  <c r="L5" i="21"/>
  <c r="K21" i="19"/>
  <c r="K53" i="4"/>
  <c r="K55" i="4"/>
  <c r="K54" i="4"/>
  <c r="L10" i="4"/>
  <c r="L34" i="4"/>
  <c r="L33" i="4"/>
  <c r="N13" i="4"/>
  <c r="N13" i="21" s="1"/>
  <c r="M18" i="4"/>
  <c r="M5" i="4" s="1"/>
  <c r="M18" i="21" l="1"/>
  <c r="K6" i="21"/>
  <c r="K33" i="21" s="1"/>
  <c r="K33" i="16"/>
  <c r="K55" i="16" s="1"/>
  <c r="K54" i="21" s="1"/>
  <c r="K31" i="16"/>
  <c r="K31" i="21" s="1"/>
  <c r="K34" i="16"/>
  <c r="K34" i="21" s="1"/>
  <c r="K10" i="16"/>
  <c r="L36" i="19"/>
  <c r="L41" i="19" s="1"/>
  <c r="J31" i="21"/>
  <c r="J54" i="16"/>
  <c r="J53" i="21" s="1"/>
  <c r="J53" i="16"/>
  <c r="J52" i="21" s="1"/>
  <c r="K10" i="21"/>
  <c r="L6" i="16"/>
  <c r="K20" i="19"/>
  <c r="K22" i="19" s="1"/>
  <c r="K43" i="19" s="1"/>
  <c r="K45" i="19" s="1"/>
  <c r="O14" i="4"/>
  <c r="N14" i="21"/>
  <c r="N18" i="21" s="1"/>
  <c r="O15" i="4"/>
  <c r="N15" i="21"/>
  <c r="M29" i="16"/>
  <c r="M29" i="21" s="1"/>
  <c r="M5" i="21"/>
  <c r="L53" i="4"/>
  <c r="L55" i="4"/>
  <c r="L54" i="4"/>
  <c r="M10" i="4"/>
  <c r="M33" i="4"/>
  <c r="M54" i="4" s="1"/>
  <c r="M34" i="4"/>
  <c r="O13" i="4"/>
  <c r="O13" i="21" s="1"/>
  <c r="N18" i="4"/>
  <c r="N5" i="4" s="1"/>
  <c r="L21" i="19" l="1"/>
  <c r="L18" i="19"/>
  <c r="L20" i="19" s="1"/>
  <c r="L22" i="19" s="1"/>
  <c r="L43" i="19" s="1"/>
  <c r="L45" i="19" s="1"/>
  <c r="L33" i="16"/>
  <c r="L55" i="16" s="1"/>
  <c r="L54" i="21" s="1"/>
  <c r="M36" i="19"/>
  <c r="M41" i="19" s="1"/>
  <c r="M18" i="19" s="1"/>
  <c r="K54" i="16"/>
  <c r="K53" i="21" s="1"/>
  <c r="K53" i="16"/>
  <c r="K52" i="21" s="1"/>
  <c r="L10" i="16"/>
  <c r="L6" i="21"/>
  <c r="L10" i="21" s="1"/>
  <c r="L34" i="16"/>
  <c r="L34" i="21" s="1"/>
  <c r="L31" i="16"/>
  <c r="M6" i="16"/>
  <c r="O15" i="21"/>
  <c r="P15" i="21" s="1"/>
  <c r="P15" i="4"/>
  <c r="N5" i="21"/>
  <c r="N29" i="16"/>
  <c r="N29" i="21" s="1"/>
  <c r="O14" i="21"/>
  <c r="P14" i="21" s="1"/>
  <c r="P14" i="4"/>
  <c r="P13" i="21"/>
  <c r="M55" i="4"/>
  <c r="M53" i="4"/>
  <c r="N34" i="4"/>
  <c r="N33" i="4"/>
  <c r="N54" i="4" s="1"/>
  <c r="N10" i="4"/>
  <c r="O18" i="4"/>
  <c r="O5" i="4" s="1"/>
  <c r="P13" i="4"/>
  <c r="L53" i="16" l="1"/>
  <c r="L52" i="21" s="1"/>
  <c r="P18" i="21"/>
  <c r="L54" i="16"/>
  <c r="L53" i="21" s="1"/>
  <c r="M6" i="21"/>
  <c r="M33" i="21" s="1"/>
  <c r="O18" i="21"/>
  <c r="M21" i="19"/>
  <c r="L33" i="21"/>
  <c r="M33" i="16"/>
  <c r="M54" i="16" s="1"/>
  <c r="M53" i="21" s="1"/>
  <c r="M34" i="16"/>
  <c r="M34" i="21" s="1"/>
  <c r="M31" i="16"/>
  <c r="M31" i="21" s="1"/>
  <c r="M10" i="16"/>
  <c r="N36" i="19"/>
  <c r="N41" i="19" s="1"/>
  <c r="L31" i="21"/>
  <c r="N6" i="16"/>
  <c r="M20" i="19"/>
  <c r="M22" i="19" s="1"/>
  <c r="M43" i="19" s="1"/>
  <c r="M45" i="19" s="1"/>
  <c r="O29" i="16"/>
  <c r="O29" i="21" s="1"/>
  <c r="O5" i="21"/>
  <c r="P18" i="4"/>
  <c r="P5" i="4"/>
  <c r="P19" i="4" s="1"/>
  <c r="N55" i="4"/>
  <c r="N53" i="4"/>
  <c r="O34" i="4"/>
  <c r="O33" i="4"/>
  <c r="O10" i="4"/>
  <c r="N21" i="19" l="1"/>
  <c r="N18" i="19"/>
  <c r="N20" i="19" s="1"/>
  <c r="N22" i="19" s="1"/>
  <c r="N43" i="19" s="1"/>
  <c r="N45" i="19" s="1"/>
  <c r="M10" i="21"/>
  <c r="N6" i="21"/>
  <c r="N10" i="21" s="1"/>
  <c r="O36" i="19"/>
  <c r="O41" i="19" s="1"/>
  <c r="O18" i="19" s="1"/>
  <c r="M53" i="16"/>
  <c r="M52" i="21" s="1"/>
  <c r="M55" i="16"/>
  <c r="M54" i="21" s="1"/>
  <c r="N33" i="16"/>
  <c r="N55" i="16" s="1"/>
  <c r="N54" i="21" s="1"/>
  <c r="N10" i="16"/>
  <c r="N31" i="16"/>
  <c r="P36" i="19" s="1"/>
  <c r="P41" i="19" s="1"/>
  <c r="P18" i="19" s="1"/>
  <c r="N34" i="16"/>
  <c r="N34" i="21" s="1"/>
  <c r="O6" i="16"/>
  <c r="P10" i="4"/>
  <c r="P34" i="4"/>
  <c r="O55" i="4"/>
  <c r="O53" i="4"/>
  <c r="O54" i="4"/>
  <c r="P46" i="4"/>
  <c r="P67" i="4" s="1"/>
  <c r="N33" i="21" l="1"/>
  <c r="O31" i="16"/>
  <c r="O33" i="16"/>
  <c r="O34" i="16"/>
  <c r="O21" i="19"/>
  <c r="O10" i="16"/>
  <c r="O34" i="21"/>
  <c r="P68" i="4"/>
  <c r="N53" i="16"/>
  <c r="N52" i="21" s="1"/>
  <c r="N31" i="21"/>
  <c r="N54" i="16"/>
  <c r="N53" i="21" s="1"/>
  <c r="O6" i="21"/>
  <c r="O10" i="21" s="1"/>
  <c r="O55" i="16"/>
  <c r="O54" i="21" s="1"/>
  <c r="O20" i="19"/>
  <c r="O22" i="19" s="1"/>
  <c r="O43" i="19" s="1"/>
  <c r="O45" i="19" s="1"/>
  <c r="P21" i="19"/>
  <c r="P52" i="4"/>
  <c r="P51" i="4"/>
  <c r="P53" i="4" s="1"/>
  <c r="O31" i="21" l="1"/>
  <c r="O33" i="21"/>
  <c r="O53" i="16"/>
  <c r="O52" i="21" s="1"/>
  <c r="Q36" i="19"/>
  <c r="Q41" i="19" s="1"/>
  <c r="Q18" i="19" s="1"/>
  <c r="O54" i="16"/>
  <c r="O53" i="21" s="1"/>
  <c r="P20" i="19"/>
  <c r="P22" i="19" s="1"/>
  <c r="P43" i="19" s="1"/>
  <c r="P45" i="19" s="1"/>
  <c r="P56" i="4"/>
  <c r="P57" i="4"/>
  <c r="P58" i="4"/>
  <c r="P55" i="4"/>
  <c r="P54" i="4"/>
  <c r="Q21" i="19" l="1"/>
  <c r="Q20" i="19"/>
  <c r="Q22" i="19" s="1"/>
  <c r="Q43" i="19" s="1"/>
  <c r="Q45" i="19" s="1"/>
  <c r="P74" i="4"/>
  <c r="P59" i="4"/>
  <c r="P72" i="4"/>
  <c r="P71" i="4"/>
  <c r="P75" i="4"/>
  <c r="P70" i="4"/>
  <c r="P73" i="4"/>
  <c r="P76" i="4" l="1"/>
  <c r="D5" i="16" l="1"/>
  <c r="D29" i="16" l="1"/>
  <c r="D5" i="21"/>
  <c r="D6" i="16" l="1"/>
  <c r="D29" i="21"/>
  <c r="D34" i="16" l="1"/>
  <c r="D34" i="21" s="1"/>
  <c r="D10" i="16"/>
  <c r="D33" i="16"/>
  <c r="D53" i="16" s="1"/>
  <c r="D52" i="21" s="1"/>
  <c r="D6" i="21"/>
  <c r="D10" i="21" s="1"/>
  <c r="E31" i="16"/>
  <c r="G36" i="19" s="1"/>
  <c r="G41" i="19" s="1"/>
  <c r="C5" i="16"/>
  <c r="C5" i="21" s="1"/>
  <c r="G21" i="19" l="1"/>
  <c r="G18" i="19"/>
  <c r="G20" i="19" s="1"/>
  <c r="G22" i="19" s="1"/>
  <c r="G43" i="19" s="1"/>
  <c r="G45" i="19" s="1"/>
  <c r="D54" i="16"/>
  <c r="D53" i="21" s="1"/>
  <c r="D55" i="16"/>
  <c r="D54" i="21" s="1"/>
  <c r="E31" i="21"/>
  <c r="D33" i="21"/>
  <c r="P29" i="16"/>
  <c r="P5" i="21"/>
  <c r="P5" i="16"/>
  <c r="C6" i="16"/>
  <c r="P19" i="16" l="1"/>
  <c r="P63" i="16" s="1"/>
  <c r="P29" i="21"/>
  <c r="C6" i="21"/>
  <c r="C33" i="21" s="1"/>
  <c r="C31" i="16"/>
  <c r="C31" i="21" s="1"/>
  <c r="P6" i="16"/>
  <c r="D31" i="16"/>
  <c r="P31" i="16" s="1"/>
  <c r="C33" i="16"/>
  <c r="C34" i="16"/>
  <c r="C34" i="21" s="1"/>
  <c r="C10" i="16"/>
  <c r="C10" i="21" l="1"/>
  <c r="P6" i="21"/>
  <c r="P30" i="16"/>
  <c r="P19" i="21"/>
  <c r="P10" i="16"/>
  <c r="P38" i="16" s="1"/>
  <c r="P10" i="21"/>
  <c r="P34" i="16"/>
  <c r="D31" i="21"/>
  <c r="P31" i="21" s="1"/>
  <c r="C53" i="16"/>
  <c r="C54" i="16"/>
  <c r="C55" i="16"/>
  <c r="F36" i="19"/>
  <c r="P37" i="21" l="1"/>
  <c r="P46" i="16"/>
  <c r="P39" i="16"/>
  <c r="P62" i="21"/>
  <c r="P34" i="21"/>
  <c r="R36" i="19"/>
  <c r="F41" i="19"/>
  <c r="P38" i="21" l="1"/>
  <c r="P46" i="21" s="1"/>
  <c r="P47" i="16"/>
  <c r="P52" i="16" s="1"/>
  <c r="P51" i="21" s="1"/>
  <c r="P42" i="21"/>
  <c r="P45" i="21"/>
  <c r="P43" i="16"/>
  <c r="T36" i="19"/>
  <c r="U36" i="19"/>
  <c r="P30" i="21"/>
  <c r="P64" i="16"/>
  <c r="R41" i="19"/>
  <c r="F21" i="19"/>
  <c r="P50" i="21" l="1"/>
  <c r="P51" i="16"/>
  <c r="T41" i="19"/>
  <c r="U41" i="19"/>
  <c r="P63" i="21"/>
  <c r="P67" i="16"/>
  <c r="P68" i="16" s="1"/>
  <c r="F20" i="19"/>
  <c r="R18" i="19"/>
  <c r="T18" i="19" s="1"/>
  <c r="P54" i="16" l="1"/>
  <c r="P58" i="16"/>
  <c r="P57" i="21" s="1"/>
  <c r="P57" i="16"/>
  <c r="P55" i="16"/>
  <c r="H3" i="3"/>
  <c r="M3" i="3" s="1"/>
  <c r="P53" i="16"/>
  <c r="P56" i="16"/>
  <c r="U18" i="19"/>
  <c r="P75" i="16"/>
  <c r="P74" i="21" s="1"/>
  <c r="P66" i="21"/>
  <c r="P67" i="21"/>
  <c r="M9" i="3"/>
  <c r="R20" i="19"/>
  <c r="T20" i="19" s="1"/>
  <c r="F22" i="19"/>
  <c r="F43" i="19" s="1"/>
  <c r="P59" i="16" l="1"/>
  <c r="P58" i="21" s="1"/>
  <c r="P70" i="16"/>
  <c r="P69" i="21" s="1"/>
  <c r="P52" i="21"/>
  <c r="P54" i="21"/>
  <c r="P72" i="16"/>
  <c r="P71" i="21" s="1"/>
  <c r="P71" i="16"/>
  <c r="P70" i="21" s="1"/>
  <c r="P53" i="21"/>
  <c r="P55" i="21"/>
  <c r="P73" i="16"/>
  <c r="P72" i="21" s="1"/>
  <c r="P56" i="21"/>
  <c r="P74" i="16"/>
  <c r="P73" i="21" s="1"/>
  <c r="R22" i="19"/>
  <c r="T22" i="19" s="1"/>
  <c r="T23" i="19" s="1"/>
  <c r="F45" i="19"/>
  <c r="P76" i="16" l="1"/>
  <c r="P75" i="21" s="1"/>
  <c r="H5" i="3"/>
  <c r="H7" i="3" s="1"/>
  <c r="H11" i="3" s="1"/>
  <c r="R43" i="19"/>
  <c r="T43" i="19" s="1"/>
  <c r="R45" i="19"/>
  <c r="H15" i="3" l="1"/>
  <c r="R4" i="4" l="1"/>
  <c r="R5" i="4"/>
  <c r="R6" i="4"/>
  <c r="R8" i="4"/>
  <c r="R9" i="4"/>
  <c r="R7" i="4"/>
  <c r="R10" i="4" l="1"/>
  <c r="R51" i="4" l="1"/>
  <c r="R56" i="4" l="1"/>
  <c r="R57" i="4"/>
  <c r="R53" i="4"/>
  <c r="R54" i="4"/>
  <c r="R55" i="4"/>
  <c r="R58" i="4"/>
  <c r="R74" i="4" l="1"/>
  <c r="R73" i="4"/>
  <c r="R75" i="4"/>
  <c r="R72" i="4"/>
  <c r="R71" i="4"/>
  <c r="R70" i="4"/>
  <c r="R76" i="4" l="1"/>
  <c r="C7" i="3" l="1"/>
  <c r="M5" i="3"/>
  <c r="C11" i="3" l="1"/>
  <c r="M7" i="3"/>
  <c r="C15" i="3" l="1"/>
  <c r="M15" i="3" s="1"/>
  <c r="M11" i="3"/>
</calcChain>
</file>

<file path=xl/comments1.xml><?xml version="1.0" encoding="utf-8"?>
<comments xmlns="http://schemas.openxmlformats.org/spreadsheetml/2006/main">
  <authors>
    <author>tc={1C3051BA-0A33-45E3-A98C-3C2A3CAC62B3}</author>
  </authors>
  <commentList>
    <comment ref="I25" author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start of Interest if loan starts in June to match timing of the 2024 Rate Case. </t>
        </r>
      </text>
    </comment>
  </commentList>
</comments>
</file>

<file path=xl/sharedStrings.xml><?xml version="1.0" encoding="utf-8"?>
<sst xmlns="http://schemas.openxmlformats.org/spreadsheetml/2006/main" count="470" uniqueCount="137">
  <si>
    <t>Budget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</si>
  <si>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</si>
  <si>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</si>
  <si>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</si>
  <si>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</si>
  <si>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</si>
  <si>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</si>
  <si>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</si>
  <si>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</si>
  <si>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</si>
  <si>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</si>
  <si>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</si>
  <si>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</si>
  <si>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</si>
  <si>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Common Equity</t>
  </si>
  <si>
    <t>Long Term Debt</t>
  </si>
  <si>
    <t>Short Term Debt</t>
  </si>
  <si>
    <t>Total</t>
  </si>
  <si>
    <t>Customer Deposits</t>
  </si>
  <si>
    <t>Tax Credits</t>
  </si>
  <si>
    <t>LTD Balances - Legacy</t>
  </si>
  <si>
    <t>Change in Weighted Average Cost of Capital</t>
  </si>
  <si>
    <t>2024 Adj. Rate Base</t>
  </si>
  <si>
    <t>Variance in Weighted Average Cost of Capital</t>
  </si>
  <si>
    <t>Adjustments</t>
  </si>
  <si>
    <t>Deferred Taxes</t>
  </si>
  <si>
    <t>13-mo</t>
  </si>
  <si>
    <t>average</t>
  </si>
  <si>
    <t xml:space="preserve">Per Books Equity Ratio </t>
  </si>
  <si>
    <t>Check</t>
  </si>
  <si>
    <t>$325M (5 Yrs)</t>
  </si>
  <si>
    <t>$300M (10 Yrs)</t>
  </si>
  <si>
    <t>$200M (30 Yrs)</t>
  </si>
  <si>
    <t>100M (30 Yrs 2024)</t>
  </si>
  <si>
    <t>Total LTD Balance</t>
  </si>
  <si>
    <t>LTD Interest Expense</t>
  </si>
  <si>
    <t>Legacy Debt</t>
  </si>
  <si>
    <t>12 Mo. Total</t>
  </si>
  <si>
    <t>Short-term rate</t>
  </si>
  <si>
    <t>Short-term interest expense</t>
  </si>
  <si>
    <t>Check to MFR</t>
  </si>
  <si>
    <t>Rate Case</t>
  </si>
  <si>
    <t>Scenario</t>
  </si>
  <si>
    <t>Change</t>
  </si>
  <si>
    <t>Requested Rate of Return</t>
  </si>
  <si>
    <t>N.O.I. Requirements</t>
  </si>
  <si>
    <t>Less: Adjusted N.O.I.</t>
  </si>
  <si>
    <t>N.O.I. Deficiency</t>
  </si>
  <si>
    <t>Expansion Factor</t>
  </si>
  <si>
    <t>Revenue Deficiency</t>
  </si>
  <si>
    <t>Short Term Loan</t>
  </si>
  <si>
    <t xml:space="preserve"> </t>
  </si>
  <si>
    <t>PULL FERC ACTUALS INTO IS</t>
  </si>
  <si>
    <t>Current</t>
  </si>
  <si>
    <t>Month</t>
  </si>
  <si>
    <t>12 Months Ended</t>
  </si>
  <si>
    <t>Operating Revenue</t>
  </si>
  <si>
    <t>Cost of Gas</t>
  </si>
  <si>
    <t>Net Revenue</t>
  </si>
  <si>
    <t>Operations &amp; Maintenance Expense</t>
  </si>
  <si>
    <t>Depreciation Expense</t>
  </si>
  <si>
    <t>Amort. - Leasehold Improvements</t>
  </si>
  <si>
    <t>Amort. - Acq. Adjustments</t>
  </si>
  <si>
    <t>Amort. - Other</t>
  </si>
  <si>
    <t>Taxes Other than Income</t>
  </si>
  <si>
    <t>Income taxes ATL - Federal &amp; State</t>
  </si>
  <si>
    <t>Def. Taxes - Federal  &amp; State</t>
  </si>
  <si>
    <t>Investment Tax Credits</t>
  </si>
  <si>
    <t>Total Other Oper. Income Deductions</t>
  </si>
  <si>
    <t>Net Utility Operating Income</t>
  </si>
  <si>
    <t>Other Income &amp; Deductions</t>
  </si>
  <si>
    <t>Mdse &amp; Jobbing Income (Expense)</t>
  </si>
  <si>
    <t>Interest &amp; Dividend Income</t>
  </si>
  <si>
    <t>Misc. Non-operating Income</t>
  </si>
  <si>
    <t>Equity Earnings - Subsidiary</t>
  </si>
  <si>
    <t>Misc. Income Deductions</t>
  </si>
  <si>
    <t>Allowance for Other Funds</t>
  </si>
  <si>
    <t>Income taxes BTL - Federal &amp; State</t>
  </si>
  <si>
    <t>Total Other Income &amp; Deductions</t>
  </si>
  <si>
    <t>Interest Expense</t>
  </si>
  <si>
    <t>Interest - L. T. Debt</t>
  </si>
  <si>
    <t>Interest - S. T. Debt</t>
  </si>
  <si>
    <t>Int. - Amort. - Disc. &amp; Expense</t>
  </si>
  <si>
    <t>Interest - Intercompany</t>
  </si>
  <si>
    <t>Interest - Deposits &amp; Other</t>
  </si>
  <si>
    <t>Allowance for Borrowed Funds</t>
  </si>
  <si>
    <t>Total Interest Expense</t>
  </si>
  <si>
    <t>Net Income</t>
  </si>
  <si>
    <t>PGA CLAUSE</t>
  </si>
  <si>
    <t>FUEL_FLADD_RC</t>
  </si>
  <si>
    <t>PGA O&amp;M Expense</t>
  </si>
  <si>
    <t>Empl Exp - Social/Civic Dues</t>
  </si>
  <si>
    <t>A_6030020</t>
  </si>
  <si>
    <t>Settled Empl Exp - Social/Civic Dues</t>
  </si>
  <si>
    <t>A_S6030020</t>
  </si>
  <si>
    <t>Donations - Charitable (501c)</t>
  </si>
  <si>
    <t>A_6790090</t>
  </si>
  <si>
    <t>Settled Donations - Charitable (501c)</t>
  </si>
  <si>
    <t>A_S6790090</t>
  </si>
  <si>
    <t>Donations - Non deductible</t>
  </si>
  <si>
    <t>A_6790091</t>
  </si>
  <si>
    <t>Settled Donations - Non deductible</t>
  </si>
  <si>
    <t>A_S6790091</t>
  </si>
  <si>
    <t>Donations - Other</t>
  </si>
  <si>
    <t>A_6790092</t>
  </si>
  <si>
    <t>Settled Donations - Other</t>
  </si>
  <si>
    <t>A_S6790092</t>
  </si>
  <si>
    <t>In-Kind Donations</t>
  </si>
  <si>
    <t>A_6790099</t>
  </si>
  <si>
    <t>Penalties</t>
  </si>
  <si>
    <t>A_6790200</t>
  </si>
  <si>
    <t>Political Contributions</t>
  </si>
  <si>
    <t>A_6790220</t>
  </si>
  <si>
    <t>Settled Political Contributions</t>
  </si>
  <si>
    <t>A_S6790220</t>
  </si>
  <si>
    <t xml:space="preserve">Lobbying Exp in Industry Dues </t>
  </si>
  <si>
    <t>ER_IND_DUE_BTL_1</t>
  </si>
  <si>
    <t>Remove from O&amp;M</t>
  </si>
  <si>
    <t>Total LTD Interest Expense</t>
  </si>
  <si>
    <t>Difference to Rate Case</t>
  </si>
  <si>
    <t>Adjusted Books</t>
  </si>
  <si>
    <t>Ratio %</t>
  </si>
  <si>
    <t>*Excludes impact of Interest sync and dividend timing</t>
  </si>
  <si>
    <t xml:space="preserve">Total LTD Interest Expense </t>
  </si>
  <si>
    <t>Short-term Interest Expense</t>
  </si>
  <si>
    <t>Retirement of Debt</t>
  </si>
  <si>
    <t>Old Monthly Interest</t>
  </si>
  <si>
    <t>100M (10 Yrs 2024)</t>
  </si>
  <si>
    <t>$___M (__ Yrs)</t>
  </si>
  <si>
    <t>$__M (___ Yrs)</t>
  </si>
  <si>
    <t>Per MFR D-02</t>
  </si>
  <si>
    <t>(JAN 2024 - DEC 2024)</t>
  </si>
  <si>
    <t>___M (30 Yrs 2024)</t>
  </si>
  <si>
    <t>$257M (30 Yrs)</t>
  </si>
  <si>
    <t>138M (30 Yrs 2024)</t>
  </si>
  <si>
    <t>Specific Adjustments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</si>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</sst>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mmmm\-yy"/>
    <numFmt numFmtId="168" formatCode="0.000%"/>
    <numFmt numFmtId="169" formatCode="#,##0;\(#,##0\)"/>
    <numFmt numFmtId="170" formatCode="_(* #,##0.000_);_(* \(#,##0.000\);_(* &quot;-&quot;??_);_(@_)"/>
    <numFmt numFmtId="171" formatCode="_(* #,##0.0000_);_(* \(#,##0.00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00FF"/>
      <name val="Arial"/>
      <family val="2"/>
    </font>
    <font>
      <sz val="12"/>
      <name val="SWISS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64" fontId="0" fillId="0" borderId="1" xfId="1" applyNumberFormat="1" applyFont="1" applyFill="1" applyBorder="1"/>
    <xf numFmtId="43" fontId="0" fillId="0" borderId="0" xfId="1" applyFont="1"/>
    <xf numFmtId="164" fontId="0" fillId="0" borderId="0" xfId="1" applyNumberFormat="1" applyFont="1" applyFill="1" applyBorder="1"/>
    <xf numFmtId="10" fontId="0" fillId="0" borderId="0" xfId="2" applyNumberFormat="1" applyFont="1" applyBorder="1"/>
    <xf numFmtId="10" fontId="0" fillId="0" borderId="0" xfId="0" applyNumberFormat="1"/>
    <xf numFmtId="164" fontId="0" fillId="0" borderId="0" xfId="1" applyNumberFormat="1" applyFont="1" applyBorder="1"/>
    <xf numFmtId="0" fontId="6" fillId="0" borderId="0" xfId="0" applyFont="1"/>
    <xf numFmtId="0" fontId="0" fillId="0" borderId="0" xfId="0" applyAlignment="1">
      <alignment horizontal="right"/>
    </xf>
    <xf numFmtId="164" fontId="0" fillId="0" borderId="5" xfId="1" applyNumberFormat="1" applyFont="1" applyFill="1" applyBorder="1"/>
    <xf numFmtId="0" fontId="0" fillId="0" borderId="3" xfId="0" applyBorder="1"/>
    <xf numFmtId="0" fontId="0" fillId="0" borderId="5" xfId="0" applyBorder="1" applyAlignment="1">
      <alignment horizontal="right"/>
    </xf>
    <xf numFmtId="0" fontId="0" fillId="0" borderId="5" xfId="0" applyBorder="1"/>
    <xf numFmtId="9" fontId="0" fillId="0" borderId="0" xfId="2" applyFont="1"/>
    <xf numFmtId="164" fontId="8" fillId="0" borderId="0" xfId="1" applyNumberFormat="1" applyFont="1" applyFill="1" applyBorder="1"/>
    <xf numFmtId="5" fontId="0" fillId="0" borderId="0" xfId="0" applyNumberFormat="1"/>
    <xf numFmtId="10" fontId="0" fillId="0" borderId="6" xfId="2" applyNumberFormat="1" applyFont="1" applyBorder="1"/>
    <xf numFmtId="10" fontId="0" fillId="0" borderId="5" xfId="2" applyNumberFormat="1" applyFont="1" applyBorder="1"/>
    <xf numFmtId="164" fontId="1" fillId="0" borderId="0" xfId="1" applyNumberFormat="1" applyFont="1" applyFill="1"/>
    <xf numFmtId="164" fontId="1" fillId="0" borderId="0" xfId="2" applyNumberFormat="1" applyFont="1" applyFill="1" applyBorder="1"/>
    <xf numFmtId="0" fontId="4" fillId="0" borderId="0" xfId="0" applyFont="1"/>
    <xf numFmtId="164" fontId="4" fillId="0" borderId="0" xfId="2" applyNumberFormat="1" applyFont="1" applyFill="1" applyBorder="1"/>
    <xf numFmtId="164" fontId="1" fillId="0" borderId="0" xfId="1" applyNumberFormat="1" applyFont="1" applyFill="1" applyBorder="1"/>
    <xf numFmtId="43" fontId="4" fillId="0" borderId="0" xfId="1" applyFont="1" applyFill="1" applyBorder="1"/>
    <xf numFmtId="10" fontId="0" fillId="0" borderId="0" xfId="2" applyNumberFormat="1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4" fontId="1" fillId="0" borderId="5" xfId="1" applyNumberFormat="1" applyFont="1" applyFill="1" applyBorder="1"/>
    <xf numFmtId="43" fontId="4" fillId="0" borderId="5" xfId="1" applyFont="1" applyFill="1" applyBorder="1"/>
    <xf numFmtId="164" fontId="0" fillId="0" borderId="5" xfId="1" applyNumberFormat="1" applyFont="1" applyBorder="1"/>
    <xf numFmtId="164" fontId="4" fillId="0" borderId="5" xfId="1" applyNumberFormat="1" applyFont="1" applyFill="1" applyBorder="1"/>
    <xf numFmtId="43" fontId="1" fillId="0" borderId="0" xfId="1" applyFont="1" applyFill="1" applyBorder="1"/>
    <xf numFmtId="164" fontId="0" fillId="0" borderId="0" xfId="2" applyNumberFormat="1" applyFont="1"/>
    <xf numFmtId="164" fontId="10" fillId="0" borderId="0" xfId="1" applyNumberFormat="1" applyFont="1" applyFill="1" applyBorder="1"/>
    <xf numFmtId="10" fontId="0" fillId="3" borderId="0" xfId="2" applyNumberFormat="1" applyFont="1" applyFill="1" applyBorder="1"/>
    <xf numFmtId="0" fontId="0" fillId="4" borderId="0" xfId="0" applyFill="1"/>
    <xf numFmtId="10" fontId="0" fillId="4" borderId="1" xfId="0" applyNumberFormat="1" applyFill="1" applyBorder="1"/>
    <xf numFmtId="10" fontId="9" fillId="5" borderId="0" xfId="2" applyNumberFormat="1" applyFont="1" applyFill="1" applyBorder="1"/>
    <xf numFmtId="10" fontId="9" fillId="5" borderId="0" xfId="2" applyNumberFormat="1" applyFont="1" applyFill="1"/>
    <xf numFmtId="10" fontId="9" fillId="5" borderId="5" xfId="2" applyNumberFormat="1" applyFont="1" applyFill="1" applyBorder="1"/>
    <xf numFmtId="164" fontId="0" fillId="0" borderId="8" xfId="1" applyNumberFormat="1" applyFont="1" applyBorder="1"/>
    <xf numFmtId="164" fontId="5" fillId="0" borderId="5" xfId="1" applyNumberFormat="1" applyFont="1" applyFill="1" applyBorder="1"/>
    <xf numFmtId="0" fontId="0" fillId="0" borderId="0" xfId="0" applyAlignment="1">
      <alignment horizontal="left" wrapText="1"/>
    </xf>
    <xf numFmtId="43" fontId="1" fillId="0" borderId="5" xfId="1" applyFont="1" applyFill="1" applyBorder="1"/>
    <xf numFmtId="0" fontId="0" fillId="4" borderId="5" xfId="0" applyFill="1" applyBorder="1"/>
    <xf numFmtId="43" fontId="0" fillId="0" borderId="0" xfId="1" applyFont="1" applyBorder="1"/>
    <xf numFmtId="10" fontId="8" fillId="0" borderId="5" xfId="2" applyNumberFormat="1" applyFont="1" applyFill="1" applyBorder="1"/>
    <xf numFmtId="10" fontId="8" fillId="0" borderId="0" xfId="0" applyNumberFormat="1" applyFont="1"/>
    <xf numFmtId="10" fontId="0" fillId="4" borderId="6" xfId="0" applyNumberFormat="1" applyFill="1" applyBorder="1"/>
    <xf numFmtId="164" fontId="9" fillId="5" borderId="0" xfId="1" applyNumberFormat="1" applyFont="1" applyFill="1"/>
    <xf numFmtId="164" fontId="9" fillId="5" borderId="0" xfId="2" applyNumberFormat="1" applyFont="1" applyFill="1" applyBorder="1"/>
    <xf numFmtId="164" fontId="9" fillId="0" borderId="0" xfId="2" applyNumberFormat="1" applyFont="1" applyFill="1" applyBorder="1"/>
    <xf numFmtId="43" fontId="0" fillId="0" borderId="0" xfId="1" applyFont="1" applyFill="1"/>
    <xf numFmtId="166" fontId="0" fillId="0" borderId="0" xfId="2" applyNumberFormat="1" applyFont="1" applyFill="1"/>
    <xf numFmtId="10" fontId="0" fillId="0" borderId="0" xfId="2" applyNumberFormat="1" applyFont="1" applyFill="1"/>
    <xf numFmtId="164" fontId="0" fillId="0" borderId="0" xfId="1" applyNumberFormat="1" applyFont="1" applyFill="1"/>
    <xf numFmtId="0" fontId="5" fillId="0" borderId="0" xfId="4"/>
    <xf numFmtId="0" fontId="5" fillId="0" borderId="0" xfId="4" applyAlignment="1">
      <alignment horizontal="center"/>
    </xf>
    <xf numFmtId="0" fontId="13" fillId="0" borderId="0" xfId="4" applyFont="1" applyAlignment="1">
      <alignment horizontal="left"/>
    </xf>
    <xf numFmtId="0" fontId="5" fillId="0" borderId="0" xfId="4" applyAlignment="1">
      <alignment horizontal="left"/>
    </xf>
    <xf numFmtId="0" fontId="14" fillId="0" borderId="0" xfId="4" applyFont="1" applyAlignment="1">
      <alignment horizontal="left"/>
    </xf>
    <xf numFmtId="43" fontId="0" fillId="0" borderId="0" xfId="5" applyFont="1" applyAlignment="1">
      <alignment horizontal="left"/>
    </xf>
    <xf numFmtId="164" fontId="0" fillId="0" borderId="0" xfId="5" applyNumberFormat="1" applyFont="1" applyAlignment="1">
      <alignment horizontal="centerContinuous"/>
    </xf>
    <xf numFmtId="164" fontId="0" fillId="7" borderId="0" xfId="5" applyNumberFormat="1" applyFont="1" applyFill="1" applyAlignment="1">
      <alignment horizontal="centerContinuous"/>
    </xf>
    <xf numFmtId="0" fontId="5" fillId="0" borderId="0" xfId="4" applyAlignment="1">
      <alignment horizontal="centerContinuous"/>
    </xf>
    <xf numFmtId="167" fontId="15" fillId="0" borderId="0" xfId="4" applyNumberFormat="1" applyFont="1" applyAlignment="1">
      <alignment horizontal="left"/>
    </xf>
    <xf numFmtId="164" fontId="0" fillId="0" borderId="0" xfId="5" applyNumberFormat="1" applyFont="1" applyFill="1" applyAlignment="1">
      <alignment horizontal="centerContinuous"/>
    </xf>
    <xf numFmtId="0" fontId="6" fillId="0" borderId="0" xfId="4" applyFont="1" applyAlignment="1">
      <alignment horizontal="center"/>
    </xf>
    <xf numFmtId="43" fontId="6" fillId="0" borderId="0" xfId="5" applyFont="1" applyAlignment="1">
      <alignment horizontal="center"/>
    </xf>
    <xf numFmtId="0" fontId="5" fillId="7" borderId="0" xfId="4" applyFill="1" applyAlignment="1">
      <alignment horizontal="left"/>
    </xf>
    <xf numFmtId="0" fontId="16" fillId="0" borderId="0" xfId="4" applyFont="1"/>
    <xf numFmtId="43" fontId="5" fillId="8" borderId="11" xfId="5" applyFont="1" applyFill="1" applyBorder="1" applyAlignment="1">
      <alignment horizontal="center"/>
    </xf>
    <xf numFmtId="0" fontId="5" fillId="7" borderId="12" xfId="4" applyFill="1" applyBorder="1" applyAlignment="1">
      <alignment horizontal="center"/>
    </xf>
    <xf numFmtId="17" fontId="5" fillId="8" borderId="13" xfId="4" applyNumberFormat="1" applyFill="1" applyBorder="1" applyAlignment="1">
      <alignment horizontal="center"/>
    </xf>
    <xf numFmtId="0" fontId="5" fillId="7" borderId="14" xfId="4" applyFill="1" applyBorder="1" applyAlignment="1">
      <alignment horizontal="center"/>
    </xf>
    <xf numFmtId="164" fontId="0" fillId="9" borderId="0" xfId="5" applyNumberFormat="1" applyFont="1" applyFill="1"/>
    <xf numFmtId="169" fontId="18" fillId="0" borderId="0" xfId="4" applyNumberFormat="1" applyFont="1"/>
    <xf numFmtId="169" fontId="5" fillId="7" borderId="0" xfId="4" applyNumberFormat="1" applyFill="1"/>
    <xf numFmtId="169" fontId="18" fillId="0" borderId="5" xfId="4" applyNumberFormat="1" applyFont="1" applyBorder="1"/>
    <xf numFmtId="169" fontId="5" fillId="7" borderId="5" xfId="4" applyNumberFormat="1" applyFill="1" applyBorder="1"/>
    <xf numFmtId="164" fontId="0" fillId="9" borderId="10" xfId="5" applyNumberFormat="1" applyFont="1" applyFill="1" applyBorder="1"/>
    <xf numFmtId="164" fontId="19" fillId="0" borderId="0" xfId="5" applyNumberFormat="1" applyFont="1" applyFill="1"/>
    <xf numFmtId="164" fontId="5" fillId="7" borderId="0" xfId="5" applyNumberFormat="1" applyFont="1" applyFill="1"/>
    <xf numFmtId="164" fontId="5" fillId="0" borderId="0" xfId="5" applyNumberFormat="1" applyFill="1"/>
    <xf numFmtId="164" fontId="18" fillId="0" borderId="0" xfId="8" applyNumberFormat="1" applyFont="1" applyFill="1"/>
    <xf numFmtId="164" fontId="5" fillId="7" borderId="0" xfId="8" applyNumberFormat="1" applyFont="1" applyFill="1"/>
    <xf numFmtId="164" fontId="18" fillId="0" borderId="5" xfId="5" applyNumberFormat="1" applyFont="1" applyFill="1" applyBorder="1"/>
    <xf numFmtId="164" fontId="5" fillId="7" borderId="5" xfId="5" applyNumberFormat="1" applyFont="1" applyFill="1" applyBorder="1"/>
    <xf numFmtId="164" fontId="0" fillId="9" borderId="15" xfId="5" applyNumberFormat="1" applyFont="1" applyFill="1" applyBorder="1"/>
    <xf numFmtId="164" fontId="19" fillId="0" borderId="15" xfId="5" applyNumberFormat="1" applyFont="1" applyFill="1" applyBorder="1"/>
    <xf numFmtId="164" fontId="5" fillId="7" borderId="15" xfId="5" applyNumberFormat="1" applyFont="1" applyFill="1" applyBorder="1"/>
    <xf numFmtId="0" fontId="12" fillId="0" borderId="0" xfId="4" applyFont="1"/>
    <xf numFmtId="169" fontId="19" fillId="0" borderId="0" xfId="4" quotePrefix="1" applyNumberFormat="1" applyFont="1"/>
    <xf numFmtId="164" fontId="18" fillId="0" borderId="0" xfId="5" applyNumberFormat="1" applyFont="1" applyFill="1"/>
    <xf numFmtId="43" fontId="19" fillId="0" borderId="15" xfId="5" applyFont="1" applyFill="1" applyBorder="1"/>
    <xf numFmtId="43" fontId="5" fillId="0" borderId="0" xfId="5" applyFill="1"/>
    <xf numFmtId="43" fontId="5" fillId="7" borderId="0" xfId="5" applyFont="1" applyFill="1"/>
    <xf numFmtId="164" fontId="0" fillId="9" borderId="8" xfId="5" applyNumberFormat="1" applyFont="1" applyFill="1" applyBorder="1"/>
    <xf numFmtId="164" fontId="19" fillId="0" borderId="8" xfId="5" applyNumberFormat="1" applyFont="1" applyFill="1" applyBorder="1"/>
    <xf numFmtId="164" fontId="5" fillId="7" borderId="8" xfId="5" applyNumberFormat="1" applyFont="1" applyFill="1" applyBorder="1"/>
    <xf numFmtId="164" fontId="5" fillId="0" borderId="0" xfId="5" applyNumberFormat="1" applyFont="1" applyFill="1" applyAlignment="1">
      <alignment horizontal="center"/>
    </xf>
    <xf numFmtId="43" fontId="5" fillId="0" borderId="0" xfId="5" applyFont="1" applyFill="1" applyAlignment="1">
      <alignment horizontal="center"/>
    </xf>
    <xf numFmtId="164" fontId="5" fillId="7" borderId="0" xfId="5" applyNumberFormat="1" applyFont="1" applyFill="1" applyAlignment="1">
      <alignment horizontal="center"/>
    </xf>
    <xf numFmtId="43" fontId="5" fillId="0" borderId="0" xfId="5" applyFont="1" applyAlignment="1">
      <alignment horizontal="center"/>
    </xf>
    <xf numFmtId="43" fontId="5" fillId="7" borderId="0" xfId="5" applyFont="1" applyFill="1" applyAlignment="1">
      <alignment horizontal="center"/>
    </xf>
    <xf numFmtId="0" fontId="6" fillId="0" borderId="16" xfId="4" applyFont="1" applyBorder="1"/>
    <xf numFmtId="0" fontId="20" fillId="0" borderId="0" xfId="4" applyFont="1" applyAlignment="1" applyProtection="1">
      <alignment horizontal="left"/>
      <protection locked="0"/>
    </xf>
    <xf numFmtId="43" fontId="18" fillId="7" borderId="0" xfId="8" applyFont="1" applyFill="1" applyAlignment="1">
      <alignment horizontal="center"/>
    </xf>
    <xf numFmtId="0" fontId="5" fillId="7" borderId="0" xfId="4" applyFill="1" applyAlignment="1">
      <alignment horizontal="center"/>
    </xf>
    <xf numFmtId="170" fontId="5" fillId="0" borderId="0" xfId="5" applyNumberFormat="1" applyFont="1" applyAlignment="1">
      <alignment horizontal="center"/>
    </xf>
    <xf numFmtId="170" fontId="5" fillId="7" borderId="0" xfId="5" applyNumberFormat="1" applyFont="1" applyFill="1" applyAlignment="1">
      <alignment horizontal="center"/>
    </xf>
    <xf numFmtId="49" fontId="10" fillId="0" borderId="0" xfId="5" applyNumberFormat="1" applyFont="1"/>
    <xf numFmtId="43" fontId="18" fillId="0" borderId="0" xfId="5" applyFont="1" applyAlignment="1">
      <alignment horizontal="center"/>
    </xf>
    <xf numFmtId="0" fontId="5" fillId="0" borderId="5" xfId="4" applyBorder="1"/>
    <xf numFmtId="0" fontId="6" fillId="0" borderId="5" xfId="4" applyFont="1" applyBorder="1" applyAlignment="1">
      <alignment horizontal="center"/>
    </xf>
    <xf numFmtId="43" fontId="18" fillId="0" borderId="5" xfId="5" applyFont="1" applyFill="1" applyBorder="1" applyAlignment="1">
      <alignment horizontal="center"/>
    </xf>
    <xf numFmtId="0" fontId="5" fillId="7" borderId="0" xfId="4" applyFill="1"/>
    <xf numFmtId="43" fontId="0" fillId="0" borderId="0" xfId="5" applyFont="1"/>
    <xf numFmtId="0" fontId="5" fillId="10" borderId="0" xfId="4" applyFill="1"/>
    <xf numFmtId="0" fontId="6" fillId="10" borderId="0" xfId="4" applyFont="1" applyFill="1" applyAlignment="1">
      <alignment horizontal="center"/>
    </xf>
    <xf numFmtId="164" fontId="0" fillId="10" borderId="0" xfId="5" applyNumberFormat="1" applyFont="1" applyFill="1"/>
    <xf numFmtId="169" fontId="18" fillId="10" borderId="0" xfId="4" applyNumberFormat="1" applyFont="1" applyFill="1"/>
    <xf numFmtId="164" fontId="0" fillId="0" borderId="0" xfId="5" applyNumberFormat="1" applyFont="1" applyFill="1"/>
    <xf numFmtId="166" fontId="0" fillId="6" borderId="6" xfId="2" applyNumberFormat="1" applyFont="1" applyFill="1" applyBorder="1"/>
    <xf numFmtId="0" fontId="5" fillId="3" borderId="0" xfId="4" applyFill="1"/>
    <xf numFmtId="0" fontId="6" fillId="3" borderId="0" xfId="4" applyFont="1" applyFill="1" applyAlignment="1">
      <alignment horizontal="center"/>
    </xf>
    <xf numFmtId="164" fontId="5" fillId="3" borderId="0" xfId="5" applyNumberFormat="1" applyFont="1" applyFill="1" applyAlignment="1">
      <alignment horizontal="center"/>
    </xf>
    <xf numFmtId="43" fontId="5" fillId="7" borderId="0" xfId="4" applyNumberFormat="1" applyFill="1" applyAlignment="1">
      <alignment horizontal="center"/>
    </xf>
    <xf numFmtId="0" fontId="2" fillId="0" borderId="0" xfId="0" applyFont="1"/>
    <xf numFmtId="164" fontId="2" fillId="0" borderId="0" xfId="1" applyNumberFormat="1" applyFont="1" applyFill="1" applyBorder="1"/>
    <xf numFmtId="0" fontId="0" fillId="0" borderId="17" xfId="0" applyBorder="1"/>
    <xf numFmtId="0" fontId="0" fillId="0" borderId="15" xfId="0" applyBorder="1"/>
    <xf numFmtId="164" fontId="1" fillId="0" borderId="15" xfId="1" applyNumberFormat="1" applyFont="1" applyFill="1" applyBorder="1"/>
    <xf numFmtId="164" fontId="1" fillId="0" borderId="18" xfId="1" applyNumberFormat="1" applyFont="1" applyFill="1" applyBorder="1"/>
    <xf numFmtId="0" fontId="4" fillId="0" borderId="17" xfId="0" applyFont="1" applyBorder="1"/>
    <xf numFmtId="164" fontId="10" fillId="0" borderId="15" xfId="1" applyNumberFormat="1" applyFont="1" applyFill="1" applyBorder="1"/>
    <xf numFmtId="164" fontId="0" fillId="0" borderId="18" xfId="1" applyNumberFormat="1" applyFont="1" applyFill="1" applyBorder="1"/>
    <xf numFmtId="10" fontId="0" fillId="6" borderId="6" xfId="2" applyNumberFormat="1" applyFont="1" applyFill="1" applyBorder="1"/>
    <xf numFmtId="10" fontId="5" fillId="0" borderId="0" xfId="2" applyNumberFormat="1" applyFont="1" applyFill="1"/>
    <xf numFmtId="164" fontId="5" fillId="0" borderId="0" xfId="1" applyNumberFormat="1" applyFont="1" applyFill="1" applyBorder="1"/>
    <xf numFmtId="165" fontId="5" fillId="0" borderId="0" xfId="2" applyNumberFormat="1" applyFont="1" applyBorder="1"/>
    <xf numFmtId="164" fontId="10" fillId="0" borderId="0" xfId="1" quotePrefix="1" applyNumberFormat="1" applyFont="1" applyFill="1" applyBorder="1"/>
    <xf numFmtId="164" fontId="9" fillId="5" borderId="5" xfId="2" applyNumberFormat="1" applyFont="1" applyFill="1" applyBorder="1"/>
    <xf numFmtId="10" fontId="0" fillId="4" borderId="0" xfId="2" applyNumberFormat="1" applyFont="1" applyFill="1" applyBorder="1"/>
    <xf numFmtId="43" fontId="0" fillId="0" borderId="0" xfId="0" applyNumberFormat="1"/>
    <xf numFmtId="164" fontId="0" fillId="0" borderId="20" xfId="1" applyNumberFormat="1" applyFont="1" applyBorder="1"/>
    <xf numFmtId="164" fontId="0" fillId="0" borderId="10" xfId="1" applyNumberFormat="1" applyFont="1" applyBorder="1"/>
    <xf numFmtId="10" fontId="0" fillId="4" borderId="5" xfId="0" applyNumberFormat="1" applyFill="1" applyBorder="1"/>
    <xf numFmtId="10" fontId="0" fillId="0" borderId="5" xfId="0" applyNumberFormat="1" applyBorder="1"/>
    <xf numFmtId="10" fontId="10" fillId="0" borderId="0" xfId="2" applyNumberFormat="1" applyFont="1" applyFill="1" applyBorder="1"/>
    <xf numFmtId="10" fontId="0" fillId="11" borderId="6" xfId="2" applyNumberFormat="1" applyFont="1" applyFill="1" applyBorder="1"/>
    <xf numFmtId="10" fontId="0" fillId="0" borderId="9" xfId="2" applyNumberFormat="1" applyFont="1" applyBorder="1"/>
    <xf numFmtId="168" fontId="0" fillId="0" borderId="0" xfId="0" applyNumberFormat="1"/>
    <xf numFmtId="170" fontId="0" fillId="0" borderId="0" xfId="1" applyNumberFormat="1" applyFont="1"/>
    <xf numFmtId="171" fontId="0" fillId="0" borderId="0" xfId="1" applyNumberFormat="1" applyFont="1"/>
    <xf numFmtId="168" fontId="1" fillId="0" borderId="0" xfId="2" applyNumberFormat="1" applyFont="1" applyFill="1" applyBorder="1"/>
    <xf numFmtId="164" fontId="1" fillId="5" borderId="0" xfId="2" applyNumberFormat="1" applyFont="1" applyFill="1" applyBorder="1"/>
    <xf numFmtId="7" fontId="0" fillId="0" borderId="0" xfId="0" applyNumberFormat="1"/>
    <xf numFmtId="0" fontId="0" fillId="0" borderId="0" xfId="0" applyAlignment="1">
      <alignment horizontal="center"/>
    </xf>
    <xf numFmtId="10" fontId="1" fillId="0" borderId="0" xfId="2" applyNumberFormat="1" applyFont="1" applyFill="1" applyBorder="1"/>
    <xf numFmtId="10" fontId="10" fillId="0" borderId="0" xfId="0" applyNumberFormat="1" applyFont="1"/>
    <xf numFmtId="164" fontId="1" fillId="2" borderId="0" xfId="1" applyNumberFormat="1" applyFont="1" applyFill="1" applyBorder="1"/>
    <xf numFmtId="164" fontId="9" fillId="0" borderId="5" xfId="2" applyNumberFormat="1" applyFont="1" applyFill="1" applyBorder="1"/>
    <xf numFmtId="43" fontId="0" fillId="0" borderId="5" xfId="1" applyFont="1" applyBorder="1"/>
    <xf numFmtId="0" fontId="20" fillId="0" borderId="0" xfId="0" applyFont="1" applyAlignment="1">
      <alignment horizontal="center"/>
    </xf>
    <xf numFmtId="0" fontId="20" fillId="0" borderId="19" xfId="0" applyFont="1" applyBorder="1" applyAlignment="1">
      <alignment horizontal="center"/>
    </xf>
    <xf numFmtId="17" fontId="20" fillId="0" borderId="0" xfId="0" quotePrefix="1" applyNumberFormat="1" applyFont="1" applyAlignment="1">
      <alignment horizontal="center"/>
    </xf>
    <xf numFmtId="0" fontId="10" fillId="0" borderId="0" xfId="0" applyFont="1"/>
    <xf numFmtId="0" fontId="10" fillId="0" borderId="19" xfId="0" applyFont="1" applyBorder="1"/>
    <xf numFmtId="164" fontId="10" fillId="0" borderId="19" xfId="1" applyNumberFormat="1" applyFont="1" applyFill="1" applyBorder="1"/>
    <xf numFmtId="164" fontId="10" fillId="0" borderId="0" xfId="0" applyNumberFormat="1" applyFont="1"/>
    <xf numFmtId="164" fontId="10" fillId="0" borderId="5" xfId="0" applyNumberFormat="1" applyFont="1" applyBorder="1"/>
    <xf numFmtId="164" fontId="10" fillId="0" borderId="5" xfId="1" applyNumberFormat="1" applyFont="1" applyFill="1" applyBorder="1"/>
    <xf numFmtId="164" fontId="10" fillId="0" borderId="7" xfId="1" applyNumberFormat="1" applyFont="1" applyFill="1" applyBorder="1"/>
    <xf numFmtId="164" fontId="10" fillId="0" borderId="10" xfId="1" applyNumberFormat="1" applyFont="1" applyFill="1" applyBorder="1"/>
    <xf numFmtId="164" fontId="21" fillId="0" borderId="0" xfId="2" applyNumberFormat="1" applyFont="1" applyFill="1" applyBorder="1"/>
    <xf numFmtId="164" fontId="21" fillId="0" borderId="5" xfId="2" applyNumberFormat="1" applyFont="1" applyFill="1" applyBorder="1"/>
    <xf numFmtId="10" fontId="10" fillId="3" borderId="19" xfId="2" applyNumberFormat="1" applyFont="1" applyFill="1" applyBorder="1"/>
    <xf numFmtId="164" fontId="10" fillId="0" borderId="0" xfId="2" applyNumberFormat="1" applyFont="1" applyFill="1" applyBorder="1"/>
    <xf numFmtId="43" fontId="10" fillId="0" borderId="0" xfId="1" applyFont="1" applyFill="1" applyBorder="1"/>
    <xf numFmtId="10" fontId="10" fillId="0" borderId="0" xfId="1" applyNumberFormat="1" applyFont="1" applyFill="1" applyBorder="1"/>
    <xf numFmtId="164" fontId="10" fillId="0" borderId="0" xfId="2" applyNumberFormat="1" applyFont="1"/>
    <xf numFmtId="43" fontId="10" fillId="0" borderId="0" xfId="1" applyFont="1" applyBorder="1"/>
    <xf numFmtId="43" fontId="10" fillId="0" borderId="0" xfId="1" applyFont="1"/>
    <xf numFmtId="43" fontId="10" fillId="0" borderId="19" xfId="1" applyFont="1" applyBorder="1"/>
    <xf numFmtId="10" fontId="10" fillId="4" borderId="15" xfId="0" applyNumberFormat="1" applyFont="1" applyFill="1" applyBorder="1"/>
    <xf numFmtId="10" fontId="10" fillId="4" borderId="5" xfId="0" applyNumberFormat="1" applyFont="1" applyFill="1" applyBorder="1"/>
    <xf numFmtId="10" fontId="10" fillId="4" borderId="21" xfId="0" applyNumberFormat="1" applyFont="1" applyFill="1" applyBorder="1"/>
    <xf numFmtId="0" fontId="10" fillId="0" borderId="5" xfId="0" applyFont="1" applyBorder="1"/>
    <xf numFmtId="166" fontId="10" fillId="6" borderId="23" xfId="2" applyNumberFormat="1" applyFont="1" applyFill="1" applyBorder="1"/>
    <xf numFmtId="10" fontId="10" fillId="0" borderId="0" xfId="2" applyNumberFormat="1" applyFont="1" applyBorder="1"/>
    <xf numFmtId="10" fontId="10" fillId="0" borderId="19" xfId="2" applyNumberFormat="1" applyFont="1" applyBorder="1"/>
    <xf numFmtId="10" fontId="10" fillId="0" borderId="7" xfId="2" applyNumberFormat="1" applyFont="1" applyBorder="1"/>
    <xf numFmtId="10" fontId="10" fillId="0" borderId="19" xfId="0" applyNumberFormat="1" applyFont="1" applyBorder="1"/>
    <xf numFmtId="10" fontId="10" fillId="0" borderId="22" xfId="2" applyNumberFormat="1" applyFont="1" applyBorder="1"/>
    <xf numFmtId="164" fontId="10" fillId="0" borderId="0" xfId="1" applyNumberFormat="1" applyFont="1"/>
    <xf numFmtId="0" fontId="10" fillId="0" borderId="2" xfId="0" applyFont="1" applyBorder="1"/>
    <xf numFmtId="10" fontId="10" fillId="0" borderId="0" xfId="2" applyNumberFormat="1" applyFont="1" applyFill="1"/>
    <xf numFmtId="10" fontId="10" fillId="0" borderId="5" xfId="2" applyNumberFormat="1" applyFont="1" applyFill="1" applyBorder="1"/>
    <xf numFmtId="164" fontId="5" fillId="0" borderId="0" xfId="1" applyNumberFormat="1" applyFont="1" applyBorder="1"/>
    <xf numFmtId="164" fontId="5" fillId="0" borderId="0" xfId="1" applyNumberFormat="1" applyFont="1" applyFill="1" applyAlignment="1">
      <alignment horizontal="center"/>
    </xf>
    <xf numFmtId="164" fontId="5" fillId="7" borderId="0" xfId="1" applyNumberFormat="1" applyFont="1" applyFill="1" applyAlignment="1">
      <alignment horizontal="center"/>
    </xf>
    <xf numFmtId="10" fontId="10" fillId="0" borderId="7" xfId="0" applyNumberFormat="1" applyFont="1" applyBorder="1"/>
    <xf numFmtId="169" fontId="17" fillId="0" borderId="0" xfId="4" applyNumberFormat="1" applyFont="1"/>
    <xf numFmtId="169" fontId="5" fillId="0" borderId="0" xfId="4" applyNumberFormat="1"/>
    <xf numFmtId="10" fontId="0" fillId="0" borderId="0" xfId="6" applyNumberFormat="1" applyFont="1" applyFill="1"/>
    <xf numFmtId="164" fontId="5" fillId="0" borderId="0" xfId="5" applyNumberFormat="1" applyFont="1" applyFill="1"/>
    <xf numFmtId="164" fontId="5" fillId="0" borderId="0" xfId="4" applyNumberFormat="1"/>
    <xf numFmtId="10" fontId="17" fillId="0" borderId="0" xfId="2" applyNumberFormat="1" applyFont="1" applyFill="1"/>
    <xf numFmtId="43" fontId="5" fillId="0" borderId="0" xfId="4" applyNumberFormat="1"/>
    <xf numFmtId="0" fontId="0" fillId="12" borderId="0" xfId="0" applyFill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9">
    <cellStyle name="Comma" xfId="1" builtinId="3"/>
    <cellStyle name="Comma 2" xfId="5"/>
    <cellStyle name="Comma 2 2" xfId="8"/>
    <cellStyle name="Normal" xfId="0" builtinId="0"/>
    <cellStyle name="Normal 11 2" xfId="3"/>
    <cellStyle name="Normal 2" xfId="4"/>
    <cellStyle name="Normal 3" xfId="7"/>
    <cellStyle name="Percent" xfId="2" builtinId="5"/>
    <cellStyle name="Percent 2" xfId="6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elley, Amanda M." id="{09E14D7F-6217-4399-AF16-2DFCC8601D20}" userId="S::AMKelley@tecoenergy.com::bb1a89fb-8deb-4e7d-b35b-dfed6f0282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5" dT="2023-04-28T19:39:35.67" personId="{09E14D7F-6217-4399-AF16-2DFCC8601D20}" id="{1C3051BA-0A33-45E3-A98C-3C2A3CAC62B3}">
    <text xml:space="preserve">Adjusted start of Interest if loan starts in June to match timing of the 2024 Rate Case.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workbookViewId="0">
      <selection sqref="A1:N20"/>
    </sheetView>
  </sheetViews>
  <sheetFormatPr defaultRowHeight="15"/>
  <cols>
    <col min="1" max="1" width="3.7109375" customWidth="1"/>
    <col min="2" max="2" width="23.5703125" customWidth="1"/>
    <col min="3" max="3" width="12.5703125" bestFit="1" customWidth="1"/>
    <col min="4" max="4" width="12" bestFit="1" customWidth="1"/>
    <col min="5" max="5" width="7.28515625" customWidth="1"/>
    <col min="6" max="6" width="3.7109375" customWidth="1"/>
    <col min="7" max="7" width="24.85546875" customWidth="1"/>
    <col min="8" max="8" width="11.7109375" bestFit="1" customWidth="1"/>
    <col min="9" max="9" width="10.7109375" customWidth="1"/>
    <col min="10" max="10" width="4.42578125" customWidth="1"/>
    <col min="11" max="11" width="3.7109375" customWidth="1"/>
    <col min="12" max="12" width="24.7109375" customWidth="1"/>
    <col min="13" max="13" width="12.5703125" bestFit="1" customWidth="1"/>
    <col min="18" max="18" width="9.5703125" bestFit="1" customWidth="1"/>
    <col min="20" max="20" width="21.7109375" bestFit="1" customWidth="1"/>
    <col min="21" max="21" width="20.85546875" bestFit="1" customWidth="1"/>
    <col min="23" max="23" width="12.7109375" bestFit="1" customWidth="1"/>
  </cols>
  <sheetData>
    <row r="1" spans="1:18" ht="15.75">
      <c r="A1" s="217" t="s">
        <v>41</v>
      </c>
      <c r="B1" s="217"/>
      <c r="C1" s="217"/>
      <c r="D1" s="217"/>
      <c r="F1" s="217" t="s">
        <v>42</v>
      </c>
      <c r="G1" s="217"/>
      <c r="H1" s="217"/>
      <c r="I1" s="217"/>
      <c r="K1" s="217" t="s">
        <v>43</v>
      </c>
      <c r="L1" s="217"/>
      <c r="M1" s="217"/>
      <c r="N1" s="217"/>
    </row>
    <row r="2" spans="1:18">
      <c r="A2" s="12" t="s">
        <v>21</v>
      </c>
      <c r="F2" s="218" t="s">
        <v>21</v>
      </c>
      <c r="G2" s="218"/>
      <c r="H2" s="218"/>
      <c r="I2" s="218"/>
      <c r="K2" s="12" t="s">
        <v>23</v>
      </c>
    </row>
    <row r="3" spans="1:18">
      <c r="A3" s="13"/>
      <c r="B3" s="48" t="s">
        <v>22</v>
      </c>
      <c r="C3" s="205">
        <v>2366788.4518541279</v>
      </c>
      <c r="F3" s="13"/>
      <c r="G3" s="48" t="s">
        <v>22</v>
      </c>
      <c r="H3" s="146">
        <f>Scenario!P51</f>
        <v>2366788.3902971656</v>
      </c>
      <c r="K3" s="13"/>
      <c r="L3" s="48" t="s">
        <v>22</v>
      </c>
      <c r="M3" s="146">
        <f>C3-H3</f>
        <v>6.1556962318718433E-2</v>
      </c>
    </row>
    <row r="4" spans="1:18">
      <c r="C4" s="173"/>
    </row>
    <row r="5" spans="1:18" ht="30">
      <c r="B5" s="48" t="s">
        <v>44</v>
      </c>
      <c r="C5" s="166">
        <v>7.4151777813719497E-2</v>
      </c>
      <c r="G5" s="48" t="s">
        <v>44</v>
      </c>
      <c r="H5" s="10">
        <f>Scenario!P76</f>
        <v>7.044834930709927E-2</v>
      </c>
      <c r="L5" s="48" t="s">
        <v>44</v>
      </c>
      <c r="M5" s="10">
        <f>C5-H5</f>
        <v>3.7034285066202266E-3</v>
      </c>
    </row>
    <row r="6" spans="1:18">
      <c r="C6" s="173"/>
    </row>
    <row r="7" spans="1:18">
      <c r="B7" t="s">
        <v>45</v>
      </c>
      <c r="C7" s="201">
        <f>ROUND(+C3*C5,0)</f>
        <v>175502</v>
      </c>
      <c r="G7" t="s">
        <v>45</v>
      </c>
      <c r="H7" s="3">
        <f>ROUND(+H3*H5,0)</f>
        <v>166736</v>
      </c>
      <c r="L7" t="s">
        <v>45</v>
      </c>
      <c r="M7" s="3">
        <f>C7-H7</f>
        <v>8766</v>
      </c>
    </row>
    <row r="8" spans="1:18">
      <c r="C8" s="173"/>
    </row>
    <row r="9" spans="1:18">
      <c r="B9" t="s">
        <v>46</v>
      </c>
      <c r="C9" s="47">
        <v>72337.24043783301</v>
      </c>
      <c r="G9" t="s">
        <v>46</v>
      </c>
      <c r="H9" s="47">
        <f>C9-'IncomeStmt Scenario'!T18/1000</f>
        <v>70160.446918612462</v>
      </c>
      <c r="L9" t="s">
        <v>46</v>
      </c>
      <c r="M9" s="47">
        <f>C9-H9</f>
        <v>2176.7935192205478</v>
      </c>
    </row>
    <row r="10" spans="1:18">
      <c r="C10" s="173"/>
    </row>
    <row r="11" spans="1:18">
      <c r="B11" t="s">
        <v>47</v>
      </c>
      <c r="C11" s="145">
        <f>C7-C9</f>
        <v>103164.75956216699</v>
      </c>
      <c r="G11" t="s">
        <v>47</v>
      </c>
      <c r="H11" s="145">
        <f>H7-H9</f>
        <v>96575.553081387538</v>
      </c>
      <c r="L11" t="s">
        <v>47</v>
      </c>
      <c r="M11" s="11">
        <f>C11-H11</f>
        <v>6589.2064807794522</v>
      </c>
      <c r="R11" s="150"/>
    </row>
    <row r="12" spans="1:18">
      <c r="C12" s="173"/>
    </row>
    <row r="13" spans="1:18">
      <c r="B13" t="s">
        <v>48</v>
      </c>
      <c r="C13" s="194">
        <v>1.35</v>
      </c>
      <c r="G13" t="s">
        <v>48</v>
      </c>
      <c r="H13" s="17">
        <f>C13</f>
        <v>1.35</v>
      </c>
      <c r="L13" t="s">
        <v>48</v>
      </c>
      <c r="M13" s="169">
        <f>H13</f>
        <v>1.35</v>
      </c>
    </row>
    <row r="15" spans="1:18" ht="15.75" thickBot="1">
      <c r="B15" t="s">
        <v>49</v>
      </c>
      <c r="C15" s="46">
        <f>ROUND(+C11*C13,0)</f>
        <v>139272</v>
      </c>
      <c r="G15" t="s">
        <v>49</v>
      </c>
      <c r="H15" s="46">
        <f>ROUND(+H11*H13,0)</f>
        <v>130377</v>
      </c>
      <c r="L15" t="s">
        <v>49</v>
      </c>
      <c r="M15" s="46">
        <f>C15-H15</f>
        <v>8895</v>
      </c>
      <c r="N15" s="5"/>
    </row>
    <row r="16" spans="1:18" ht="15.75" thickTop="1"/>
    <row r="17" spans="2:18">
      <c r="M17" s="150"/>
    </row>
    <row r="20" spans="2:18">
      <c r="B20" t="s">
        <v>122</v>
      </c>
    </row>
    <row r="21" spans="2:18">
      <c r="O21" s="219"/>
      <c r="P21" s="219"/>
      <c r="Q21" s="219"/>
      <c r="R21" s="219"/>
    </row>
  </sheetData>
  <mergeCells count="5">
    <mergeCell ref="F1:I1"/>
    <mergeCell ref="F2:I2"/>
    <mergeCell ref="A1:D1"/>
    <mergeCell ref="K1:N1"/>
    <mergeCell ref="O21:R21"/>
  </mergeCells>
  <pageMargins left="0.7" right="0.7" top="0.75" bottom="0.75" header="0.3" footer="0.3"/>
  <pageSetup scale="74" orientation="landscape" r:id="rId1"/>
  <customProperties>
    <customPr name="EpmWorksheetKeyString_GUID" r:id="rId2"/>
    <customPr name="FPMExcelClientCellBasedFunctionStatus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V86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0" sqref="B70:C70"/>
    </sheetView>
  </sheetViews>
  <sheetFormatPr defaultRowHeight="15"/>
  <cols>
    <col min="1" max="1" width="31.28515625" customWidth="1"/>
    <col min="2" max="2" width="6.42578125" customWidth="1"/>
    <col min="3" max="4" width="11.140625" bestFit="1" customWidth="1"/>
    <col min="5" max="15" width="13.28515625" bestFit="1" customWidth="1"/>
    <col min="16" max="16" width="14.5703125" bestFit="1" customWidth="1"/>
    <col min="17" max="17" width="2.140625" customWidth="1"/>
    <col min="18" max="18" width="19.5703125" customWidth="1"/>
    <col min="19" max="19" width="23.28515625" bestFit="1" customWidth="1"/>
    <col min="20" max="20" width="11" bestFit="1" customWidth="1"/>
  </cols>
  <sheetData>
    <row r="1" spans="1:19" s="1" customFormat="1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26</v>
      </c>
    </row>
    <row r="2" spans="1:19" s="1" customFormat="1">
      <c r="A2" s="1" t="s">
        <v>42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1" t="s">
        <v>27</v>
      </c>
    </row>
    <row r="4" spans="1:19">
      <c r="A4" t="s">
        <v>14</v>
      </c>
      <c r="C4" s="39">
        <v>1131344.2504286449</v>
      </c>
      <c r="D4" s="39">
        <v>1136822.2200582824</v>
      </c>
      <c r="E4" s="39">
        <v>1160078.2488628456</v>
      </c>
      <c r="F4" s="39">
        <v>1163517.8457402145</v>
      </c>
      <c r="G4" s="39">
        <v>1166377.543891673</v>
      </c>
      <c r="H4" s="39">
        <v>1188993.4067053772</v>
      </c>
      <c r="I4" s="39">
        <v>1189406.7854399902</v>
      </c>
      <c r="J4" s="39">
        <v>1189785.9540922099</v>
      </c>
      <c r="K4" s="39">
        <v>1215651.1537748084</v>
      </c>
      <c r="L4" s="39">
        <v>1215985.1551906161</v>
      </c>
      <c r="M4" s="39">
        <v>1216617.1102458611</v>
      </c>
      <c r="N4" s="39">
        <v>1252437.5507855485</v>
      </c>
      <c r="O4" s="39">
        <v>1256101.5729289269</v>
      </c>
      <c r="P4" s="8">
        <f t="shared" ref="P4:P9" si="0">AVERAGE(D4:O4,C4)</f>
        <v>1191009.1383188462</v>
      </c>
      <c r="Q4" s="8"/>
      <c r="R4" s="3"/>
      <c r="S4" s="5"/>
    </row>
    <row r="5" spans="1:19">
      <c r="A5" t="s">
        <v>15</v>
      </c>
      <c r="C5" s="176">
        <f t="shared" ref="C5" si="1">+C18</f>
        <v>825000</v>
      </c>
      <c r="D5" s="176">
        <f>+D18</f>
        <v>825000</v>
      </c>
      <c r="E5" s="176">
        <f>+E18</f>
        <v>825000</v>
      </c>
      <c r="F5" s="176">
        <f t="shared" ref="F5:O5" si="2">+F18</f>
        <v>825000</v>
      </c>
      <c r="G5" s="176">
        <f t="shared" si="2"/>
        <v>825000</v>
      </c>
      <c r="H5" s="176">
        <f t="shared" si="2"/>
        <v>825000</v>
      </c>
      <c r="I5" s="176">
        <f t="shared" si="2"/>
        <v>925000</v>
      </c>
      <c r="J5" s="176">
        <f t="shared" si="2"/>
        <v>925000</v>
      </c>
      <c r="K5" s="176">
        <f t="shared" si="2"/>
        <v>925000</v>
      </c>
      <c r="L5" s="176">
        <f t="shared" si="2"/>
        <v>925000</v>
      </c>
      <c r="M5" s="176">
        <f t="shared" si="2"/>
        <v>925000</v>
      </c>
      <c r="N5" s="176">
        <f t="shared" si="2"/>
        <v>925000</v>
      </c>
      <c r="O5" s="176">
        <f t="shared" si="2"/>
        <v>925000</v>
      </c>
      <c r="P5" s="8">
        <f t="shared" si="0"/>
        <v>878846.15384615387</v>
      </c>
      <c r="Q5" s="8"/>
      <c r="R5" s="3"/>
      <c r="S5" s="5"/>
    </row>
    <row r="6" spans="1:19" ht="15.75" customHeight="1">
      <c r="A6" t="s">
        <v>16</v>
      </c>
      <c r="C6" s="39">
        <f t="shared" ref="C6" si="3">C29</f>
        <v>107765.54957135534</v>
      </c>
      <c r="D6" s="39">
        <f>D29</f>
        <v>113573.86133633053</v>
      </c>
      <c r="E6" s="39">
        <f t="shared" ref="E6:O6" si="4">E29</f>
        <v>108081.66029193834</v>
      </c>
      <c r="F6" s="39">
        <f t="shared" si="4"/>
        <v>118845.55815136945</v>
      </c>
      <c r="G6" s="39">
        <f t="shared" si="4"/>
        <v>145010.30156472838</v>
      </c>
      <c r="H6" s="39">
        <f t="shared" si="4"/>
        <v>137421.2776044358</v>
      </c>
      <c r="I6" s="39">
        <f t="shared" si="4"/>
        <v>59815.061147584696</v>
      </c>
      <c r="J6" s="39">
        <f t="shared" si="4"/>
        <v>79909.165697083692</v>
      </c>
      <c r="K6" s="39">
        <f t="shared" si="4"/>
        <v>67611.707420851919</v>
      </c>
      <c r="L6" s="39">
        <f t="shared" si="4"/>
        <v>77202.479567692149</v>
      </c>
      <c r="M6" s="39">
        <f t="shared" si="4"/>
        <v>115175.20090690791</v>
      </c>
      <c r="N6" s="39">
        <f t="shared" si="4"/>
        <v>114279.49815324484</v>
      </c>
      <c r="O6" s="39">
        <f t="shared" si="4"/>
        <v>133569.82125053997</v>
      </c>
      <c r="P6" s="8">
        <f t="shared" si="0"/>
        <v>106020.08789723561</v>
      </c>
      <c r="Q6" s="8"/>
      <c r="R6" s="3"/>
      <c r="S6" s="5"/>
    </row>
    <row r="7" spans="1:19" ht="15.75" customHeight="1">
      <c r="A7" t="s">
        <v>18</v>
      </c>
      <c r="C7" s="39">
        <v>28997.7003</v>
      </c>
      <c r="D7" s="39">
        <v>28772.5</v>
      </c>
      <c r="E7" s="39">
        <v>28795.3</v>
      </c>
      <c r="F7" s="39">
        <v>28818</v>
      </c>
      <c r="G7" s="39">
        <v>28836.400000000001</v>
      </c>
      <c r="H7" s="39">
        <v>28854.7</v>
      </c>
      <c r="I7" s="39">
        <v>28873.1</v>
      </c>
      <c r="J7" s="39">
        <v>28891</v>
      </c>
      <c r="K7" s="39">
        <v>28908.899999999998</v>
      </c>
      <c r="L7" s="39">
        <v>28926.9</v>
      </c>
      <c r="M7" s="39">
        <v>28950.5</v>
      </c>
      <c r="N7" s="39">
        <v>28974.1</v>
      </c>
      <c r="O7" s="39">
        <v>28997.7</v>
      </c>
      <c r="P7" s="8">
        <f t="shared" si="0"/>
        <v>28892.061561538467</v>
      </c>
      <c r="Q7" s="8"/>
      <c r="R7" s="3"/>
      <c r="S7" s="5"/>
    </row>
    <row r="8" spans="1:19" ht="15.75" customHeight="1">
      <c r="A8" t="s">
        <v>25</v>
      </c>
      <c r="C8" s="39">
        <v>289117.19999999995</v>
      </c>
      <c r="D8" s="39">
        <v>290995.99999999994</v>
      </c>
      <c r="E8" s="39">
        <v>292482.59999999998</v>
      </c>
      <c r="F8" s="39">
        <v>295758.60000000003</v>
      </c>
      <c r="G8" s="39">
        <v>297424.69999999995</v>
      </c>
      <c r="H8" s="39">
        <v>299222.2</v>
      </c>
      <c r="I8" s="39">
        <v>301196.39999999997</v>
      </c>
      <c r="J8" s="39">
        <v>303067.2</v>
      </c>
      <c r="K8" s="39">
        <v>304999.49999999994</v>
      </c>
      <c r="L8" s="39">
        <v>307339.39999999997</v>
      </c>
      <c r="M8" s="39">
        <v>309378.59999999998</v>
      </c>
      <c r="N8" s="39">
        <v>311250.19999999995</v>
      </c>
      <c r="O8" s="39">
        <v>313204.09999999998</v>
      </c>
      <c r="P8" s="8">
        <f t="shared" si="0"/>
        <v>301187.4384615384</v>
      </c>
      <c r="Q8" s="8"/>
      <c r="R8" s="3"/>
      <c r="S8" s="5"/>
    </row>
    <row r="9" spans="1:19" ht="15.75" customHeight="1">
      <c r="A9" t="s">
        <v>19</v>
      </c>
      <c r="C9" s="178">
        <v>3313.3</v>
      </c>
      <c r="D9" s="178">
        <v>3313.3</v>
      </c>
      <c r="E9" s="178">
        <v>3313.3</v>
      </c>
      <c r="F9" s="178">
        <v>3313.3</v>
      </c>
      <c r="G9" s="178">
        <v>3313.3</v>
      </c>
      <c r="H9" s="178">
        <v>3313.3</v>
      </c>
      <c r="I9" s="178">
        <v>3313.3</v>
      </c>
      <c r="J9" s="178">
        <v>3313.3</v>
      </c>
      <c r="K9" s="178">
        <v>3313.3</v>
      </c>
      <c r="L9" s="178">
        <v>3313.3</v>
      </c>
      <c r="M9" s="178">
        <v>3313.3</v>
      </c>
      <c r="N9" s="178">
        <v>3313.3</v>
      </c>
      <c r="O9" s="178">
        <v>3313.3</v>
      </c>
      <c r="P9" s="14">
        <f t="shared" si="0"/>
        <v>3313.3000000000006</v>
      </c>
      <c r="Q9" s="8"/>
      <c r="R9" s="3"/>
      <c r="S9" s="5"/>
    </row>
    <row r="10" spans="1:19" ht="15.75" customHeight="1">
      <c r="A10" t="s">
        <v>17</v>
      </c>
      <c r="C10" s="8">
        <f t="shared" ref="C10" si="5">SUM(C4:C9)</f>
        <v>2385538.0003</v>
      </c>
      <c r="D10" s="8">
        <f>SUM(D4:D9)</f>
        <v>2398477.8813946126</v>
      </c>
      <c r="E10" s="8">
        <f t="shared" ref="E10:P10" si="6">SUM(E4:E9)</f>
        <v>2417751.1091547837</v>
      </c>
      <c r="F10" s="8">
        <f t="shared" si="6"/>
        <v>2435253.3038915838</v>
      </c>
      <c r="G10" s="8">
        <f t="shared" si="6"/>
        <v>2465962.2454564013</v>
      </c>
      <c r="H10" s="8">
        <f t="shared" si="6"/>
        <v>2482804.8843098134</v>
      </c>
      <c r="I10" s="8">
        <f t="shared" si="6"/>
        <v>2507604.6465875749</v>
      </c>
      <c r="J10" s="8">
        <f t="shared" si="6"/>
        <v>2529966.619789294</v>
      </c>
      <c r="K10" s="8">
        <f t="shared" si="6"/>
        <v>2545484.5611956599</v>
      </c>
      <c r="L10" s="8">
        <f t="shared" si="6"/>
        <v>2557767.2347583077</v>
      </c>
      <c r="M10" s="8">
        <f t="shared" si="6"/>
        <v>2598434.7111527692</v>
      </c>
      <c r="N10" s="8">
        <f t="shared" si="6"/>
        <v>2635254.6489387928</v>
      </c>
      <c r="O10" s="8">
        <f t="shared" si="6"/>
        <v>2660186.4941794672</v>
      </c>
      <c r="P10" s="8">
        <f t="shared" si="6"/>
        <v>2509268.1800853121</v>
      </c>
      <c r="Q10" s="8"/>
      <c r="R10" s="3"/>
      <c r="S10" s="5"/>
    </row>
    <row r="11" spans="1:19" ht="15.75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1"/>
    </row>
    <row r="12" spans="1:19">
      <c r="A12" s="15" t="s">
        <v>20</v>
      </c>
      <c r="C12" s="24">
        <v>568459.96913999994</v>
      </c>
      <c r="D12" s="24">
        <f>+C12</f>
        <v>568459.96913999994</v>
      </c>
      <c r="E12" s="24">
        <f>+D12</f>
        <v>568459.96913999994</v>
      </c>
      <c r="F12" s="24">
        <f t="shared" ref="F12:H12" si="7">+D12</f>
        <v>568459.96913999994</v>
      </c>
      <c r="G12" s="24">
        <f t="shared" si="7"/>
        <v>568459.96913999994</v>
      </c>
      <c r="H12" s="24">
        <f t="shared" si="7"/>
        <v>568459.96913999994</v>
      </c>
      <c r="I12" s="162">
        <f>+H12-S20</f>
        <v>530959.96913999994</v>
      </c>
      <c r="J12" s="162">
        <f>I12</f>
        <v>530959.96913999994</v>
      </c>
      <c r="K12" s="162">
        <f t="shared" ref="K12:O12" si="8">J12</f>
        <v>530959.96913999994</v>
      </c>
      <c r="L12" s="162">
        <f t="shared" si="8"/>
        <v>530959.96913999994</v>
      </c>
      <c r="M12" s="162">
        <f t="shared" si="8"/>
        <v>530959.96913999994</v>
      </c>
      <c r="N12" s="162">
        <f t="shared" si="8"/>
        <v>530959.96913999994</v>
      </c>
      <c r="O12" s="162">
        <f t="shared" si="8"/>
        <v>530959.96913999994</v>
      </c>
      <c r="P12" s="27">
        <f t="shared" ref="P12:P17" si="9">AVERAGE(D12:O12,C12)</f>
        <v>548267.66144769208</v>
      </c>
      <c r="Q12" s="27"/>
    </row>
    <row r="13" spans="1:19" s="25" customFormat="1">
      <c r="A13" s="30" t="s">
        <v>128</v>
      </c>
      <c r="C13" s="56"/>
      <c r="D13" s="56">
        <v>0</v>
      </c>
      <c r="E13" s="56">
        <f>D13</f>
        <v>0</v>
      </c>
      <c r="F13" s="56">
        <f t="shared" ref="F13:O13" si="10">E13</f>
        <v>0</v>
      </c>
      <c r="G13" s="56">
        <f t="shared" si="10"/>
        <v>0</v>
      </c>
      <c r="H13" s="56">
        <f t="shared" si="10"/>
        <v>0</v>
      </c>
      <c r="I13" s="56">
        <f t="shared" si="10"/>
        <v>0</v>
      </c>
      <c r="J13" s="56">
        <f t="shared" si="10"/>
        <v>0</v>
      </c>
      <c r="K13" s="56">
        <f t="shared" si="10"/>
        <v>0</v>
      </c>
      <c r="L13" s="56">
        <f t="shared" si="10"/>
        <v>0</v>
      </c>
      <c r="M13" s="56">
        <f t="shared" si="10"/>
        <v>0</v>
      </c>
      <c r="N13" s="56">
        <f t="shared" si="10"/>
        <v>0</v>
      </c>
      <c r="O13" s="56">
        <f t="shared" si="10"/>
        <v>0</v>
      </c>
      <c r="P13" s="57">
        <f t="shared" si="9"/>
        <v>0</v>
      </c>
      <c r="Q13" s="57"/>
    </row>
    <row r="14" spans="1:19" s="25" customFormat="1">
      <c r="A14" s="30" t="s">
        <v>129</v>
      </c>
      <c r="C14" s="55"/>
      <c r="D14" s="56">
        <f>C14</f>
        <v>0</v>
      </c>
      <c r="E14" s="56">
        <f t="shared" ref="E14:O16" si="11">D14</f>
        <v>0</v>
      </c>
      <c r="F14" s="56">
        <f t="shared" si="11"/>
        <v>0</v>
      </c>
      <c r="G14" s="56">
        <f t="shared" si="11"/>
        <v>0</v>
      </c>
      <c r="H14" s="56">
        <f t="shared" si="11"/>
        <v>0</v>
      </c>
      <c r="I14" s="56">
        <f t="shared" si="11"/>
        <v>0</v>
      </c>
      <c r="J14" s="56">
        <f t="shared" si="11"/>
        <v>0</v>
      </c>
      <c r="K14" s="56">
        <f t="shared" si="11"/>
        <v>0</v>
      </c>
      <c r="L14" s="56">
        <f t="shared" si="11"/>
        <v>0</v>
      </c>
      <c r="M14" s="56">
        <f t="shared" si="11"/>
        <v>0</v>
      </c>
      <c r="N14" s="56">
        <f t="shared" si="11"/>
        <v>0</v>
      </c>
      <c r="O14" s="56">
        <f t="shared" si="11"/>
        <v>0</v>
      </c>
      <c r="P14" s="57">
        <f t="shared" si="9"/>
        <v>0</v>
      </c>
      <c r="Q14" s="57"/>
    </row>
    <row r="15" spans="1:19" s="25" customFormat="1" ht="15.75" customHeight="1">
      <c r="A15" s="30" t="s">
        <v>133</v>
      </c>
      <c r="C15" s="56">
        <f>825000-C12</f>
        <v>256540.03086000006</v>
      </c>
      <c r="D15" s="56">
        <f>C15</f>
        <v>256540.03086000006</v>
      </c>
      <c r="E15" s="56">
        <f>D15</f>
        <v>256540.03086000006</v>
      </c>
      <c r="F15" s="56">
        <f t="shared" si="11"/>
        <v>256540.03086000006</v>
      </c>
      <c r="G15" s="56">
        <f t="shared" si="11"/>
        <v>256540.03086000006</v>
      </c>
      <c r="H15" s="56">
        <f t="shared" si="11"/>
        <v>256540.03086000006</v>
      </c>
      <c r="I15" s="56">
        <f t="shared" si="11"/>
        <v>256540.03086000006</v>
      </c>
      <c r="J15" s="56">
        <f t="shared" si="11"/>
        <v>256540.03086000006</v>
      </c>
      <c r="K15" s="56">
        <f t="shared" si="11"/>
        <v>256540.03086000006</v>
      </c>
      <c r="L15" s="56">
        <f t="shared" si="11"/>
        <v>256540.03086000006</v>
      </c>
      <c r="M15" s="56">
        <f t="shared" si="11"/>
        <v>256540.03086000006</v>
      </c>
      <c r="N15" s="56">
        <f t="shared" si="11"/>
        <v>256540.03086000006</v>
      </c>
      <c r="O15" s="56">
        <f t="shared" si="11"/>
        <v>256540.03086000006</v>
      </c>
      <c r="P15" s="57">
        <f t="shared" si="9"/>
        <v>256540.03086000014</v>
      </c>
      <c r="Q15" s="57"/>
    </row>
    <row r="16" spans="1:19" s="25" customFormat="1">
      <c r="A16" s="30" t="s">
        <v>134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f>925000-I15-I12-I17</f>
        <v>137500</v>
      </c>
      <c r="J16" s="56">
        <f>I16</f>
        <v>137500</v>
      </c>
      <c r="K16" s="56">
        <f t="shared" si="11"/>
        <v>137500</v>
      </c>
      <c r="L16" s="56">
        <f>K16</f>
        <v>137500</v>
      </c>
      <c r="M16" s="56">
        <f t="shared" si="11"/>
        <v>137500</v>
      </c>
      <c r="N16" s="56">
        <f t="shared" si="11"/>
        <v>137500</v>
      </c>
      <c r="O16" s="56">
        <f t="shared" si="11"/>
        <v>137500</v>
      </c>
      <c r="P16" s="57">
        <f t="shared" si="9"/>
        <v>74038.461538461532</v>
      </c>
      <c r="Q16" s="57"/>
    </row>
    <row r="17" spans="1:21" s="25" customFormat="1">
      <c r="A17" s="30" t="s">
        <v>132</v>
      </c>
      <c r="C17" s="148">
        <v>0</v>
      </c>
      <c r="D17" s="148">
        <v>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/>
      <c r="N17" s="148"/>
      <c r="O17" s="148"/>
      <c r="P17" s="168">
        <f t="shared" si="9"/>
        <v>0</v>
      </c>
      <c r="Q17" s="57"/>
    </row>
    <row r="18" spans="1:21" ht="12.75" customHeight="1">
      <c r="A18" t="s">
        <v>34</v>
      </c>
      <c r="C18" s="27">
        <f>SUM(C12:C17)</f>
        <v>825000</v>
      </c>
      <c r="D18" s="27">
        <f t="shared" ref="D18:O18" si="12">SUM(D12:D17)</f>
        <v>825000</v>
      </c>
      <c r="E18" s="27">
        <f t="shared" si="12"/>
        <v>825000</v>
      </c>
      <c r="F18" s="27">
        <f t="shared" si="12"/>
        <v>825000</v>
      </c>
      <c r="G18" s="27">
        <f t="shared" si="12"/>
        <v>825000</v>
      </c>
      <c r="H18" s="27">
        <f t="shared" si="12"/>
        <v>825000</v>
      </c>
      <c r="I18" s="27">
        <f t="shared" si="12"/>
        <v>925000</v>
      </c>
      <c r="J18" s="27">
        <f t="shared" si="12"/>
        <v>925000</v>
      </c>
      <c r="K18" s="27">
        <f t="shared" si="12"/>
        <v>925000</v>
      </c>
      <c r="L18" s="27">
        <f t="shared" si="12"/>
        <v>925000</v>
      </c>
      <c r="M18" s="27">
        <f t="shared" si="12"/>
        <v>925000</v>
      </c>
      <c r="N18" s="27">
        <f t="shared" si="12"/>
        <v>925000</v>
      </c>
      <c r="O18" s="27">
        <f t="shared" si="12"/>
        <v>925000</v>
      </c>
      <c r="P18" s="27">
        <f>SUM(P12:P17)</f>
        <v>878846.15384615376</v>
      </c>
      <c r="Q18" s="27"/>
    </row>
    <row r="19" spans="1:21" ht="15.75" customHeight="1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0">
        <f>+P27/P5</f>
        <v>4.6079839229367044E-2</v>
      </c>
      <c r="Q19" s="29"/>
      <c r="R19" s="3"/>
      <c r="S19" t="s">
        <v>125</v>
      </c>
      <c r="T19" t="s">
        <v>126</v>
      </c>
    </row>
    <row r="20" spans="1:21">
      <c r="A20" s="15" t="s">
        <v>35</v>
      </c>
      <c r="C20" s="165"/>
      <c r="D20" s="26"/>
      <c r="E20" s="37"/>
      <c r="F20" s="37"/>
      <c r="G20" s="37"/>
      <c r="H20" s="161"/>
      <c r="I20" s="37"/>
      <c r="J20" s="37"/>
      <c r="K20" s="37"/>
      <c r="L20" s="37"/>
      <c r="M20" s="37"/>
      <c r="N20" s="37"/>
      <c r="O20" s="37"/>
      <c r="P20" s="8" t="s">
        <v>37</v>
      </c>
      <c r="Q20" s="8"/>
      <c r="S20" s="3">
        <v>37500</v>
      </c>
      <c r="T20" s="163">
        <v>130.55304398760967</v>
      </c>
      <c r="U20" t="s">
        <v>130</v>
      </c>
    </row>
    <row r="21" spans="1:21">
      <c r="A21" s="15" t="s">
        <v>36</v>
      </c>
      <c r="B21" s="10">
        <v>4.0399999999999998E-2</v>
      </c>
      <c r="C21" s="39">
        <v>1916.9</v>
      </c>
      <c r="D21" s="24">
        <f>+C21</f>
        <v>1916.9</v>
      </c>
      <c r="E21" s="24">
        <f>+D21</f>
        <v>1916.9</v>
      </c>
      <c r="F21" s="24">
        <f t="shared" ref="F21:O21" si="13">+E21</f>
        <v>1916.9</v>
      </c>
      <c r="G21" s="24">
        <f t="shared" si="13"/>
        <v>1916.9</v>
      </c>
      <c r="H21" s="24">
        <f t="shared" si="13"/>
        <v>1916.9</v>
      </c>
      <c r="I21" s="24">
        <f>+H21</f>
        <v>1916.9</v>
      </c>
      <c r="J21" s="162">
        <f>I21-T20</f>
        <v>1786.3469560123904</v>
      </c>
      <c r="K21" s="162">
        <f t="shared" si="13"/>
        <v>1786.3469560123904</v>
      </c>
      <c r="L21" s="162">
        <f t="shared" si="13"/>
        <v>1786.3469560123904</v>
      </c>
      <c r="M21" s="162">
        <f t="shared" si="13"/>
        <v>1786.3469560123904</v>
      </c>
      <c r="N21" s="162">
        <f t="shared" si="13"/>
        <v>1786.3469560123904</v>
      </c>
      <c r="O21" s="162">
        <f t="shared" si="13"/>
        <v>1786.3469560123904</v>
      </c>
      <c r="P21" s="8">
        <f>SUM(D21:O21)</f>
        <v>22219.481736074347</v>
      </c>
      <c r="Q21" s="8"/>
    </row>
    <row r="22" spans="1:21" s="25" customFormat="1">
      <c r="A22" s="30" t="str">
        <f t="shared" ref="A22:A23" si="14">A13</f>
        <v>$___M (__ Yrs)</v>
      </c>
      <c r="B22" s="44"/>
      <c r="C22" s="23">
        <f>+C13*$B22/12</f>
        <v>0</v>
      </c>
      <c r="D22" s="24">
        <f t="shared" ref="D22:O22" si="15">+D13*$B22/12</f>
        <v>0</v>
      </c>
      <c r="E22" s="24">
        <f t="shared" si="15"/>
        <v>0</v>
      </c>
      <c r="F22" s="24">
        <f t="shared" si="15"/>
        <v>0</v>
      </c>
      <c r="G22" s="24">
        <f t="shared" si="15"/>
        <v>0</v>
      </c>
      <c r="H22" s="24">
        <f t="shared" si="15"/>
        <v>0</v>
      </c>
      <c r="I22" s="24">
        <f t="shared" si="15"/>
        <v>0</v>
      </c>
      <c r="J22" s="24">
        <f t="shared" si="15"/>
        <v>0</v>
      </c>
      <c r="K22" s="24">
        <f t="shared" si="15"/>
        <v>0</v>
      </c>
      <c r="L22" s="24">
        <f t="shared" si="15"/>
        <v>0</v>
      </c>
      <c r="M22" s="24">
        <f t="shared" si="15"/>
        <v>0</v>
      </c>
      <c r="N22" s="24">
        <f t="shared" si="15"/>
        <v>0</v>
      </c>
      <c r="O22" s="24">
        <f t="shared" si="15"/>
        <v>0</v>
      </c>
      <c r="P22" s="8">
        <f t="shared" ref="P22:P26" si="16">SUM(D22:O22)</f>
        <v>0</v>
      </c>
      <c r="Q22" s="8"/>
    </row>
    <row r="23" spans="1:21" s="25" customFormat="1">
      <c r="A23" s="30" t="str">
        <f t="shared" si="14"/>
        <v>$__M (___ Yrs)</v>
      </c>
      <c r="B23" s="44"/>
      <c r="C23" s="23">
        <f t="shared" ref="C23" si="17">+C14*$B23/12</f>
        <v>0</v>
      </c>
      <c r="D23" s="24">
        <f t="shared" ref="D23:O23" si="18">+D14*$B23/12</f>
        <v>0</v>
      </c>
      <c r="E23" s="24">
        <f t="shared" si="18"/>
        <v>0</v>
      </c>
      <c r="F23" s="24">
        <f t="shared" si="18"/>
        <v>0</v>
      </c>
      <c r="G23" s="24">
        <f t="shared" si="18"/>
        <v>0</v>
      </c>
      <c r="H23" s="24">
        <f t="shared" si="18"/>
        <v>0</v>
      </c>
      <c r="I23" s="24">
        <f t="shared" si="18"/>
        <v>0</v>
      </c>
      <c r="J23" s="24">
        <f t="shared" si="18"/>
        <v>0</v>
      </c>
      <c r="K23" s="24">
        <f t="shared" si="18"/>
        <v>0</v>
      </c>
      <c r="L23" s="24">
        <f t="shared" si="18"/>
        <v>0</v>
      </c>
      <c r="M23" s="24">
        <f t="shared" si="18"/>
        <v>0</v>
      </c>
      <c r="N23" s="24">
        <f t="shared" si="18"/>
        <v>0</v>
      </c>
      <c r="O23" s="24">
        <f t="shared" si="18"/>
        <v>0</v>
      </c>
      <c r="P23" s="8">
        <f t="shared" si="16"/>
        <v>0</v>
      </c>
      <c r="Q23" s="8"/>
    </row>
    <row r="24" spans="1:21" s="25" customFormat="1" ht="15.75" customHeight="1">
      <c r="A24" s="30" t="str">
        <f>A15</f>
        <v>$257M (30 Yrs)</v>
      </c>
      <c r="B24" s="44">
        <v>5.6399999999999999E-2</v>
      </c>
      <c r="C24" s="23">
        <f t="shared" ref="C24" si="19">+C15*$B24/12</f>
        <v>1205.7381450420003</v>
      </c>
      <c r="D24" s="24">
        <f t="shared" ref="D24:O24" si="20">+D15*$B24/12</f>
        <v>1205.7381450420003</v>
      </c>
      <c r="E24" s="24">
        <f t="shared" si="20"/>
        <v>1205.7381450420003</v>
      </c>
      <c r="F24" s="24">
        <f t="shared" si="20"/>
        <v>1205.7381450420003</v>
      </c>
      <c r="G24" s="24">
        <f t="shared" si="20"/>
        <v>1205.7381450420003</v>
      </c>
      <c r="H24" s="24">
        <f t="shared" si="20"/>
        <v>1205.7381450420003</v>
      </c>
      <c r="I24" s="24">
        <f t="shared" si="20"/>
        <v>1205.7381450420003</v>
      </c>
      <c r="J24" s="24">
        <f t="shared" si="20"/>
        <v>1205.7381450420003</v>
      </c>
      <c r="K24" s="24">
        <f t="shared" si="20"/>
        <v>1205.7381450420003</v>
      </c>
      <c r="L24" s="24">
        <f t="shared" si="20"/>
        <v>1205.7381450420003</v>
      </c>
      <c r="M24" s="24">
        <f>+M15*$B24/12</f>
        <v>1205.7381450420003</v>
      </c>
      <c r="N24" s="24">
        <f t="shared" si="20"/>
        <v>1205.7381450420003</v>
      </c>
      <c r="O24" s="24">
        <f t="shared" si="20"/>
        <v>1205.7381450420003</v>
      </c>
      <c r="P24" s="8">
        <f t="shared" si="16"/>
        <v>14468.857740504</v>
      </c>
      <c r="Q24" s="8"/>
    </row>
    <row r="25" spans="1:21" s="25" customFormat="1">
      <c r="A25" s="30" t="str">
        <f t="shared" ref="A25:A26" si="21">A16</f>
        <v>138M (30 Yrs 2024)</v>
      </c>
      <c r="B25" s="43">
        <v>5.5399999999999998E-2</v>
      </c>
      <c r="C25" s="28">
        <v>0</v>
      </c>
      <c r="D25" s="37">
        <f>+D16*$B25/12</f>
        <v>0</v>
      </c>
      <c r="E25" s="37">
        <f>+E16*$B25/12</f>
        <v>0</v>
      </c>
      <c r="F25" s="37">
        <f>+F16*$B25/12</f>
        <v>0</v>
      </c>
      <c r="G25" s="37">
        <f>+G16*$B25/12</f>
        <v>0</v>
      </c>
      <c r="H25" s="37">
        <f>+H16*$B25/12</f>
        <v>0</v>
      </c>
      <c r="I25" s="167">
        <f>IF(I16&gt;H16,+I16*$B25/12*0,+I16*$B25/12)</f>
        <v>0</v>
      </c>
      <c r="J25" s="27">
        <f t="shared" ref="J25:O26" si="22">+J16*$B25/12</f>
        <v>634.79166666666663</v>
      </c>
      <c r="K25" s="27">
        <f t="shared" si="22"/>
        <v>634.79166666666663</v>
      </c>
      <c r="L25" s="27">
        <f t="shared" si="22"/>
        <v>634.79166666666663</v>
      </c>
      <c r="M25" s="27">
        <f>+M16*$B25/12</f>
        <v>634.79166666666663</v>
      </c>
      <c r="N25" s="27">
        <f t="shared" si="22"/>
        <v>634.79166666666663</v>
      </c>
      <c r="O25" s="27">
        <f t="shared" si="22"/>
        <v>634.79166666666663</v>
      </c>
      <c r="P25" s="8">
        <f t="shared" si="16"/>
        <v>3808.7499999999995</v>
      </c>
      <c r="Q25" s="8"/>
    </row>
    <row r="26" spans="1:21" s="25" customFormat="1">
      <c r="A26" s="30" t="str">
        <f t="shared" si="21"/>
        <v>___M (30 Yrs 2024)</v>
      </c>
      <c r="B26" s="45">
        <v>5.5300000000000002E-2</v>
      </c>
      <c r="C26" s="34"/>
      <c r="D26" s="27">
        <f t="shared" ref="D26:I26" si="23">+D17*$B26/12</f>
        <v>0</v>
      </c>
      <c r="E26" s="27">
        <f t="shared" si="23"/>
        <v>0</v>
      </c>
      <c r="F26" s="27">
        <f t="shared" si="23"/>
        <v>0</v>
      </c>
      <c r="G26" s="27">
        <f t="shared" si="23"/>
        <v>0</v>
      </c>
      <c r="H26" s="27">
        <f t="shared" si="23"/>
        <v>0</v>
      </c>
      <c r="I26" s="27">
        <f t="shared" si="23"/>
        <v>0</v>
      </c>
      <c r="J26" s="27">
        <f>+J17*$B26/12</f>
        <v>0</v>
      </c>
      <c r="K26" s="27">
        <f t="shared" si="22"/>
        <v>0</v>
      </c>
      <c r="L26" s="27">
        <f t="shared" si="22"/>
        <v>0</v>
      </c>
      <c r="M26" s="27">
        <f t="shared" si="22"/>
        <v>0</v>
      </c>
      <c r="N26" s="27">
        <f t="shared" si="22"/>
        <v>0</v>
      </c>
      <c r="O26" s="27">
        <f t="shared" si="22"/>
        <v>0</v>
      </c>
      <c r="P26" s="14">
        <f t="shared" si="16"/>
        <v>0</v>
      </c>
      <c r="Q26" s="8"/>
    </row>
    <row r="27" spans="1:21" ht="12.75" customHeight="1">
      <c r="A27" s="136" t="s">
        <v>118</v>
      </c>
      <c r="B27" s="137"/>
      <c r="C27" s="138">
        <f t="shared" ref="C27:N27" si="24">SUM(C20:C26)</f>
        <v>3122.6381450420004</v>
      </c>
      <c r="D27" s="138">
        <f t="shared" si="24"/>
        <v>3122.6381450420004</v>
      </c>
      <c r="E27" s="138">
        <f t="shared" si="24"/>
        <v>3122.6381450420004</v>
      </c>
      <c r="F27" s="138">
        <f t="shared" si="24"/>
        <v>3122.6381450420004</v>
      </c>
      <c r="G27" s="138">
        <f t="shared" si="24"/>
        <v>3122.6381450420004</v>
      </c>
      <c r="H27" s="138">
        <f t="shared" si="24"/>
        <v>3122.6381450420004</v>
      </c>
      <c r="I27" s="138">
        <f t="shared" si="24"/>
        <v>3122.6381450420004</v>
      </c>
      <c r="J27" s="138">
        <f t="shared" si="24"/>
        <v>3626.8767677210571</v>
      </c>
      <c r="K27" s="138">
        <f t="shared" si="24"/>
        <v>3626.8767677210571</v>
      </c>
      <c r="L27" s="138">
        <f t="shared" si="24"/>
        <v>3626.8767677210571</v>
      </c>
      <c r="M27" s="138">
        <f t="shared" si="24"/>
        <v>3626.8767677210571</v>
      </c>
      <c r="N27" s="138">
        <f t="shared" si="24"/>
        <v>3626.8767677210571</v>
      </c>
      <c r="O27" s="138">
        <f>SUM(O20:O26)</f>
        <v>3626.8767677210571</v>
      </c>
      <c r="P27" s="139">
        <f>SUM(P20:P26)</f>
        <v>40497.089476578345</v>
      </c>
      <c r="Q27" s="27"/>
    </row>
    <row r="28" spans="1:21" ht="15.75" customHeight="1">
      <c r="C28" s="2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3"/>
    </row>
    <row r="29" spans="1:21" ht="15.75" customHeight="1">
      <c r="A29" s="25" t="s">
        <v>50</v>
      </c>
      <c r="C29" s="147">
        <f>'Rate Case'!C5+'Rate Case'!C6-C18</f>
        <v>107765.54957135534</v>
      </c>
      <c r="D29" s="147">
        <f>'Rate Case'!D5+'Rate Case'!D6-D18</f>
        <v>113573.86133633053</v>
      </c>
      <c r="E29" s="39">
        <f>'Rate Case'!E5+'Rate Case'!E6-E18</f>
        <v>108081.66029193834</v>
      </c>
      <c r="F29" s="39">
        <f>'Rate Case'!F5+'Rate Case'!F6-F18</f>
        <v>118845.55815136945</v>
      </c>
      <c r="G29" s="39">
        <f>'Rate Case'!G5+'Rate Case'!G6-G18</f>
        <v>145010.30156472838</v>
      </c>
      <c r="H29" s="39">
        <f>'Rate Case'!H5+'Rate Case'!H6-H18</f>
        <v>137421.2776044358</v>
      </c>
      <c r="I29" s="39">
        <f>'Rate Case'!I5+'Rate Case'!I6-I18</f>
        <v>59815.061147584696</v>
      </c>
      <c r="J29" s="39">
        <f>'Rate Case'!J5+'Rate Case'!J6-J18</f>
        <v>79909.165697083692</v>
      </c>
      <c r="K29" s="39">
        <f>'Rate Case'!K5+'Rate Case'!K6-K18</f>
        <v>67611.707420851919</v>
      </c>
      <c r="L29" s="39">
        <f>'Rate Case'!L5+'Rate Case'!L6-L18</f>
        <v>77202.479567692149</v>
      </c>
      <c r="M29" s="39">
        <f>'Rate Case'!M5+'Rate Case'!M6-M18</f>
        <v>115175.20090690791</v>
      </c>
      <c r="N29" s="39">
        <f>'Rate Case'!N5+'Rate Case'!N6-N18</f>
        <v>114279.49815324484</v>
      </c>
      <c r="O29" s="39">
        <f>'Rate Case'!O5+'Rate Case'!O6-O18</f>
        <v>133569.82125053997</v>
      </c>
      <c r="P29" s="8">
        <f>AVERAGE(D29:O29,C29)</f>
        <v>106020.08789723561</v>
      </c>
      <c r="Q29" s="8"/>
      <c r="R29" s="3"/>
    </row>
    <row r="30" spans="1:21" ht="15.75" customHeight="1">
      <c r="A30" s="25" t="s">
        <v>38</v>
      </c>
      <c r="C30" s="43">
        <f>0.0463/12</f>
        <v>3.8583333333333334E-3</v>
      </c>
      <c r="D30" s="43">
        <f>0.042/12</f>
        <v>3.5000000000000001E-3</v>
      </c>
      <c r="E30" s="155">
        <f>D30</f>
        <v>3.5000000000000001E-3</v>
      </c>
      <c r="F30" s="155">
        <f>E30</f>
        <v>3.5000000000000001E-3</v>
      </c>
      <c r="G30" s="43">
        <f>0.0391/12</f>
        <v>3.2583333333333336E-3</v>
      </c>
      <c r="H30" s="155">
        <f>G30</f>
        <v>3.2583333333333336E-3</v>
      </c>
      <c r="I30" s="155">
        <f>H30</f>
        <v>3.2583333333333336E-3</v>
      </c>
      <c r="J30" s="43">
        <f>0.0368/12</f>
        <v>3.0666666666666668E-3</v>
      </c>
      <c r="K30" s="155">
        <f>J30</f>
        <v>3.0666666666666668E-3</v>
      </c>
      <c r="L30" s="155">
        <f>K30</f>
        <v>3.0666666666666668E-3</v>
      </c>
      <c r="M30" s="43">
        <f>0.0356/12</f>
        <v>2.9666666666666665E-3</v>
      </c>
      <c r="N30" s="155">
        <f>M30</f>
        <v>2.9666666666666665E-3</v>
      </c>
      <c r="O30" s="155">
        <f>N30</f>
        <v>2.9666666666666665E-3</v>
      </c>
      <c r="P30" s="40">
        <f>+P31/P6</f>
        <v>3.8101647453331666E-2</v>
      </c>
      <c r="Q30" s="29"/>
      <c r="R30" s="3"/>
    </row>
    <row r="31" spans="1:21" ht="15.75" customHeight="1">
      <c r="A31" s="140" t="s">
        <v>124</v>
      </c>
      <c r="B31" s="137"/>
      <c r="C31" s="141">
        <f>(C6+88130)/2*C30</f>
        <v>377.91516438140633</v>
      </c>
      <c r="D31" s="141">
        <f>(D6+C6)/2*D30</f>
        <v>387.34396908845031</v>
      </c>
      <c r="E31" s="141">
        <f t="shared" ref="E31:N31" si="25">(E6+D6)/2*E30</f>
        <v>387.89716284947053</v>
      </c>
      <c r="F31" s="141">
        <f t="shared" si="25"/>
        <v>397.12263227578865</v>
      </c>
      <c r="G31" s="141">
        <f t="shared" si="25"/>
        <v>429.86517145414274</v>
      </c>
      <c r="H31" s="141">
        <f t="shared" si="25"/>
        <v>460.12811439643002</v>
      </c>
      <c r="I31" s="141">
        <f t="shared" si="25"/>
        <v>321.33086855016677</v>
      </c>
      <c r="J31" s="141">
        <f t="shared" si="25"/>
        <v>214.2438144951582</v>
      </c>
      <c r="K31" s="141">
        <f t="shared" si="25"/>
        <v>226.19867211416795</v>
      </c>
      <c r="L31" s="141">
        <f t="shared" si="25"/>
        <v>222.04842004910091</v>
      </c>
      <c r="M31" s="141">
        <f t="shared" si="25"/>
        <v>285.3602260373234</v>
      </c>
      <c r="N31" s="141">
        <f t="shared" si="25"/>
        <v>340.35780360589325</v>
      </c>
      <c r="O31" s="141">
        <f>(O6+N6)/2*O30</f>
        <v>367.64315711561414</v>
      </c>
      <c r="P31" s="142">
        <f>SUM(D31:O31)</f>
        <v>4039.5400120317067</v>
      </c>
      <c r="Q31" s="8"/>
      <c r="R31" s="3"/>
    </row>
    <row r="32" spans="1:21">
      <c r="C32" s="38"/>
      <c r="D32" s="5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58"/>
    </row>
    <row r="33" spans="1:19" ht="15.75" thickBot="1">
      <c r="C33" s="14">
        <f t="shared" ref="C33:N33" si="26">SUM(C4:C6)</f>
        <v>2064109.8000000003</v>
      </c>
      <c r="D33" s="14">
        <f t="shared" si="26"/>
        <v>2075396.0813946128</v>
      </c>
      <c r="E33" s="6">
        <f t="shared" si="26"/>
        <v>2093159.9091547839</v>
      </c>
      <c r="F33" s="6">
        <f t="shared" si="26"/>
        <v>2107363.4038915839</v>
      </c>
      <c r="G33" s="6">
        <f t="shared" si="26"/>
        <v>2136387.8454564014</v>
      </c>
      <c r="H33" s="6">
        <f t="shared" si="26"/>
        <v>2151414.6843098132</v>
      </c>
      <c r="I33" s="6">
        <f t="shared" si="26"/>
        <v>2174221.846587575</v>
      </c>
      <c r="J33" s="6">
        <f t="shared" si="26"/>
        <v>2194695.119789294</v>
      </c>
      <c r="K33" s="6">
        <f t="shared" si="26"/>
        <v>2208262.8611956602</v>
      </c>
      <c r="L33" s="6">
        <f t="shared" si="26"/>
        <v>2218187.6347583081</v>
      </c>
      <c r="M33" s="6">
        <f t="shared" si="26"/>
        <v>2256792.3111527693</v>
      </c>
      <c r="N33" s="6">
        <f t="shared" si="26"/>
        <v>2291717.0489387931</v>
      </c>
      <c r="O33" s="6">
        <f>SUM(O4:O6)</f>
        <v>2314671.3941794671</v>
      </c>
      <c r="P33" s="8"/>
      <c r="Q33" s="8"/>
    </row>
    <row r="34" spans="1:19" s="41" customFormat="1" ht="15.75" thickBot="1">
      <c r="A34" s="41" t="s">
        <v>28</v>
      </c>
      <c r="C34" s="153">
        <f t="shared" ref="C34:P34" si="27">+C4/(C4+C5+C6)</f>
        <v>0.54810274648598867</v>
      </c>
      <c r="D34" s="153">
        <f t="shared" si="27"/>
        <v>0.54776157199562947</v>
      </c>
      <c r="E34" s="42">
        <f t="shared" si="27"/>
        <v>0.55422342258183421</v>
      </c>
      <c r="F34" s="42">
        <f t="shared" si="27"/>
        <v>0.55212017234027722</v>
      </c>
      <c r="G34" s="42">
        <f t="shared" si="27"/>
        <v>0.54595776996779211</v>
      </c>
      <c r="H34" s="42">
        <f t="shared" si="27"/>
        <v>0.55265654519171115</v>
      </c>
      <c r="I34" s="42">
        <f t="shared" si="27"/>
        <v>0.54704941324490663</v>
      </c>
      <c r="J34" s="42">
        <f t="shared" si="27"/>
        <v>0.54211901387306938</v>
      </c>
      <c r="K34" s="42">
        <f t="shared" si="27"/>
        <v>0.55050110887460024</v>
      </c>
      <c r="L34" s="42">
        <f t="shared" si="27"/>
        <v>0.54818859150439225</v>
      </c>
      <c r="M34" s="42">
        <f t="shared" si="27"/>
        <v>0.53909130416365747</v>
      </c>
      <c r="N34" s="42">
        <f t="shared" si="27"/>
        <v>0.54650618904524217</v>
      </c>
      <c r="O34" s="42">
        <f>+O4/(O4+O5+O6)</f>
        <v>0.5426695020673572</v>
      </c>
      <c r="P34" s="54">
        <f t="shared" si="27"/>
        <v>0.54737010640966965</v>
      </c>
      <c r="Q34" s="10"/>
    </row>
    <row r="35" spans="1:19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64" t="s">
        <v>41</v>
      </c>
    </row>
    <row r="36" spans="1:19">
      <c r="A36" s="1" t="s">
        <v>24</v>
      </c>
      <c r="R36" s="164" t="s">
        <v>135</v>
      </c>
      <c r="S36" s="164"/>
    </row>
    <row r="37" spans="1:19">
      <c r="A37" s="13" t="s">
        <v>14</v>
      </c>
      <c r="B37" s="13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8">
        <v>-67002.951722974045</v>
      </c>
      <c r="Q37" s="8"/>
      <c r="R37" s="3">
        <v>-3979.9506776870498</v>
      </c>
      <c r="S37" s="5"/>
    </row>
    <row r="38" spans="1:19">
      <c r="A38" s="13" t="s">
        <v>15</v>
      </c>
      <c r="B38" s="13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8">
        <f>ROUND(P5/(P10+R$43)*-117895.494,9)+ROUND(P5/(P4+P5+P6+R37+R38+R39)*-12781.595,9)</f>
        <v>-46660.678186660007</v>
      </c>
      <c r="Q38" s="8"/>
      <c r="R38" s="3"/>
      <c r="S38" s="5"/>
    </row>
    <row r="39" spans="1:19">
      <c r="A39" s="13" t="s">
        <v>16</v>
      </c>
      <c r="B39" s="13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8">
        <f>ROUND((P6+R39)/(P10+R$43)*-117895.494,9)+ROUND((P6+R39)/(P4+P5+P6+R37+R38+R39)*-12781.595,9)+R39</f>
        <v>-6348.6440160105321</v>
      </c>
      <c r="Q39" s="8"/>
      <c r="R39" s="3">
        <v>-760.06153846153245</v>
      </c>
      <c r="S39" s="5"/>
    </row>
    <row r="40" spans="1:19">
      <c r="A40" s="13" t="s">
        <v>18</v>
      </c>
      <c r="B40" s="13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8">
        <v>-1363.8783116930001</v>
      </c>
      <c r="Q40" s="8"/>
      <c r="R40" s="3"/>
      <c r="S40" s="5"/>
    </row>
    <row r="41" spans="1:19">
      <c r="A41" s="13" t="s">
        <v>25</v>
      </c>
      <c r="B41" s="1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8">
        <v>-20947.229721249565</v>
      </c>
      <c r="Q41" s="8"/>
      <c r="R41" s="3">
        <v>-7062.7823601965665</v>
      </c>
      <c r="S41" s="5"/>
    </row>
    <row r="42" spans="1:19">
      <c r="A42" s="16" t="s">
        <v>19</v>
      </c>
      <c r="B42" s="16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14">
        <v>-156.40782956000001</v>
      </c>
      <c r="Q42" s="8"/>
      <c r="R42" s="17"/>
      <c r="S42" s="5"/>
    </row>
    <row r="43" spans="1:19">
      <c r="A43" s="13" t="s">
        <v>17</v>
      </c>
      <c r="B43" s="13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135">
        <f>SUM(P37:P42)</f>
        <v>-142479.78978814714</v>
      </c>
      <c r="Q43" s="8"/>
      <c r="R43" s="5">
        <f>SUM(R37:R42)</f>
        <v>-11802.79457634515</v>
      </c>
    </row>
    <row r="44" spans="1:19">
      <c r="A44" s="1" t="s">
        <v>120</v>
      </c>
      <c r="P44" s="8"/>
      <c r="Q44" s="8"/>
    </row>
    <row r="45" spans="1:19">
      <c r="A45" t="s">
        <v>14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8">
        <f t="shared" ref="P45:P50" si="28">+P4+P37</f>
        <v>1124006.1865958723</v>
      </c>
      <c r="Q45" s="8"/>
      <c r="S45" s="5"/>
    </row>
    <row r="46" spans="1:19">
      <c r="A46" t="s">
        <v>15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8">
        <f>+P5+P38</f>
        <v>832185.47565949382</v>
      </c>
      <c r="Q46" s="8"/>
    </row>
    <row r="47" spans="1:19">
      <c r="A47" t="s">
        <v>16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8">
        <f t="shared" si="28"/>
        <v>99671.443881225088</v>
      </c>
      <c r="Q47" s="8"/>
    </row>
    <row r="48" spans="1:19">
      <c r="A48" t="s">
        <v>18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8">
        <f t="shared" si="28"/>
        <v>27528.183249845468</v>
      </c>
      <c r="Q48" s="8"/>
    </row>
    <row r="49" spans="1:19">
      <c r="A49" t="s">
        <v>25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8">
        <f t="shared" si="28"/>
        <v>280240.20874028886</v>
      </c>
      <c r="Q49" s="8"/>
    </row>
    <row r="50" spans="1:19">
      <c r="A50" s="17" t="s">
        <v>19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14">
        <f t="shared" si="28"/>
        <v>3156.8921704400004</v>
      </c>
      <c r="Q50" s="8"/>
    </row>
    <row r="51" spans="1:19" ht="15.75" thickBot="1">
      <c r="A51" s="134" t="s">
        <v>17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135">
        <f t="shared" ref="P51" si="29">SUM(P45:P50)</f>
        <v>2366788.3902971656</v>
      </c>
      <c r="Q51" s="8"/>
      <c r="S51" s="150"/>
    </row>
    <row r="52" spans="1:19" ht="15.75" thickBot="1">
      <c r="A52" s="1" t="s">
        <v>121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43">
        <f>+P45/(P45+P46+P47)</f>
        <v>0.54673201889795164</v>
      </c>
      <c r="Q52" s="59"/>
    </row>
    <row r="53" spans="1:19">
      <c r="A53" t="s">
        <v>14</v>
      </c>
      <c r="C53" s="4">
        <f t="shared" ref="C53" si="30">C4/C$33</f>
        <v>0.54810274648598867</v>
      </c>
      <c r="D53" s="9">
        <f t="shared" ref="D53:O53" si="31">D4/D$33</f>
        <v>0.54776157199562947</v>
      </c>
      <c r="E53" s="4">
        <f t="shared" si="31"/>
        <v>0.55422342258183421</v>
      </c>
      <c r="F53" s="4">
        <f t="shared" si="31"/>
        <v>0.55212017234027722</v>
      </c>
      <c r="G53" s="4">
        <f t="shared" si="31"/>
        <v>0.54595776996779211</v>
      </c>
      <c r="H53" s="4">
        <f t="shared" si="31"/>
        <v>0.55265654519171115</v>
      </c>
      <c r="I53" s="4">
        <f t="shared" si="31"/>
        <v>0.54704941324490663</v>
      </c>
      <c r="J53" s="4">
        <f t="shared" si="31"/>
        <v>0.54211901387306938</v>
      </c>
      <c r="K53" s="4">
        <f t="shared" si="31"/>
        <v>0.55050110887460024</v>
      </c>
      <c r="L53" s="4">
        <f t="shared" si="31"/>
        <v>0.54818859150439225</v>
      </c>
      <c r="M53" s="4">
        <f t="shared" si="31"/>
        <v>0.53909130416365747</v>
      </c>
      <c r="N53" s="4">
        <f t="shared" si="31"/>
        <v>0.54650618904524217</v>
      </c>
      <c r="O53" s="4">
        <f t="shared" si="31"/>
        <v>0.5426695020673572</v>
      </c>
      <c r="P53" s="4">
        <f>+P45/P$51</f>
        <v>0.47490776581625282</v>
      </c>
      <c r="Q53" s="60"/>
      <c r="S53" s="158"/>
    </row>
    <row r="54" spans="1:19">
      <c r="A54" t="s">
        <v>15</v>
      </c>
      <c r="C54" s="4">
        <f t="shared" ref="C54" si="32">C5/C$33</f>
        <v>0.3996880398513683</v>
      </c>
      <c r="D54" s="9">
        <f t="shared" ref="D54:O54" si="33">D5/D$33</f>
        <v>0.39751448284783364</v>
      </c>
      <c r="E54" s="4">
        <f t="shared" si="33"/>
        <v>0.39414093323291971</v>
      </c>
      <c r="F54" s="4">
        <f t="shared" si="33"/>
        <v>0.39148444851823155</v>
      </c>
      <c r="G54" s="4">
        <f t="shared" si="33"/>
        <v>0.38616583676722493</v>
      </c>
      <c r="H54" s="4">
        <f t="shared" si="33"/>
        <v>0.38346861068518967</v>
      </c>
      <c r="I54" s="4">
        <f t="shared" si="33"/>
        <v>0.42543956655195081</v>
      </c>
      <c r="J54" s="4">
        <f t="shared" si="33"/>
        <v>0.42147084196770185</v>
      </c>
      <c r="K54" s="4">
        <f t="shared" si="33"/>
        <v>0.41888129183097356</v>
      </c>
      <c r="L54" s="4">
        <f t="shared" si="33"/>
        <v>0.41700710323398194</v>
      </c>
      <c r="M54" s="4">
        <f t="shared" si="33"/>
        <v>0.40987378210603265</v>
      </c>
      <c r="N54" s="4">
        <f t="shared" si="33"/>
        <v>0.40362748988944003</v>
      </c>
      <c r="O54" s="4">
        <f t="shared" si="33"/>
        <v>0.39962475983676521</v>
      </c>
      <c r="P54" s="4">
        <f>+P46/P$51</f>
        <v>0.35160958160480393</v>
      </c>
      <c r="Q54" s="60"/>
      <c r="S54" s="158"/>
    </row>
    <row r="55" spans="1:19">
      <c r="A55" t="s">
        <v>16</v>
      </c>
      <c r="C55" s="9">
        <f t="shared" ref="C55" si="34">C6/C$33</f>
        <v>5.2209213662643007E-2</v>
      </c>
      <c r="D55" s="9">
        <f t="shared" ref="D55:O55" si="35">D6/D$33</f>
        <v>5.4723945156536974E-2</v>
      </c>
      <c r="E55" s="9">
        <f t="shared" si="35"/>
        <v>5.1635644185246035E-2</v>
      </c>
      <c r="F55" s="9">
        <f t="shared" si="35"/>
        <v>5.6395379141491259E-2</v>
      </c>
      <c r="G55" s="9">
        <f t="shared" si="35"/>
        <v>6.7876393264982973E-2</v>
      </c>
      <c r="H55" s="9">
        <f t="shared" si="35"/>
        <v>6.3874844123099114E-2</v>
      </c>
      <c r="I55" s="9">
        <f t="shared" si="35"/>
        <v>2.7511020203142559E-2</v>
      </c>
      <c r="J55" s="9">
        <f t="shared" si="35"/>
        <v>3.6410144159228608E-2</v>
      </c>
      <c r="K55" s="9">
        <f t="shared" si="35"/>
        <v>3.0617599294426243E-2</v>
      </c>
      <c r="L55" s="9">
        <f t="shared" si="35"/>
        <v>3.4804305261625923E-2</v>
      </c>
      <c r="M55" s="9">
        <f t="shared" si="35"/>
        <v>5.1034913730309737E-2</v>
      </c>
      <c r="N55" s="9">
        <f t="shared" si="35"/>
        <v>4.9866321065317958E-2</v>
      </c>
      <c r="O55" s="9">
        <f t="shared" si="35"/>
        <v>5.7705738095877507E-2</v>
      </c>
      <c r="P55" s="4">
        <f t="shared" ref="P55:P58" si="36">+P47/P$51</f>
        <v>4.2112528644231983E-2</v>
      </c>
      <c r="Q55" s="60"/>
      <c r="S55" s="158"/>
    </row>
    <row r="56" spans="1:19">
      <c r="A56" t="s">
        <v>18</v>
      </c>
      <c r="C56" s="41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4">
        <f t="shared" si="36"/>
        <v>1.1631028512181068E-2</v>
      </c>
      <c r="Q56" s="60"/>
      <c r="S56" s="158"/>
    </row>
    <row r="57" spans="1:19">
      <c r="A57" t="s">
        <v>25</v>
      </c>
      <c r="C57" s="41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4">
        <f t="shared" si="36"/>
        <v>0.11840526592455648</v>
      </c>
      <c r="Q57" s="60"/>
      <c r="S57" s="158"/>
    </row>
    <row r="58" spans="1:19">
      <c r="A58" s="17" t="s">
        <v>19</v>
      </c>
      <c r="C58" s="41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22">
        <f t="shared" si="36"/>
        <v>1.3338294979736791E-3</v>
      </c>
      <c r="Q58" s="29"/>
      <c r="S58" s="158"/>
    </row>
    <row r="59" spans="1:19">
      <c r="A59" s="134" t="s">
        <v>17</v>
      </c>
      <c r="C59" s="41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4">
        <f>SUM(P53:P58)</f>
        <v>1</v>
      </c>
      <c r="Q59" s="60"/>
      <c r="S59" s="10"/>
    </row>
    <row r="60" spans="1:19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9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1:19">
      <c r="A62" t="s">
        <v>14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10">
        <v>0.11</v>
      </c>
      <c r="Q62" s="10"/>
      <c r="S62" s="10"/>
    </row>
    <row r="63" spans="1:19">
      <c r="A63" t="s">
        <v>15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10">
        <f>P19</f>
        <v>4.6079839229367044E-2</v>
      </c>
      <c r="Q63" s="10"/>
      <c r="S63" s="10"/>
    </row>
    <row r="64" spans="1:19">
      <c r="A64" t="s">
        <v>16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10">
        <f>P30</f>
        <v>3.8101647453331666E-2</v>
      </c>
      <c r="Q64" s="10"/>
      <c r="S64" s="4"/>
    </row>
    <row r="65" spans="1:22">
      <c r="A65" t="s">
        <v>18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10">
        <v>2.53E-2</v>
      </c>
      <c r="Q65" s="10"/>
      <c r="S65" s="10"/>
    </row>
    <row r="66" spans="1:22">
      <c r="A66" t="s">
        <v>25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10">
        <v>0</v>
      </c>
      <c r="Q66" s="10"/>
      <c r="S66" s="10"/>
    </row>
    <row r="67" spans="1:22">
      <c r="A67" t="s">
        <v>19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154">
        <f>(P46/(P46+P47+P45))*P63+P47/(P45+P46+P47)*P64+P45/(P45+P46+P47)*P62</f>
        <v>8.0640242618304964E-2</v>
      </c>
      <c r="Q67" s="10"/>
      <c r="R67" s="160"/>
      <c r="S67" s="7"/>
    </row>
    <row r="68" spans="1:22">
      <c r="A68" t="s">
        <v>17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">
        <f>SUM(P62:P67)</f>
        <v>0.30012172930100367</v>
      </c>
      <c r="Q68" s="60"/>
      <c r="R68" s="160"/>
    </row>
    <row r="69" spans="1:22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R69" s="160"/>
    </row>
    <row r="70" spans="1:22">
      <c r="A70" t="s">
        <v>14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10">
        <f t="shared" ref="P70:P75" si="37">+P53*P62</f>
        <v>5.223985423978781E-2</v>
      </c>
      <c r="Q70" s="10"/>
      <c r="S70" s="159"/>
    </row>
    <row r="71" spans="1:22">
      <c r="A71" t="s">
        <v>15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10">
        <f>+P54*P63</f>
        <v>1.6202112991854378E-2</v>
      </c>
      <c r="Q71" s="10"/>
      <c r="S71" s="159"/>
    </row>
    <row r="72" spans="1:22">
      <c r="A72" t="s">
        <v>16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10">
        <f t="shared" si="37"/>
        <v>1.6045567197708584E-3</v>
      </c>
      <c r="Q72" s="10"/>
      <c r="S72" s="159"/>
    </row>
    <row r="73" spans="1:22">
      <c r="A73" t="s">
        <v>18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10">
        <f t="shared" si="37"/>
        <v>2.94265021358181E-4</v>
      </c>
      <c r="Q73" s="10"/>
      <c r="S73" s="159"/>
    </row>
    <row r="74" spans="1:22">
      <c r="A74" t="s">
        <v>25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10">
        <f t="shared" si="37"/>
        <v>0</v>
      </c>
      <c r="Q74" s="10"/>
      <c r="S74" s="159"/>
    </row>
    <row r="75" spans="1:22" ht="15.75" thickBot="1">
      <c r="A75" t="s">
        <v>19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10">
        <f t="shared" si="37"/>
        <v>1.075603343280494E-4</v>
      </c>
      <c r="Q75" s="10"/>
      <c r="S75" s="159"/>
    </row>
    <row r="76" spans="1:22" ht="15.75" thickBot="1">
      <c r="A76" t="s">
        <v>17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21">
        <f>SUM(P70:P75)</f>
        <v>7.044834930709927E-2</v>
      </c>
      <c r="Q76" s="29"/>
      <c r="S76" s="159"/>
    </row>
    <row r="79" spans="1:22">
      <c r="C79" s="3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1"/>
      <c r="R79" s="3"/>
      <c r="S79" s="3"/>
      <c r="T79" s="3"/>
      <c r="U79" s="3"/>
      <c r="V79" s="3"/>
    </row>
    <row r="80" spans="1:22">
      <c r="C80" s="3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1"/>
      <c r="R80" s="3"/>
      <c r="S80" s="3"/>
      <c r="T80" s="3"/>
      <c r="U80" s="3"/>
      <c r="V80" s="3"/>
    </row>
    <row r="81" spans="3:22">
      <c r="C81" s="3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1"/>
      <c r="R81" s="3"/>
      <c r="S81" s="3"/>
      <c r="T81" s="3"/>
      <c r="U81" s="3"/>
      <c r="V81" s="3"/>
    </row>
    <row r="82" spans="3:22">
      <c r="C82" s="3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1"/>
      <c r="R82" s="3"/>
      <c r="S82" s="3"/>
      <c r="T82" s="3"/>
      <c r="U82" s="3"/>
      <c r="V82" s="3"/>
    </row>
    <row r="83" spans="3:22">
      <c r="C83" s="3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61"/>
      <c r="R83" s="3"/>
      <c r="S83" s="3"/>
      <c r="T83" s="3"/>
      <c r="U83" s="3"/>
      <c r="V83" s="3"/>
    </row>
    <row r="84" spans="3:22">
      <c r="C84" s="3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61"/>
      <c r="R84" s="3"/>
      <c r="S84" s="3"/>
      <c r="T84" s="3"/>
      <c r="U84" s="3"/>
      <c r="V84" s="3"/>
    </row>
    <row r="85" spans="3:22">
      <c r="C85" s="3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61"/>
      <c r="R85" s="3"/>
      <c r="S85" s="3"/>
      <c r="T85" s="3"/>
      <c r="U85" s="3"/>
      <c r="V85" s="3"/>
    </row>
    <row r="86" spans="3:22">
      <c r="C86" s="3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61"/>
      <c r="R86" s="3"/>
      <c r="S86" s="3"/>
      <c r="T86" s="3"/>
      <c r="U86" s="3"/>
      <c r="V86" s="3"/>
    </row>
  </sheetData>
  <pageMargins left="0.7" right="0.7" top="0.75" bottom="0.75" header="0.3" footer="0.3"/>
  <pageSetup scale="55" fitToHeight="0" orientation="landscape" r:id="rId1"/>
  <rowBreaks count="1" manualBreakCount="1">
    <brk id="34" max="15" man="1"/>
  </rowBreaks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69" sqref="M69"/>
    </sheetView>
  </sheetViews>
  <sheetFormatPr defaultRowHeight="15"/>
  <cols>
    <col min="1" max="1" width="31.28515625" customWidth="1"/>
    <col min="2" max="2" width="6.85546875" bestFit="1" customWidth="1"/>
    <col min="3" max="3" width="12.7109375" style="173" bestFit="1" customWidth="1"/>
    <col min="4" max="4" width="10.28515625" style="202" bestFit="1" customWidth="1"/>
    <col min="5" max="15" width="13.42578125" style="173" bestFit="1" customWidth="1"/>
    <col min="16" max="16" width="12.5703125" style="173" bestFit="1" customWidth="1"/>
    <col min="17" max="17" width="12.28515625" bestFit="1" customWidth="1"/>
    <col min="18" max="18" width="10.42578125" bestFit="1" customWidth="1"/>
  </cols>
  <sheetData>
    <row r="1" spans="1:19" s="1" customFormat="1">
      <c r="C1" s="170" t="s">
        <v>0</v>
      </c>
      <c r="D1" s="170" t="s">
        <v>0</v>
      </c>
      <c r="E1" s="170" t="s">
        <v>0</v>
      </c>
      <c r="F1" s="170" t="s">
        <v>0</v>
      </c>
      <c r="G1" s="170" t="s">
        <v>0</v>
      </c>
      <c r="H1" s="170" t="s">
        <v>0</v>
      </c>
      <c r="I1" s="170" t="s">
        <v>0</v>
      </c>
      <c r="J1" s="170" t="s">
        <v>0</v>
      </c>
      <c r="K1" s="170" t="s">
        <v>0</v>
      </c>
      <c r="L1" s="170" t="s">
        <v>0</v>
      </c>
      <c r="M1" s="170" t="s">
        <v>0</v>
      </c>
      <c r="N1" s="170" t="s">
        <v>0</v>
      </c>
      <c r="O1" s="170" t="s">
        <v>0</v>
      </c>
      <c r="P1" s="171" t="s">
        <v>26</v>
      </c>
    </row>
    <row r="2" spans="1:19" s="1" customFormat="1">
      <c r="C2" s="170" t="s">
        <v>1</v>
      </c>
      <c r="D2" s="172" t="s">
        <v>2</v>
      </c>
      <c r="E2" s="172" t="s">
        <v>3</v>
      </c>
      <c r="F2" s="172" t="s">
        <v>4</v>
      </c>
      <c r="G2" s="172" t="s">
        <v>5</v>
      </c>
      <c r="H2" s="172" t="s">
        <v>6</v>
      </c>
      <c r="I2" s="172" t="s">
        <v>7</v>
      </c>
      <c r="J2" s="172" t="s">
        <v>8</v>
      </c>
      <c r="K2" s="172" t="s">
        <v>9</v>
      </c>
      <c r="L2" s="172" t="s">
        <v>10</v>
      </c>
      <c r="M2" s="172" t="s">
        <v>11</v>
      </c>
      <c r="N2" s="172" t="s">
        <v>12</v>
      </c>
      <c r="O2" s="172" t="s">
        <v>13</v>
      </c>
      <c r="P2" s="171" t="s">
        <v>27</v>
      </c>
    </row>
    <row r="3" spans="1:19">
      <c r="D3" s="173"/>
      <c r="P3" s="174"/>
    </row>
    <row r="4" spans="1:19">
      <c r="A4" t="s">
        <v>14</v>
      </c>
      <c r="C4" s="39">
        <f>Scenario!C4-'Rate Case'!C4</f>
        <v>0</v>
      </c>
      <c r="D4" s="39">
        <f>Scenario!D4-'Rate Case'!D4</f>
        <v>0</v>
      </c>
      <c r="E4" s="39">
        <f>Scenario!E4-'Rate Case'!E4</f>
        <v>0</v>
      </c>
      <c r="F4" s="39">
        <f>Scenario!F4-'Rate Case'!F4</f>
        <v>0</v>
      </c>
      <c r="G4" s="39">
        <f>Scenario!G4-'Rate Case'!G4</f>
        <v>0</v>
      </c>
      <c r="H4" s="39">
        <f>Scenario!H4-'Rate Case'!H4</f>
        <v>0</v>
      </c>
      <c r="I4" s="39">
        <f>Scenario!I4-'Rate Case'!I4</f>
        <v>0</v>
      </c>
      <c r="J4" s="39">
        <f>Scenario!J4-'Rate Case'!J4</f>
        <v>0</v>
      </c>
      <c r="K4" s="39">
        <f>Scenario!K4-'Rate Case'!K4</f>
        <v>0</v>
      </c>
      <c r="L4" s="39">
        <f>Scenario!L4-'Rate Case'!L4</f>
        <v>0</v>
      </c>
      <c r="M4" s="39">
        <f>Scenario!M4-'Rate Case'!M4</f>
        <v>0</v>
      </c>
      <c r="N4" s="39">
        <f>Scenario!N4-'Rate Case'!N4</f>
        <v>0</v>
      </c>
      <c r="O4" s="39">
        <f>Scenario!O4-'Rate Case'!O4</f>
        <v>0</v>
      </c>
      <c r="P4" s="175">
        <f t="shared" ref="P4:P9" si="0">AVERAGE(D4:O4,C4)</f>
        <v>0</v>
      </c>
      <c r="Q4" s="3"/>
      <c r="R4" s="3"/>
      <c r="S4" s="3"/>
    </row>
    <row r="5" spans="1:19">
      <c r="A5" t="s">
        <v>15</v>
      </c>
      <c r="C5" s="176">
        <f>Scenario!C5-'Rate Case'!C5</f>
        <v>0</v>
      </c>
      <c r="D5" s="176">
        <f>Scenario!D5-'Rate Case'!D5</f>
        <v>0</v>
      </c>
      <c r="E5" s="176">
        <f>Scenario!E5-'Rate Case'!E5</f>
        <v>0</v>
      </c>
      <c r="F5" s="176">
        <f>Scenario!F5-'Rate Case'!F5</f>
        <v>0</v>
      </c>
      <c r="G5" s="176">
        <f>Scenario!G5-'Rate Case'!G5</f>
        <v>0</v>
      </c>
      <c r="H5" s="176">
        <f>Scenario!H5-'Rate Case'!H5</f>
        <v>0</v>
      </c>
      <c r="I5" s="176">
        <f>Scenario!I5-'Rate Case'!I5</f>
        <v>0</v>
      </c>
      <c r="J5" s="176">
        <f>Scenario!J5-'Rate Case'!J5</f>
        <v>0</v>
      </c>
      <c r="K5" s="176">
        <f>Scenario!K5-'Rate Case'!K5</f>
        <v>0</v>
      </c>
      <c r="L5" s="176">
        <f>Scenario!L5-'Rate Case'!L5</f>
        <v>0</v>
      </c>
      <c r="M5" s="176">
        <f>Scenario!M5-'Rate Case'!M5</f>
        <v>0</v>
      </c>
      <c r="N5" s="176">
        <f>Scenario!N5-'Rate Case'!N5</f>
        <v>0</v>
      </c>
      <c r="O5" s="176">
        <f>Scenario!O5-'Rate Case'!O5</f>
        <v>0</v>
      </c>
      <c r="P5" s="175">
        <f t="shared" si="0"/>
        <v>0</v>
      </c>
      <c r="Q5" s="3"/>
      <c r="R5" s="3"/>
      <c r="S5" s="3"/>
    </row>
    <row r="6" spans="1:19" ht="15.75" customHeight="1">
      <c r="A6" t="s">
        <v>16</v>
      </c>
      <c r="C6" s="176">
        <f>Scenario!C6-'Rate Case'!C6</f>
        <v>0</v>
      </c>
      <c r="D6" s="39">
        <f>Scenario!D6-'Rate Case'!D6</f>
        <v>0</v>
      </c>
      <c r="E6" s="39">
        <f>Scenario!E6-'Rate Case'!E6</f>
        <v>0</v>
      </c>
      <c r="F6" s="39">
        <f>Scenario!F6-'Rate Case'!F6</f>
        <v>0</v>
      </c>
      <c r="G6" s="39">
        <f>Scenario!G6-'Rate Case'!G6</f>
        <v>0</v>
      </c>
      <c r="H6" s="39">
        <f>Scenario!H6-'Rate Case'!H6</f>
        <v>0</v>
      </c>
      <c r="I6" s="39">
        <f>Scenario!I6-'Rate Case'!I6</f>
        <v>0</v>
      </c>
      <c r="J6" s="39">
        <f>Scenario!J6-'Rate Case'!J6</f>
        <v>0</v>
      </c>
      <c r="K6" s="39">
        <f>Scenario!K6-'Rate Case'!K6</f>
        <v>0</v>
      </c>
      <c r="L6" s="39">
        <f>Scenario!L6-'Rate Case'!L6</f>
        <v>0</v>
      </c>
      <c r="M6" s="39">
        <f>Scenario!M6-'Rate Case'!M6</f>
        <v>0</v>
      </c>
      <c r="N6" s="39">
        <f>Scenario!N6-'Rate Case'!N6</f>
        <v>0</v>
      </c>
      <c r="O6" s="39">
        <f>Scenario!O6-'Rate Case'!O6</f>
        <v>0</v>
      </c>
      <c r="P6" s="175">
        <f t="shared" si="0"/>
        <v>0</v>
      </c>
      <c r="Q6" s="3"/>
      <c r="R6" s="3"/>
      <c r="S6" s="3"/>
    </row>
    <row r="7" spans="1:19" ht="15.75" customHeight="1">
      <c r="A7" t="s">
        <v>18</v>
      </c>
      <c r="C7" s="176">
        <f>Scenario!C7-'Rate Case'!C7</f>
        <v>0</v>
      </c>
      <c r="D7" s="39">
        <f>Scenario!D7-'Rate Case'!D7</f>
        <v>0</v>
      </c>
      <c r="E7" s="39">
        <f>Scenario!E7-'Rate Case'!E7</f>
        <v>0</v>
      </c>
      <c r="F7" s="39">
        <f>Scenario!F7-'Rate Case'!F7</f>
        <v>0</v>
      </c>
      <c r="G7" s="39">
        <f>Scenario!G7-'Rate Case'!G7</f>
        <v>0</v>
      </c>
      <c r="H7" s="39">
        <f>Scenario!H7-'Rate Case'!H7</f>
        <v>0</v>
      </c>
      <c r="I7" s="39">
        <f>Scenario!I7-'Rate Case'!I7</f>
        <v>0</v>
      </c>
      <c r="J7" s="39">
        <f>Scenario!J7-'Rate Case'!J7</f>
        <v>0</v>
      </c>
      <c r="K7" s="39">
        <f>Scenario!K7-'Rate Case'!K7</f>
        <v>0</v>
      </c>
      <c r="L7" s="39">
        <f>Scenario!L7-'Rate Case'!L7</f>
        <v>0</v>
      </c>
      <c r="M7" s="39">
        <f>Scenario!M7-'Rate Case'!M7</f>
        <v>0</v>
      </c>
      <c r="N7" s="39">
        <f>Scenario!N7-'Rate Case'!N7</f>
        <v>0</v>
      </c>
      <c r="O7" s="39">
        <f>Scenario!O7-'Rate Case'!O7</f>
        <v>0</v>
      </c>
      <c r="P7" s="175">
        <f t="shared" si="0"/>
        <v>0</v>
      </c>
      <c r="Q7" s="3"/>
      <c r="R7" s="3"/>
      <c r="S7" s="3"/>
    </row>
    <row r="8" spans="1:19" ht="15.75" customHeight="1">
      <c r="A8" t="s">
        <v>25</v>
      </c>
      <c r="C8" s="176">
        <f>Scenario!C8-'Rate Case'!C8</f>
        <v>0</v>
      </c>
      <c r="D8" s="39">
        <f>Scenario!D8-'Rate Case'!D8</f>
        <v>0</v>
      </c>
      <c r="E8" s="39">
        <f>Scenario!E8-'Rate Case'!E8</f>
        <v>0</v>
      </c>
      <c r="F8" s="39">
        <f>Scenario!F8-'Rate Case'!F8</f>
        <v>0</v>
      </c>
      <c r="G8" s="39">
        <f>Scenario!G8-'Rate Case'!G8</f>
        <v>0</v>
      </c>
      <c r="H8" s="39">
        <f>Scenario!H8-'Rate Case'!H8</f>
        <v>0</v>
      </c>
      <c r="I8" s="39">
        <f>Scenario!I8-'Rate Case'!I8</f>
        <v>0</v>
      </c>
      <c r="J8" s="39">
        <f>Scenario!J8-'Rate Case'!J8</f>
        <v>0</v>
      </c>
      <c r="K8" s="39">
        <f>Scenario!K8-'Rate Case'!K8</f>
        <v>0</v>
      </c>
      <c r="L8" s="39">
        <f>Scenario!L8-'Rate Case'!L8</f>
        <v>0</v>
      </c>
      <c r="M8" s="39">
        <f>Scenario!M8-'Rate Case'!M8</f>
        <v>0</v>
      </c>
      <c r="N8" s="39">
        <f>Scenario!N8-'Rate Case'!N8</f>
        <v>0</v>
      </c>
      <c r="O8" s="39">
        <f>Scenario!O8-'Rate Case'!O8</f>
        <v>0</v>
      </c>
      <c r="P8" s="175">
        <f t="shared" si="0"/>
        <v>0</v>
      </c>
      <c r="Q8" s="3"/>
      <c r="R8" s="3"/>
      <c r="S8" s="3"/>
    </row>
    <row r="9" spans="1:19" ht="15.75" customHeight="1">
      <c r="A9" t="s">
        <v>19</v>
      </c>
      <c r="C9" s="177">
        <f>Scenario!C9-'Rate Case'!C9</f>
        <v>0</v>
      </c>
      <c r="D9" s="178">
        <f>Scenario!D9-'Rate Case'!D9</f>
        <v>0</v>
      </c>
      <c r="E9" s="178">
        <f>Scenario!E9-'Rate Case'!E9</f>
        <v>0</v>
      </c>
      <c r="F9" s="178">
        <f>Scenario!F9-'Rate Case'!F9</f>
        <v>0</v>
      </c>
      <c r="G9" s="178">
        <f>Scenario!G9-'Rate Case'!G9</f>
        <v>0</v>
      </c>
      <c r="H9" s="178">
        <f>Scenario!H9-'Rate Case'!H9</f>
        <v>0</v>
      </c>
      <c r="I9" s="178">
        <f>Scenario!I9-'Rate Case'!I9</f>
        <v>0</v>
      </c>
      <c r="J9" s="178">
        <f>Scenario!J9-'Rate Case'!J9</f>
        <v>0</v>
      </c>
      <c r="K9" s="178">
        <f>Scenario!K9-'Rate Case'!K9</f>
        <v>0</v>
      </c>
      <c r="L9" s="178">
        <f>Scenario!L9-'Rate Case'!L9</f>
        <v>0</v>
      </c>
      <c r="M9" s="178">
        <f>Scenario!M9-'Rate Case'!M9</f>
        <v>0</v>
      </c>
      <c r="N9" s="178">
        <f>Scenario!N9-'Rate Case'!N9</f>
        <v>0</v>
      </c>
      <c r="O9" s="178">
        <f>Scenario!O9-'Rate Case'!O9</f>
        <v>0</v>
      </c>
      <c r="P9" s="179">
        <f t="shared" si="0"/>
        <v>0</v>
      </c>
      <c r="Q9" s="3"/>
      <c r="R9" s="3"/>
      <c r="S9" s="3"/>
    </row>
    <row r="10" spans="1:19" ht="15.75" customHeight="1">
      <c r="A10" s="134" t="s">
        <v>17</v>
      </c>
      <c r="C10" s="39">
        <f t="shared" ref="C10" si="1">SUM(C4:C9)</f>
        <v>0</v>
      </c>
      <c r="D10" s="39">
        <f>SUM(D4:D9)</f>
        <v>0</v>
      </c>
      <c r="E10" s="39">
        <f t="shared" ref="E10:P10" si="2">SUM(E4:E9)</f>
        <v>0</v>
      </c>
      <c r="F10" s="39">
        <f t="shared" si="2"/>
        <v>0</v>
      </c>
      <c r="G10" s="39">
        <f t="shared" si="2"/>
        <v>0</v>
      </c>
      <c r="H10" s="39">
        <f t="shared" si="2"/>
        <v>0</v>
      </c>
      <c r="I10" s="39">
        <f t="shared" si="2"/>
        <v>0</v>
      </c>
      <c r="J10" s="39">
        <f t="shared" si="2"/>
        <v>0</v>
      </c>
      <c r="K10" s="39">
        <f t="shared" si="2"/>
        <v>0</v>
      </c>
      <c r="L10" s="39">
        <f t="shared" si="2"/>
        <v>0</v>
      </c>
      <c r="M10" s="39">
        <f t="shared" si="2"/>
        <v>0</v>
      </c>
      <c r="N10" s="39">
        <f t="shared" si="2"/>
        <v>0</v>
      </c>
      <c r="O10" s="39">
        <f t="shared" si="2"/>
        <v>0</v>
      </c>
      <c r="P10" s="175">
        <f t="shared" si="2"/>
        <v>0</v>
      </c>
      <c r="Q10" s="151"/>
      <c r="R10" s="152"/>
      <c r="S10" s="3"/>
    </row>
    <row r="11" spans="1:19" s="17" customFormat="1" ht="15.75" customHeight="1">
      <c r="C11" s="17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79"/>
      <c r="Q11" s="35"/>
      <c r="R11" s="35"/>
      <c r="S11" s="35"/>
    </row>
    <row r="12" spans="1:19">
      <c r="A12" s="15" t="s">
        <v>20</v>
      </c>
      <c r="C12" s="39">
        <f>Scenario!C12-'Rate Case'!C12</f>
        <v>568459.96913999994</v>
      </c>
      <c r="D12" s="180">
        <f>Scenario!D12-'Rate Case'!D12</f>
        <v>568459.96913999994</v>
      </c>
      <c r="E12" s="180">
        <f>Scenario!E12-'Rate Case'!E12</f>
        <v>568459.96913999994</v>
      </c>
      <c r="F12" s="180">
        <f>Scenario!F12-'Rate Case'!F12</f>
        <v>568459.96913999994</v>
      </c>
      <c r="G12" s="180">
        <f>Scenario!G12-'Rate Case'!G12</f>
        <v>568459.96913999994</v>
      </c>
      <c r="H12" s="180">
        <f>Scenario!H12-'Rate Case'!H12</f>
        <v>568459.96913999994</v>
      </c>
      <c r="I12" s="180">
        <f>Scenario!I12-'Rate Case'!I12</f>
        <v>530959.96913999994</v>
      </c>
      <c r="J12" s="180">
        <f>Scenario!J12-'Rate Case'!J12</f>
        <v>530959.96913999994</v>
      </c>
      <c r="K12" s="180">
        <f>Scenario!K12-'Rate Case'!K12</f>
        <v>530959.96913999994</v>
      </c>
      <c r="L12" s="180">
        <f>Scenario!L12-'Rate Case'!L12</f>
        <v>530959.96913999994</v>
      </c>
      <c r="M12" s="180">
        <f>Scenario!M12-'Rate Case'!M12</f>
        <v>530959.96913999994</v>
      </c>
      <c r="N12" s="180">
        <f>Scenario!N12-'Rate Case'!N12</f>
        <v>530959.96913999994</v>
      </c>
      <c r="O12" s="180">
        <f>Scenario!O12-'Rate Case'!O12</f>
        <v>530959.96913999994</v>
      </c>
      <c r="P12" s="175">
        <f t="shared" ref="P12:P17" si="3">AVERAGE(D12:O12,C12)</f>
        <v>548267.66144769208</v>
      </c>
    </row>
    <row r="13" spans="1:19" s="25" customFormat="1">
      <c r="A13" s="30" t="s">
        <v>30</v>
      </c>
      <c r="C13" s="39">
        <f>Scenario!C13-'Rate Case'!C13</f>
        <v>-325000</v>
      </c>
      <c r="D13" s="39">
        <f>Scenario!D13-'Rate Case'!D13</f>
        <v>-325000</v>
      </c>
      <c r="E13" s="39">
        <f>Scenario!E13-'Rate Case'!E13</f>
        <v>-325000</v>
      </c>
      <c r="F13" s="39">
        <f>Scenario!F13-'Rate Case'!F13</f>
        <v>-325000</v>
      </c>
      <c r="G13" s="39">
        <f>Scenario!G13-'Rate Case'!G13</f>
        <v>-325000</v>
      </c>
      <c r="H13" s="39">
        <f>Scenario!H13-'Rate Case'!H13</f>
        <v>-325000</v>
      </c>
      <c r="I13" s="39">
        <f>Scenario!I13-'Rate Case'!I13</f>
        <v>-325000</v>
      </c>
      <c r="J13" s="39">
        <f>Scenario!J13-'Rate Case'!J13</f>
        <v>-325000</v>
      </c>
      <c r="K13" s="39">
        <f>Scenario!K13-'Rate Case'!K13</f>
        <v>-325000</v>
      </c>
      <c r="L13" s="39">
        <f>Scenario!L13-'Rate Case'!L13</f>
        <v>-325000</v>
      </c>
      <c r="M13" s="39">
        <f>Scenario!M13-'Rate Case'!M13</f>
        <v>-325000</v>
      </c>
      <c r="N13" s="39">
        <f>Scenario!N13-'Rate Case'!N13</f>
        <v>-325000</v>
      </c>
      <c r="O13" s="39">
        <f>Scenario!O13-'Rate Case'!O13</f>
        <v>-325000</v>
      </c>
      <c r="P13" s="175">
        <f t="shared" si="3"/>
        <v>-325000</v>
      </c>
    </row>
    <row r="14" spans="1:19" s="25" customFormat="1">
      <c r="A14" s="30" t="s">
        <v>31</v>
      </c>
      <c r="C14" s="39">
        <f>Scenario!C14-'Rate Case'!C14</f>
        <v>-300000</v>
      </c>
      <c r="D14" s="39">
        <f>Scenario!D14-'Rate Case'!D14</f>
        <v>-300000</v>
      </c>
      <c r="E14" s="39">
        <f>Scenario!E14-'Rate Case'!E14</f>
        <v>-300000</v>
      </c>
      <c r="F14" s="39">
        <f>Scenario!F14-'Rate Case'!F14</f>
        <v>-300000</v>
      </c>
      <c r="G14" s="39">
        <f>Scenario!G14-'Rate Case'!G14</f>
        <v>-300000</v>
      </c>
      <c r="H14" s="39">
        <f>Scenario!H14-'Rate Case'!H14</f>
        <v>-300000</v>
      </c>
      <c r="I14" s="39">
        <f>Scenario!I14-'Rate Case'!I14</f>
        <v>-300000</v>
      </c>
      <c r="J14" s="39">
        <f>Scenario!J14-'Rate Case'!J14</f>
        <v>-300000</v>
      </c>
      <c r="K14" s="39">
        <f>Scenario!K14-'Rate Case'!K14</f>
        <v>-300000</v>
      </c>
      <c r="L14" s="39">
        <f>Scenario!L14-'Rate Case'!L14</f>
        <v>-300000</v>
      </c>
      <c r="M14" s="39">
        <f>Scenario!M14-'Rate Case'!M14</f>
        <v>-300000</v>
      </c>
      <c r="N14" s="39">
        <f>Scenario!N14-'Rate Case'!N14</f>
        <v>-300000</v>
      </c>
      <c r="O14" s="39">
        <f>Scenario!O14-'Rate Case'!O14</f>
        <v>-300000</v>
      </c>
      <c r="P14" s="175">
        <f t="shared" si="3"/>
        <v>-300000</v>
      </c>
    </row>
    <row r="15" spans="1:19" s="25" customFormat="1" ht="15.75" customHeight="1">
      <c r="A15" s="30" t="s">
        <v>32</v>
      </c>
      <c r="C15" s="39">
        <f>Scenario!C15-'Rate Case'!C15</f>
        <v>56540.030860000057</v>
      </c>
      <c r="D15" s="181">
        <f>Scenario!D15-'Rate Case'!D15</f>
        <v>56540.030860000057</v>
      </c>
      <c r="E15" s="181">
        <f>Scenario!E15-'Rate Case'!E15</f>
        <v>56540.030860000057</v>
      </c>
      <c r="F15" s="181">
        <f>Scenario!F15-'Rate Case'!F15</f>
        <v>56540.030860000057</v>
      </c>
      <c r="G15" s="181">
        <f>Scenario!G15-'Rate Case'!G15</f>
        <v>56540.030860000057</v>
      </c>
      <c r="H15" s="181">
        <f>Scenario!H15-'Rate Case'!H15</f>
        <v>56540.030860000057</v>
      </c>
      <c r="I15" s="181">
        <f>Scenario!I15-'Rate Case'!I15</f>
        <v>56540.030860000057</v>
      </c>
      <c r="J15" s="181">
        <f>Scenario!J15-'Rate Case'!J15</f>
        <v>56540.030860000057</v>
      </c>
      <c r="K15" s="181">
        <f>Scenario!K15-'Rate Case'!K15</f>
        <v>56540.030860000057</v>
      </c>
      <c r="L15" s="181">
        <f>Scenario!L15-'Rate Case'!L15</f>
        <v>56540.030860000057</v>
      </c>
      <c r="M15" s="181">
        <f>Scenario!M15-'Rate Case'!M15</f>
        <v>56540.030860000057</v>
      </c>
      <c r="N15" s="181">
        <f>Scenario!N15-'Rate Case'!N15</f>
        <v>56540.030860000057</v>
      </c>
      <c r="O15" s="181">
        <f>Scenario!O15-'Rate Case'!O15</f>
        <v>56540.030860000057</v>
      </c>
      <c r="P15" s="175">
        <f t="shared" si="3"/>
        <v>56540.030860000057</v>
      </c>
    </row>
    <row r="16" spans="1:19" s="25" customFormat="1">
      <c r="A16" s="30" t="s">
        <v>33</v>
      </c>
      <c r="C16" s="39">
        <f>Scenario!C16-'Rate Case'!C16</f>
        <v>0</v>
      </c>
      <c r="D16" s="181">
        <f>Scenario!D16-'Rate Case'!D16</f>
        <v>0</v>
      </c>
      <c r="E16" s="181">
        <f>Scenario!E16-'Rate Case'!E16</f>
        <v>0</v>
      </c>
      <c r="F16" s="181">
        <f>Scenario!F16-'Rate Case'!F16</f>
        <v>0</v>
      </c>
      <c r="G16" s="181">
        <f>Scenario!G16-'Rate Case'!G16</f>
        <v>0</v>
      </c>
      <c r="H16" s="181">
        <f>Scenario!H16-'Rate Case'!H16</f>
        <v>0</v>
      </c>
      <c r="I16" s="181">
        <f>Scenario!I16-'Rate Case'!I16</f>
        <v>37500</v>
      </c>
      <c r="J16" s="181">
        <f>Scenario!J16-'Rate Case'!J16</f>
        <v>37500</v>
      </c>
      <c r="K16" s="181">
        <f>Scenario!K16-'Rate Case'!K16</f>
        <v>37500</v>
      </c>
      <c r="L16" s="181">
        <f>Scenario!L16-'Rate Case'!L16</f>
        <v>37500</v>
      </c>
      <c r="M16" s="181">
        <f>Scenario!M16-'Rate Case'!M16</f>
        <v>37500</v>
      </c>
      <c r="N16" s="181">
        <f>Scenario!N16-'Rate Case'!N16</f>
        <v>37500</v>
      </c>
      <c r="O16" s="181">
        <f>Scenario!O16-'Rate Case'!O16</f>
        <v>37500</v>
      </c>
      <c r="P16" s="175">
        <f t="shared" si="3"/>
        <v>20192.307692307691</v>
      </c>
    </row>
    <row r="17" spans="1:19" s="25" customFormat="1">
      <c r="C17" s="178">
        <f>Scenario!C17-'Rate Case'!C17</f>
        <v>0</v>
      </c>
      <c r="D17" s="182">
        <f>Scenario!D17-'Rate Case'!D17</f>
        <v>0</v>
      </c>
      <c r="E17" s="182">
        <f>Scenario!E17-'Rate Case'!E17</f>
        <v>0</v>
      </c>
      <c r="F17" s="182">
        <f>Scenario!F17-'Rate Case'!F17</f>
        <v>0</v>
      </c>
      <c r="G17" s="182">
        <f>Scenario!G17-'Rate Case'!G17</f>
        <v>0</v>
      </c>
      <c r="H17" s="182">
        <f>Scenario!H17-'Rate Case'!H17</f>
        <v>0</v>
      </c>
      <c r="I17" s="182">
        <f>Scenario!I17-'Rate Case'!I17</f>
        <v>0</v>
      </c>
      <c r="J17" s="182">
        <f>Scenario!J17-'Rate Case'!J17</f>
        <v>0</v>
      </c>
      <c r="K17" s="182">
        <f>Scenario!K17-'Rate Case'!K17</f>
        <v>0</v>
      </c>
      <c r="L17" s="182">
        <f>Scenario!L17-'Rate Case'!L17</f>
        <v>0</v>
      </c>
      <c r="M17" s="182">
        <f>Scenario!M17-'Rate Case'!M17</f>
        <v>0</v>
      </c>
      <c r="N17" s="182">
        <f>Scenario!N17-'Rate Case'!N17</f>
        <v>0</v>
      </c>
      <c r="O17" s="182">
        <f>Scenario!O17-'Rate Case'!O17</f>
        <v>0</v>
      </c>
      <c r="P17" s="179">
        <f t="shared" si="3"/>
        <v>0</v>
      </c>
    </row>
    <row r="18" spans="1:19" ht="12.75" customHeight="1">
      <c r="A18" s="134" t="s">
        <v>34</v>
      </c>
      <c r="C18" s="39">
        <f t="shared" ref="C18:O18" si="4">SUM(C12:C17)</f>
        <v>0</v>
      </c>
      <c r="D18" s="39">
        <f t="shared" si="4"/>
        <v>0</v>
      </c>
      <c r="E18" s="39">
        <f t="shared" si="4"/>
        <v>0</v>
      </c>
      <c r="F18" s="39">
        <f t="shared" si="4"/>
        <v>0</v>
      </c>
      <c r="G18" s="39">
        <f t="shared" si="4"/>
        <v>0</v>
      </c>
      <c r="H18" s="39">
        <f t="shared" si="4"/>
        <v>0</v>
      </c>
      <c r="I18" s="39">
        <f t="shared" si="4"/>
        <v>0</v>
      </c>
      <c r="J18" s="39">
        <f t="shared" si="4"/>
        <v>0</v>
      </c>
      <c r="K18" s="39">
        <f t="shared" si="4"/>
        <v>0</v>
      </c>
      <c r="L18" s="39">
        <f t="shared" si="4"/>
        <v>0</v>
      </c>
      <c r="M18" s="39">
        <f t="shared" si="4"/>
        <v>0</v>
      </c>
      <c r="N18" s="39">
        <f t="shared" si="4"/>
        <v>0</v>
      </c>
      <c r="O18" s="39">
        <f t="shared" si="4"/>
        <v>0</v>
      </c>
      <c r="P18" s="175">
        <f>SUM(P12:P17)</f>
        <v>-1.7098500393331051E-10</v>
      </c>
    </row>
    <row r="19" spans="1:19" ht="15.75" customHeight="1"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183">
        <f>Scenario!P19-'Rate Case'!P19</f>
        <v>-9.2711454533462995E-3</v>
      </c>
      <c r="R19" s="3"/>
      <c r="S19" s="3"/>
    </row>
    <row r="20" spans="1:19">
      <c r="A20" s="15" t="s">
        <v>35</v>
      </c>
      <c r="C20" s="184"/>
      <c r="D20" s="181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75" t="s">
        <v>37</v>
      </c>
    </row>
    <row r="21" spans="1:19">
      <c r="A21" s="15" t="s">
        <v>36</v>
      </c>
      <c r="B21" s="53">
        <f>Scenario!B21-'Rate Case'!B21</f>
        <v>0</v>
      </c>
      <c r="C21" s="39">
        <f>Scenario!C21-'Rate Case'!C21</f>
        <v>1916.9</v>
      </c>
      <c r="D21" s="39">
        <f>Scenario!D21-'Rate Case'!D21</f>
        <v>1916.9</v>
      </c>
      <c r="E21" s="39">
        <f>Scenario!E21-'Rate Case'!E21</f>
        <v>1916.9</v>
      </c>
      <c r="F21" s="39">
        <f>Scenario!F21-'Rate Case'!F21</f>
        <v>1916.9</v>
      </c>
      <c r="G21" s="39">
        <f>Scenario!G21-'Rate Case'!G21</f>
        <v>1916.9</v>
      </c>
      <c r="H21" s="39">
        <f>Scenario!H21-'Rate Case'!H21</f>
        <v>1916.9</v>
      </c>
      <c r="I21" s="39">
        <f>Scenario!I21-'Rate Case'!I21</f>
        <v>1916.9</v>
      </c>
      <c r="J21" s="39">
        <f>Scenario!J21-'Rate Case'!J21</f>
        <v>1786.3469560123904</v>
      </c>
      <c r="K21" s="39">
        <f>Scenario!K21-'Rate Case'!K21</f>
        <v>1786.3469560123904</v>
      </c>
      <c r="L21" s="39">
        <f>Scenario!L21-'Rate Case'!L21</f>
        <v>1786.3469560123904</v>
      </c>
      <c r="M21" s="39">
        <f>Scenario!M21-'Rate Case'!M21</f>
        <v>1786.3469560123904</v>
      </c>
      <c r="N21" s="39">
        <f>Scenario!N21-'Rate Case'!N21</f>
        <v>1786.3469560123904</v>
      </c>
      <c r="O21" s="39">
        <f>Scenario!O21-'Rate Case'!O21</f>
        <v>1786.3469560123904</v>
      </c>
      <c r="P21" s="175">
        <f>SUM(D21:O21)</f>
        <v>22219.481736074347</v>
      </c>
    </row>
    <row r="22" spans="1:19" s="25" customFormat="1">
      <c r="A22" s="30" t="s">
        <v>30</v>
      </c>
      <c r="B22" s="53">
        <f>Scenario!B22-'Rate Case'!B22</f>
        <v>-5.3999999999999999E-2</v>
      </c>
      <c r="C22" s="39">
        <f>Scenario!C22-'Rate Case'!C22</f>
        <v>-1462.5</v>
      </c>
      <c r="D22" s="39">
        <f>Scenario!D22-'Rate Case'!D22</f>
        <v>-1462.5</v>
      </c>
      <c r="E22" s="39">
        <f>Scenario!E22-'Rate Case'!E22</f>
        <v>-1462.5</v>
      </c>
      <c r="F22" s="39">
        <f>Scenario!F22-'Rate Case'!F22</f>
        <v>-1462.5</v>
      </c>
      <c r="G22" s="39">
        <f>Scenario!G22-'Rate Case'!G22</f>
        <v>-1462.5</v>
      </c>
      <c r="H22" s="39">
        <f>Scenario!H22-'Rate Case'!H22</f>
        <v>-1462.5</v>
      </c>
      <c r="I22" s="39">
        <f>Scenario!I22-'Rate Case'!I22</f>
        <v>-1462.5</v>
      </c>
      <c r="J22" s="39">
        <f>Scenario!J22-'Rate Case'!J22</f>
        <v>-1462.5</v>
      </c>
      <c r="K22" s="39">
        <f>Scenario!K22-'Rate Case'!K22</f>
        <v>-1462.5</v>
      </c>
      <c r="L22" s="39">
        <f>Scenario!L22-'Rate Case'!L22</f>
        <v>-1462.5</v>
      </c>
      <c r="M22" s="39">
        <f>Scenario!M22-'Rate Case'!M22</f>
        <v>-1462.5</v>
      </c>
      <c r="N22" s="39">
        <f>Scenario!N22-'Rate Case'!N22</f>
        <v>-1462.5</v>
      </c>
      <c r="O22" s="39">
        <f>Scenario!O22-'Rate Case'!O22</f>
        <v>-1462.5</v>
      </c>
      <c r="P22" s="175">
        <f t="shared" ref="P22:P25" si="5">SUM(D22:O22)</f>
        <v>-17550</v>
      </c>
    </row>
    <row r="23" spans="1:19" s="25" customFormat="1">
      <c r="A23" s="30" t="s">
        <v>31</v>
      </c>
      <c r="B23" s="53">
        <f>Scenario!B23-'Rate Case'!B23</f>
        <v>-5.4699999999999999E-2</v>
      </c>
      <c r="C23" s="39">
        <f>Scenario!C23-'Rate Case'!C23</f>
        <v>-1367.5</v>
      </c>
      <c r="D23" s="39">
        <f>Scenario!D23-'Rate Case'!D23</f>
        <v>-1367.5</v>
      </c>
      <c r="E23" s="39">
        <f>Scenario!E23-'Rate Case'!E23</f>
        <v>-1367.5</v>
      </c>
      <c r="F23" s="39">
        <f>Scenario!F23-'Rate Case'!F23</f>
        <v>-1367.5</v>
      </c>
      <c r="G23" s="39">
        <f>Scenario!G23-'Rate Case'!G23</f>
        <v>-1367.5</v>
      </c>
      <c r="H23" s="39">
        <f>Scenario!H23-'Rate Case'!H23</f>
        <v>-1367.5</v>
      </c>
      <c r="I23" s="39">
        <f>Scenario!I23-'Rate Case'!I23</f>
        <v>-1367.5</v>
      </c>
      <c r="J23" s="39">
        <f>Scenario!J23-'Rate Case'!J23</f>
        <v>-1367.5</v>
      </c>
      <c r="K23" s="39">
        <f>Scenario!K23-'Rate Case'!K23</f>
        <v>-1367.5</v>
      </c>
      <c r="L23" s="39">
        <f>Scenario!L23-'Rate Case'!L23</f>
        <v>-1367.5</v>
      </c>
      <c r="M23" s="39">
        <f>Scenario!M23-'Rate Case'!M23</f>
        <v>-1367.5</v>
      </c>
      <c r="N23" s="39">
        <f>Scenario!N23-'Rate Case'!N23</f>
        <v>-1367.5</v>
      </c>
      <c r="O23" s="39">
        <f>Scenario!O23-'Rate Case'!O23</f>
        <v>-1367.5</v>
      </c>
      <c r="P23" s="175">
        <f t="shared" si="5"/>
        <v>-16410</v>
      </c>
    </row>
    <row r="24" spans="1:19" s="25" customFormat="1" ht="15.75" customHeight="1">
      <c r="A24" s="30" t="s">
        <v>32</v>
      </c>
      <c r="B24" s="53">
        <f>Scenario!B24-'Rate Case'!B24</f>
        <v>-3.599999999999999E-3</v>
      </c>
      <c r="C24" s="39">
        <f>Scenario!C24-'Rate Case'!C24</f>
        <v>205.73814504200027</v>
      </c>
      <c r="D24" s="39">
        <f>Scenario!D24-'Rate Case'!D24</f>
        <v>205.73814504200027</v>
      </c>
      <c r="E24" s="39">
        <f>Scenario!E24-'Rate Case'!E24</f>
        <v>205.73814504200027</v>
      </c>
      <c r="F24" s="39">
        <f>Scenario!F24-'Rate Case'!F24</f>
        <v>205.73814504200027</v>
      </c>
      <c r="G24" s="39">
        <f>Scenario!G24-'Rate Case'!G24</f>
        <v>205.73814504200027</v>
      </c>
      <c r="H24" s="39">
        <f>Scenario!H24-'Rate Case'!H24</f>
        <v>205.73814504200027</v>
      </c>
      <c r="I24" s="39">
        <f>Scenario!I24-'Rate Case'!I24</f>
        <v>205.73814504200027</v>
      </c>
      <c r="J24" s="39">
        <f>Scenario!J24-'Rate Case'!J24</f>
        <v>205.73814504200027</v>
      </c>
      <c r="K24" s="39">
        <f>Scenario!K24-'Rate Case'!K24</f>
        <v>205.73814504200027</v>
      </c>
      <c r="L24" s="39">
        <f>Scenario!L24-'Rate Case'!L24</f>
        <v>205.73814504200027</v>
      </c>
      <c r="M24" s="39">
        <f>Scenario!M24-'Rate Case'!M24</f>
        <v>205.73814504200027</v>
      </c>
      <c r="N24" s="39">
        <f>Scenario!N24-'Rate Case'!N24</f>
        <v>205.73814504200027</v>
      </c>
      <c r="O24" s="39">
        <f>Scenario!O24-'Rate Case'!O24</f>
        <v>205.73814504200027</v>
      </c>
      <c r="P24" s="175">
        <f t="shared" si="5"/>
        <v>2468.8577405040032</v>
      </c>
    </row>
    <row r="25" spans="1:19" s="25" customFormat="1">
      <c r="A25" s="30" t="s">
        <v>33</v>
      </c>
      <c r="B25" s="53">
        <f>Scenario!B25-'Rate Case'!B25</f>
        <v>1.7000000000000001E-3</v>
      </c>
      <c r="C25" s="39">
        <f>Scenario!C25-'Rate Case'!C25</f>
        <v>0</v>
      </c>
      <c r="D25" s="39">
        <f>Scenario!D25-'Rate Case'!D25</f>
        <v>0</v>
      </c>
      <c r="E25" s="39">
        <f>Scenario!E25-'Rate Case'!E25</f>
        <v>0</v>
      </c>
      <c r="F25" s="39">
        <f>Scenario!F25-'Rate Case'!F25</f>
        <v>0</v>
      </c>
      <c r="G25" s="39">
        <f>Scenario!G25-'Rate Case'!G25</f>
        <v>0</v>
      </c>
      <c r="H25" s="39">
        <f>Scenario!H25-'Rate Case'!H25</f>
        <v>0</v>
      </c>
      <c r="I25" s="39">
        <f>Scenario!I25-'Rate Case'!I25</f>
        <v>0</v>
      </c>
      <c r="J25" s="39">
        <f>Scenario!J25-'Rate Case'!J25</f>
        <v>187.29166666666663</v>
      </c>
      <c r="K25" s="39">
        <f>Scenario!K25-'Rate Case'!K25</f>
        <v>187.29166666666663</v>
      </c>
      <c r="L25" s="39">
        <f>Scenario!L25-'Rate Case'!L25</f>
        <v>187.29166666666663</v>
      </c>
      <c r="M25" s="39">
        <f>Scenario!M25-'Rate Case'!M25</f>
        <v>187.29166666666663</v>
      </c>
      <c r="N25" s="39">
        <f>Scenario!N25-'Rate Case'!N25</f>
        <v>187.29166666666663</v>
      </c>
      <c r="O25" s="39">
        <f>Scenario!O25-'Rate Case'!O25</f>
        <v>187.29166666666663</v>
      </c>
      <c r="P25" s="175">
        <f t="shared" si="5"/>
        <v>1123.7499999999998</v>
      </c>
    </row>
    <row r="26" spans="1:19" s="25" customFormat="1">
      <c r="B26" s="53"/>
      <c r="C26" s="178">
        <f>Scenario!C26-'Rate Case'!C26</f>
        <v>0</v>
      </c>
      <c r="D26" s="178">
        <f>Scenario!D26-'Rate Case'!D26</f>
        <v>0</v>
      </c>
      <c r="E26" s="178">
        <f>Scenario!E26-'Rate Case'!E26</f>
        <v>0</v>
      </c>
      <c r="F26" s="178">
        <f>Scenario!F26-'Rate Case'!F26</f>
        <v>0</v>
      </c>
      <c r="G26" s="178">
        <f>Scenario!G26-'Rate Case'!G26</f>
        <v>0</v>
      </c>
      <c r="H26" s="178">
        <f>Scenario!H26-'Rate Case'!H26</f>
        <v>0</v>
      </c>
      <c r="I26" s="178">
        <f>Scenario!I26-'Rate Case'!I26</f>
        <v>0</v>
      </c>
      <c r="J26" s="178">
        <f>Scenario!J26-'Rate Case'!J26</f>
        <v>0</v>
      </c>
      <c r="K26" s="178">
        <f>Scenario!K26-'Rate Case'!K26</f>
        <v>0</v>
      </c>
      <c r="L26" s="178">
        <f>Scenario!L26-'Rate Case'!L26</f>
        <v>0</v>
      </c>
      <c r="M26" s="178">
        <f>Scenario!M26-'Rate Case'!M26</f>
        <v>0</v>
      </c>
      <c r="N26" s="178">
        <f>Scenario!N26-'Rate Case'!N26</f>
        <v>0</v>
      </c>
      <c r="O26" s="178">
        <f>Scenario!O26-'Rate Case'!O26</f>
        <v>0</v>
      </c>
      <c r="P26" s="179">
        <f t="shared" ref="P26" si="6">SUM(D26:O26)</f>
        <v>0</v>
      </c>
    </row>
    <row r="27" spans="1:19" ht="12.75" customHeight="1">
      <c r="A27" s="134" t="s">
        <v>34</v>
      </c>
      <c r="C27" s="39">
        <f t="shared" ref="C27:O27" si="7">SUM(C20:C26)</f>
        <v>-707.36185495799964</v>
      </c>
      <c r="D27" s="39">
        <f t="shared" si="7"/>
        <v>-707.36185495799964</v>
      </c>
      <c r="E27" s="39">
        <f t="shared" si="7"/>
        <v>-707.36185495799964</v>
      </c>
      <c r="F27" s="39">
        <f t="shared" si="7"/>
        <v>-707.36185495799964</v>
      </c>
      <c r="G27" s="39">
        <f t="shared" si="7"/>
        <v>-707.36185495799964</v>
      </c>
      <c r="H27" s="39">
        <f t="shared" si="7"/>
        <v>-707.36185495799964</v>
      </c>
      <c r="I27" s="39">
        <f t="shared" si="7"/>
        <v>-707.36185495799964</v>
      </c>
      <c r="J27" s="39">
        <f t="shared" si="7"/>
        <v>-650.62323227894274</v>
      </c>
      <c r="K27" s="39">
        <f t="shared" si="7"/>
        <v>-650.62323227894274</v>
      </c>
      <c r="L27" s="39">
        <f t="shared" si="7"/>
        <v>-650.62323227894274</v>
      </c>
      <c r="M27" s="39">
        <f t="shared" si="7"/>
        <v>-650.62323227894274</v>
      </c>
      <c r="N27" s="39">
        <f t="shared" si="7"/>
        <v>-650.62323227894274</v>
      </c>
      <c r="O27" s="39">
        <f t="shared" si="7"/>
        <v>-650.62323227894274</v>
      </c>
      <c r="P27" s="175">
        <f>SUM(P20:P26)</f>
        <v>-8147.9105234216495</v>
      </c>
    </row>
    <row r="28" spans="1:19" ht="15.75" customHeight="1">
      <c r="C28" s="155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175"/>
      <c r="Q28" s="3"/>
      <c r="R28" s="3"/>
      <c r="S28" s="3"/>
    </row>
    <row r="29" spans="1:19" ht="15.75" customHeight="1">
      <c r="A29" s="25" t="s">
        <v>50</v>
      </c>
      <c r="C29" s="39">
        <f>Scenario!C29-'Rate Case'!C29</f>
        <v>0</v>
      </c>
      <c r="D29" s="39">
        <f>Scenario!D29-'Rate Case'!D29</f>
        <v>0</v>
      </c>
      <c r="E29" s="39">
        <f>Scenario!E29-'Rate Case'!E29</f>
        <v>0</v>
      </c>
      <c r="F29" s="39">
        <f>Scenario!F29-'Rate Case'!F29</f>
        <v>0</v>
      </c>
      <c r="G29" s="39">
        <f>Scenario!G29-'Rate Case'!G29</f>
        <v>0</v>
      </c>
      <c r="H29" s="39">
        <f>Scenario!H29-'Rate Case'!H29</f>
        <v>0</v>
      </c>
      <c r="I29" s="39">
        <f>Scenario!I29-'Rate Case'!I29</f>
        <v>0</v>
      </c>
      <c r="J29" s="39">
        <f>Scenario!J29-'Rate Case'!J29</f>
        <v>0</v>
      </c>
      <c r="K29" s="39">
        <f>Scenario!K29-'Rate Case'!K29</f>
        <v>0</v>
      </c>
      <c r="L29" s="39">
        <f>Scenario!L29-'Rate Case'!L29</f>
        <v>0</v>
      </c>
      <c r="M29" s="39">
        <f>Scenario!M29-'Rate Case'!M29</f>
        <v>0</v>
      </c>
      <c r="N29" s="39">
        <f>Scenario!N29-'Rate Case'!N29</f>
        <v>0</v>
      </c>
      <c r="O29" s="39">
        <f>Scenario!O29-'Rate Case'!O29</f>
        <v>0</v>
      </c>
      <c r="P29" s="39">
        <f>Scenario!P29-'Rate Case'!P29</f>
        <v>0</v>
      </c>
      <c r="Q29" s="3"/>
      <c r="R29" s="3"/>
      <c r="S29" s="3"/>
    </row>
    <row r="30" spans="1:19" ht="15.75" customHeight="1">
      <c r="A30" s="25" t="s">
        <v>38</v>
      </c>
      <c r="C30" s="186">
        <f>Scenario!C30-'Rate Case'!C30</f>
        <v>-8.7499999999999991E-4</v>
      </c>
      <c r="D30" s="186">
        <f>Scenario!D30-'Rate Case'!D30</f>
        <v>-8.7499999999999948E-4</v>
      </c>
      <c r="E30" s="186">
        <f>Scenario!E30-'Rate Case'!E30</f>
        <v>-8.7499999999999948E-4</v>
      </c>
      <c r="F30" s="186">
        <f>Scenario!F30-'Rate Case'!F30</f>
        <v>-8.7499999999999948E-4</v>
      </c>
      <c r="G30" s="186">
        <f>Scenario!G30-'Rate Case'!G30</f>
        <v>-8.7499999999999991E-4</v>
      </c>
      <c r="H30" s="186">
        <f>Scenario!H30-'Rate Case'!H30</f>
        <v>-8.7499999999999991E-4</v>
      </c>
      <c r="I30" s="186">
        <f>Scenario!I30-'Rate Case'!I30</f>
        <v>-8.7499999999999991E-4</v>
      </c>
      <c r="J30" s="186">
        <f>Scenario!J30-'Rate Case'!J30</f>
        <v>-8.7500000000000034E-4</v>
      </c>
      <c r="K30" s="186">
        <f>Scenario!K30-'Rate Case'!K30</f>
        <v>-8.7500000000000034E-4</v>
      </c>
      <c r="L30" s="186">
        <f>Scenario!L30-'Rate Case'!L30</f>
        <v>-8.7500000000000034E-4</v>
      </c>
      <c r="M30" s="186">
        <f>Scenario!M30-'Rate Case'!M30</f>
        <v>-8.7500000000000034E-4</v>
      </c>
      <c r="N30" s="186">
        <f>Scenario!N30-'Rate Case'!N30</f>
        <v>-8.7500000000000034E-4</v>
      </c>
      <c r="O30" s="186">
        <f>Scenario!O30-'Rate Case'!O30</f>
        <v>-8.7500000000000034E-4</v>
      </c>
      <c r="P30" s="183">
        <f>Scenario!P30-'Rate Case'!P30</f>
        <v>-1.0379111137533474E-2</v>
      </c>
      <c r="Q30" s="3"/>
      <c r="R30" s="3"/>
      <c r="S30" s="3"/>
    </row>
    <row r="31" spans="1:19" ht="15.75" customHeight="1">
      <c r="A31" s="25" t="s">
        <v>39</v>
      </c>
      <c r="C31" s="39">
        <f>Scenario!C31-'Rate Case'!C31</f>
        <v>-93.892969604134635</v>
      </c>
      <c r="D31" s="39">
        <f>Scenario!D31-'Rate Case'!D31</f>
        <v>-96.835992272112492</v>
      </c>
      <c r="E31" s="39">
        <f>Scenario!E31-'Rate Case'!E31</f>
        <v>-96.974290712367804</v>
      </c>
      <c r="F31" s="39">
        <f>Scenario!F31-'Rate Case'!F31</f>
        <v>-99.280658068947275</v>
      </c>
      <c r="G31" s="39">
        <f>Scenario!G31-'Rate Case'!G31</f>
        <v>-115.43693862579283</v>
      </c>
      <c r="H31" s="39">
        <f>Scenario!H31-'Rate Case'!H31</f>
        <v>-123.5638158865093</v>
      </c>
      <c r="I31" s="39">
        <f>Scenario!I31-'Rate Case'!I31</f>
        <v>-86.290898204009125</v>
      </c>
      <c r="J31" s="39">
        <f>Scenario!J31-'Rate Case'!J31</f>
        <v>-61.129349244542453</v>
      </c>
      <c r="K31" s="39">
        <f>Scenario!K31-'Rate Case'!K31</f>
        <v>-64.540381989096772</v>
      </c>
      <c r="L31" s="39">
        <f>Scenario!L31-'Rate Case'!L31</f>
        <v>-63.356206807488093</v>
      </c>
      <c r="M31" s="39">
        <f>Scenario!M31-'Rate Case'!M31</f>
        <v>-84.16523520763775</v>
      </c>
      <c r="N31" s="39">
        <f>Scenario!N31-'Rate Case'!N31</f>
        <v>-100.38643083881709</v>
      </c>
      <c r="O31" s="39">
        <f>Scenario!O31-'Rate Case'!O31</f>
        <v>-108.43407723915618</v>
      </c>
      <c r="P31" s="175">
        <f>SUM(D31:O31)</f>
        <v>-1100.3942750964773</v>
      </c>
      <c r="Q31" s="3"/>
      <c r="R31" s="3"/>
      <c r="S31" s="3"/>
    </row>
    <row r="32" spans="1:19">
      <c r="C32" s="187"/>
      <c r="D32" s="188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90"/>
    </row>
    <row r="33" spans="1:16">
      <c r="C33" s="39">
        <f t="shared" ref="C33:O33" si="8">SUM(C4:C6)</f>
        <v>0</v>
      </c>
      <c r="D33" s="178">
        <f t="shared" si="8"/>
        <v>0</v>
      </c>
      <c r="E33" s="178">
        <f t="shared" si="8"/>
        <v>0</v>
      </c>
      <c r="F33" s="178">
        <f t="shared" si="8"/>
        <v>0</v>
      </c>
      <c r="G33" s="178">
        <f t="shared" si="8"/>
        <v>0</v>
      </c>
      <c r="H33" s="178">
        <f t="shared" si="8"/>
        <v>0</v>
      </c>
      <c r="I33" s="178">
        <f t="shared" si="8"/>
        <v>0</v>
      </c>
      <c r="J33" s="178">
        <f t="shared" si="8"/>
        <v>0</v>
      </c>
      <c r="K33" s="178">
        <f t="shared" si="8"/>
        <v>0</v>
      </c>
      <c r="L33" s="178">
        <f t="shared" si="8"/>
        <v>0</v>
      </c>
      <c r="M33" s="178">
        <f t="shared" si="8"/>
        <v>0</v>
      </c>
      <c r="N33" s="178">
        <f t="shared" si="8"/>
        <v>0</v>
      </c>
      <c r="O33" s="178">
        <f t="shared" si="8"/>
        <v>0</v>
      </c>
      <c r="P33" s="175"/>
    </row>
    <row r="34" spans="1:16" s="41" customFormat="1">
      <c r="A34" s="41" t="s">
        <v>28</v>
      </c>
      <c r="C34" s="191">
        <f>Scenario!C34-'Rate Case'!C34</f>
        <v>0</v>
      </c>
      <c r="D34" s="192">
        <f>Scenario!D34-'Rate Case'!D34</f>
        <v>0</v>
      </c>
      <c r="E34" s="192">
        <f>Scenario!E34-'Rate Case'!E34</f>
        <v>0</v>
      </c>
      <c r="F34" s="192">
        <f>Scenario!F34-'Rate Case'!F34</f>
        <v>0</v>
      </c>
      <c r="G34" s="192">
        <f>Scenario!G34-'Rate Case'!G34</f>
        <v>0</v>
      </c>
      <c r="H34" s="192">
        <f>Scenario!H34-'Rate Case'!H34</f>
        <v>0</v>
      </c>
      <c r="I34" s="192">
        <f>Scenario!I34-'Rate Case'!I34</f>
        <v>0</v>
      </c>
      <c r="J34" s="192">
        <f>Scenario!J34-'Rate Case'!J34</f>
        <v>0</v>
      </c>
      <c r="K34" s="192">
        <f>Scenario!K34-'Rate Case'!K34</f>
        <v>0</v>
      </c>
      <c r="L34" s="192">
        <f>Scenario!L34-'Rate Case'!L34</f>
        <v>0</v>
      </c>
      <c r="M34" s="192">
        <f>Scenario!M34-'Rate Case'!M34</f>
        <v>0</v>
      </c>
      <c r="N34" s="192">
        <f>Scenario!N34-'Rate Case'!N34</f>
        <v>0</v>
      </c>
      <c r="O34" s="192">
        <f>Scenario!O34-'Rate Case'!O34</f>
        <v>0</v>
      </c>
      <c r="P34" s="193">
        <f>Scenario!P34-'Rate Case'!P34</f>
        <v>0</v>
      </c>
    </row>
    <row r="35" spans="1:16">
      <c r="A35" t="s">
        <v>24</v>
      </c>
      <c r="D35" s="173"/>
      <c r="P35" s="174"/>
    </row>
    <row r="36" spans="1:16">
      <c r="A36" s="13" t="s">
        <v>14</v>
      </c>
      <c r="B36" s="13"/>
      <c r="D36" s="173"/>
      <c r="P36" s="175">
        <f>Scenario!P37-'Rate Case'!P37</f>
        <v>0</v>
      </c>
    </row>
    <row r="37" spans="1:16">
      <c r="A37" s="13" t="s">
        <v>15</v>
      </c>
      <c r="B37" s="13"/>
      <c r="D37" s="173"/>
      <c r="P37" s="175">
        <f>Scenario!P38-'Rate Case'!P38</f>
        <v>-5.4844644997501746E-2</v>
      </c>
    </row>
    <row r="38" spans="1:16">
      <c r="A38" s="13" t="s">
        <v>16</v>
      </c>
      <c r="B38" s="13"/>
      <c r="D38" s="173"/>
      <c r="P38" s="175">
        <f>Scenario!P39-'Rate Case'!P39</f>
        <v>-6.9813929994779755E-3</v>
      </c>
    </row>
    <row r="39" spans="1:16">
      <c r="A39" s="13" t="s">
        <v>18</v>
      </c>
      <c r="B39" s="13"/>
      <c r="D39" s="173"/>
      <c r="P39" s="175">
        <f>Scenario!P40-'Rate Case'!P40</f>
        <v>0</v>
      </c>
    </row>
    <row r="40" spans="1:16">
      <c r="A40" s="13" t="s">
        <v>25</v>
      </c>
      <c r="B40" s="13"/>
      <c r="D40" s="173"/>
      <c r="P40" s="175">
        <f>Scenario!P41-'Rate Case'!P41</f>
        <v>0</v>
      </c>
    </row>
    <row r="41" spans="1:16">
      <c r="A41" s="16" t="s">
        <v>19</v>
      </c>
      <c r="B41" s="16"/>
      <c r="C41" s="194"/>
      <c r="D41" s="173"/>
      <c r="P41" s="179">
        <f>Scenario!P42-'Rate Case'!P42</f>
        <v>0</v>
      </c>
    </row>
    <row r="42" spans="1:16">
      <c r="A42" s="13" t="s">
        <v>17</v>
      </c>
      <c r="B42" s="13"/>
      <c r="D42" s="173"/>
      <c r="P42" s="175">
        <f>SUM(P36:P41)</f>
        <v>-6.1826037996979721E-2</v>
      </c>
    </row>
    <row r="43" spans="1:16">
      <c r="D43" s="173"/>
      <c r="P43" s="175"/>
    </row>
    <row r="44" spans="1:16">
      <c r="A44" t="s">
        <v>14</v>
      </c>
      <c r="D44" s="173"/>
      <c r="P44" s="175">
        <f t="shared" ref="P44:P49" si="9">+P4+P36</f>
        <v>0</v>
      </c>
    </row>
    <row r="45" spans="1:16">
      <c r="A45" t="s">
        <v>15</v>
      </c>
      <c r="D45" s="173"/>
      <c r="P45" s="175">
        <f t="shared" si="9"/>
        <v>-5.4844644997501746E-2</v>
      </c>
    </row>
    <row r="46" spans="1:16">
      <c r="A46" t="s">
        <v>16</v>
      </c>
      <c r="D46" s="173"/>
      <c r="P46" s="175">
        <f t="shared" si="9"/>
        <v>-6.9813929994779755E-3</v>
      </c>
    </row>
    <row r="47" spans="1:16">
      <c r="A47" t="s">
        <v>18</v>
      </c>
      <c r="D47" s="173"/>
      <c r="P47" s="175">
        <f t="shared" si="9"/>
        <v>0</v>
      </c>
    </row>
    <row r="48" spans="1:16">
      <c r="A48" t="s">
        <v>25</v>
      </c>
      <c r="D48" s="173"/>
      <c r="P48" s="175">
        <f t="shared" si="9"/>
        <v>0</v>
      </c>
    </row>
    <row r="49" spans="1:18">
      <c r="A49" t="s">
        <v>19</v>
      </c>
      <c r="D49" s="173"/>
      <c r="P49" s="179">
        <f t="shared" si="9"/>
        <v>0</v>
      </c>
    </row>
    <row r="50" spans="1:18" ht="15.75" thickBot="1">
      <c r="A50" s="134" t="s">
        <v>17</v>
      </c>
      <c r="D50" s="173"/>
      <c r="P50" s="175">
        <f t="shared" ref="P50" si="10">SUM(P44:P49)</f>
        <v>-6.1826037996979721E-2</v>
      </c>
      <c r="Q50" s="20"/>
      <c r="R50" s="20"/>
    </row>
    <row r="51" spans="1:18" ht="15.75" thickBot="1">
      <c r="A51" s="1" t="s">
        <v>121</v>
      </c>
      <c r="D51" s="173"/>
      <c r="P51" s="195">
        <f>Scenario!P52-'Rate Case'!P52</f>
        <v>1.6441889294505074E-8</v>
      </c>
    </row>
    <row r="52" spans="1:18">
      <c r="A52" t="s">
        <v>14</v>
      </c>
      <c r="D52" s="196">
        <f>Scenario!D53-'Rate Case'!D53</f>
        <v>0</v>
      </c>
      <c r="E52" s="196">
        <f>Scenario!E53-'Rate Case'!E53</f>
        <v>0</v>
      </c>
      <c r="F52" s="196">
        <f>Scenario!F53-'Rate Case'!F53</f>
        <v>0</v>
      </c>
      <c r="G52" s="196">
        <f>Scenario!G53-'Rate Case'!G53</f>
        <v>0</v>
      </c>
      <c r="H52" s="196">
        <f>Scenario!H53-'Rate Case'!H53</f>
        <v>0</v>
      </c>
      <c r="I52" s="196">
        <f>Scenario!I53-'Rate Case'!I53</f>
        <v>0</v>
      </c>
      <c r="J52" s="196">
        <f>Scenario!J53-'Rate Case'!J53</f>
        <v>0</v>
      </c>
      <c r="K52" s="196">
        <f>Scenario!K53-'Rate Case'!K53</f>
        <v>0</v>
      </c>
      <c r="L52" s="196">
        <f>Scenario!L53-'Rate Case'!L53</f>
        <v>0</v>
      </c>
      <c r="M52" s="196">
        <f>Scenario!M53-'Rate Case'!M53</f>
        <v>0</v>
      </c>
      <c r="N52" s="196">
        <f>Scenario!N53-'Rate Case'!N53</f>
        <v>0</v>
      </c>
      <c r="O52" s="196">
        <f>Scenario!O53-'Rate Case'!O53</f>
        <v>0</v>
      </c>
      <c r="P52" s="197">
        <f>Scenario!P53-'Rate Case'!P53</f>
        <v>1.2405699245654489E-8</v>
      </c>
      <c r="Q52" s="10"/>
      <c r="R52" s="4"/>
    </row>
    <row r="53" spans="1:18">
      <c r="A53" t="s">
        <v>15</v>
      </c>
      <c r="D53" s="196">
        <f>Scenario!D54-'Rate Case'!D54</f>
        <v>0</v>
      </c>
      <c r="E53" s="196">
        <f>Scenario!E54-'Rate Case'!E54</f>
        <v>0</v>
      </c>
      <c r="F53" s="196">
        <f>Scenario!F54-'Rate Case'!F54</f>
        <v>0</v>
      </c>
      <c r="G53" s="196">
        <f>Scenario!G54-'Rate Case'!G54</f>
        <v>0</v>
      </c>
      <c r="H53" s="196">
        <f>Scenario!H54-'Rate Case'!H54</f>
        <v>0</v>
      </c>
      <c r="I53" s="196">
        <f>Scenario!I54-'Rate Case'!I54</f>
        <v>0</v>
      </c>
      <c r="J53" s="196">
        <f>Scenario!J54-'Rate Case'!J54</f>
        <v>0</v>
      </c>
      <c r="K53" s="196">
        <f>Scenario!K54-'Rate Case'!K54</f>
        <v>0</v>
      </c>
      <c r="L53" s="196">
        <f>Scenario!L54-'Rate Case'!L54</f>
        <v>0</v>
      </c>
      <c r="M53" s="196">
        <f>Scenario!M54-'Rate Case'!M54</f>
        <v>0</v>
      </c>
      <c r="N53" s="196">
        <f>Scenario!N54-'Rate Case'!N54</f>
        <v>0</v>
      </c>
      <c r="O53" s="196">
        <f>Scenario!O54-'Rate Case'!O54</f>
        <v>0</v>
      </c>
      <c r="P53" s="197">
        <f>Scenario!P54-'Rate Case'!P54</f>
        <v>-1.3987738411991302E-8</v>
      </c>
      <c r="Q53" s="10"/>
      <c r="R53" s="4"/>
    </row>
    <row r="54" spans="1:18">
      <c r="A54" t="s">
        <v>16</v>
      </c>
      <c r="D54" s="196">
        <f>Scenario!D55-'Rate Case'!D55</f>
        <v>0</v>
      </c>
      <c r="E54" s="196">
        <f>Scenario!E55-'Rate Case'!E55</f>
        <v>0</v>
      </c>
      <c r="F54" s="196">
        <f>Scenario!F55-'Rate Case'!F55</f>
        <v>0</v>
      </c>
      <c r="G54" s="196">
        <f>Scenario!G55-'Rate Case'!G55</f>
        <v>0</v>
      </c>
      <c r="H54" s="196">
        <f>Scenario!H55-'Rate Case'!H55</f>
        <v>0</v>
      </c>
      <c r="I54" s="196">
        <f>Scenario!I55-'Rate Case'!I55</f>
        <v>0</v>
      </c>
      <c r="J54" s="196">
        <f>Scenario!J55-'Rate Case'!J55</f>
        <v>0</v>
      </c>
      <c r="K54" s="196">
        <f>Scenario!K55-'Rate Case'!K55</f>
        <v>0</v>
      </c>
      <c r="L54" s="196">
        <f>Scenario!L55-'Rate Case'!L55</f>
        <v>0</v>
      </c>
      <c r="M54" s="196">
        <f>Scenario!M55-'Rate Case'!M55</f>
        <v>0</v>
      </c>
      <c r="N54" s="196">
        <f>Scenario!N55-'Rate Case'!N55</f>
        <v>0</v>
      </c>
      <c r="O54" s="196">
        <f>Scenario!O55-'Rate Case'!O55</f>
        <v>0</v>
      </c>
      <c r="P54" s="197">
        <f>Scenario!P55-'Rate Case'!P55</f>
        <v>-1.8496550402424816E-9</v>
      </c>
      <c r="Q54" s="10"/>
      <c r="R54" s="4"/>
    </row>
    <row r="55" spans="1:18">
      <c r="A55" t="s">
        <v>18</v>
      </c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7">
        <f>Scenario!P56-'Rate Case'!P56</f>
        <v>3.0382961077601855E-10</v>
      </c>
      <c r="Q55" s="10"/>
      <c r="R55" s="4"/>
    </row>
    <row r="56" spans="1:18">
      <c r="A56" t="s">
        <v>25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7">
        <f>Scenario!P57-'Rate Case'!P57</f>
        <v>3.0930218941627174E-9</v>
      </c>
      <c r="Q56" s="10"/>
      <c r="R56" s="4"/>
    </row>
    <row r="57" spans="1:18">
      <c r="A57" t="s">
        <v>19</v>
      </c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8">
        <f>Scenario!P58-'Rate Case'!P58</f>
        <v>3.4842739587634397E-11</v>
      </c>
      <c r="Q57" s="154"/>
      <c r="R57" s="22"/>
    </row>
    <row r="58" spans="1:18">
      <c r="A58" s="134" t="s">
        <v>17</v>
      </c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7">
        <f>Scenario!P59-'Rate Case'!P59</f>
        <v>0</v>
      </c>
      <c r="Q58" s="10"/>
      <c r="R58" s="10"/>
    </row>
    <row r="59" spans="1:18">
      <c r="D59" s="173"/>
      <c r="P59" s="174"/>
    </row>
    <row r="60" spans="1:18">
      <c r="D60" s="173"/>
      <c r="P60" s="174"/>
    </row>
    <row r="61" spans="1:18">
      <c r="A61" t="s">
        <v>14</v>
      </c>
      <c r="D61" s="173"/>
      <c r="P61" s="199">
        <f>Scenario!P62-'Rate Case'!P62</f>
        <v>0</v>
      </c>
    </row>
    <row r="62" spans="1:18">
      <c r="A62" t="s">
        <v>15</v>
      </c>
      <c r="D62" s="173"/>
      <c r="P62" s="199">
        <f>Scenario!P63-'Rate Case'!P63</f>
        <v>-9.2711454533463064E-3</v>
      </c>
    </row>
    <row r="63" spans="1:18">
      <c r="A63" t="s">
        <v>16</v>
      </c>
      <c r="D63" s="173"/>
      <c r="P63" s="199">
        <f>Scenario!P64-'Rate Case'!P64</f>
        <v>-1.0379111137533474E-2</v>
      </c>
    </row>
    <row r="64" spans="1:18">
      <c r="A64" t="s">
        <v>18</v>
      </c>
      <c r="D64" s="173"/>
      <c r="P64" s="199">
        <f>Scenario!P65-'Rate Case'!P65</f>
        <v>0</v>
      </c>
    </row>
    <row r="65" spans="1:23">
      <c r="A65" t="s">
        <v>25</v>
      </c>
      <c r="D65" s="173"/>
      <c r="P65" s="199">
        <f>Scenario!P66-'Rate Case'!P66</f>
        <v>0</v>
      </c>
    </row>
    <row r="66" spans="1:23">
      <c r="A66" t="s">
        <v>19</v>
      </c>
      <c r="D66" s="173"/>
      <c r="P66" s="208">
        <f>Scenario!P67-'Rate Case'!P67</f>
        <v>-4.2560283715067093E-3</v>
      </c>
    </row>
    <row r="67" spans="1:23">
      <c r="A67" s="134" t="s">
        <v>17</v>
      </c>
      <c r="D67" s="173"/>
      <c r="P67" s="199">
        <f>Scenario!P68-'Rate Case'!P68</f>
        <v>-2.3906284962386504E-2</v>
      </c>
    </row>
    <row r="68" spans="1:23">
      <c r="D68" s="173"/>
      <c r="P68" s="174"/>
    </row>
    <row r="69" spans="1:23">
      <c r="A69" t="s">
        <v>14</v>
      </c>
      <c r="D69" s="173"/>
      <c r="P69" s="199">
        <f>Scenario!P70-'Rate Case'!P70</f>
        <v>1.3646269184097726E-9</v>
      </c>
      <c r="Q69" s="10"/>
      <c r="R69" s="4"/>
    </row>
    <row r="70" spans="1:23">
      <c r="A70" t="s">
        <v>15</v>
      </c>
      <c r="D70" s="173"/>
      <c r="P70" s="199">
        <f>Scenario!P71-'Rate Case'!P71</f>
        <v>-3.2598243480834697E-3</v>
      </c>
      <c r="Q70" s="10"/>
      <c r="R70" s="4"/>
    </row>
    <row r="71" spans="1:23">
      <c r="A71" t="s">
        <v>16</v>
      </c>
      <c r="D71" s="173"/>
      <c r="P71" s="199">
        <f>Scenario!P72-'Rate Case'!P72</f>
        <v>-4.3709070475372522E-4</v>
      </c>
      <c r="Q71" s="10"/>
      <c r="R71" s="4"/>
    </row>
    <row r="72" spans="1:23">
      <c r="A72" t="s">
        <v>18</v>
      </c>
      <c r="D72" s="173"/>
      <c r="P72" s="199">
        <f>Scenario!P73-'Rate Case'!P73</f>
        <v>7.686889156883342E-12</v>
      </c>
      <c r="Q72" s="10"/>
      <c r="R72" s="4"/>
    </row>
    <row r="73" spans="1:23">
      <c r="A73" t="s">
        <v>25</v>
      </c>
      <c r="D73" s="173"/>
      <c r="P73" s="199">
        <f>Scenario!P74-'Rate Case'!P74</f>
        <v>0</v>
      </c>
      <c r="Q73" s="10"/>
      <c r="R73" s="4"/>
    </row>
    <row r="74" spans="1:23" ht="15.75" thickBot="1">
      <c r="A74" t="s">
        <v>19</v>
      </c>
      <c r="D74" s="173"/>
      <c r="P74" s="199">
        <f>Scenario!P75-'Rate Case'!P75</f>
        <v>-5.6768132281098709E-6</v>
      </c>
      <c r="Q74" s="154"/>
      <c r="R74" s="4"/>
    </row>
    <row r="75" spans="1:23" ht="15.75" thickBot="1">
      <c r="A75" s="134" t="s">
        <v>17</v>
      </c>
      <c r="D75" s="173"/>
      <c r="P75" s="200">
        <f>Scenario!P76-'Rate Case'!P76</f>
        <v>-3.7025904937515036E-3</v>
      </c>
      <c r="Q75" s="10"/>
      <c r="R75" s="4"/>
    </row>
    <row r="76" spans="1:23">
      <c r="D76" s="173"/>
    </row>
    <row r="77" spans="1:23">
      <c r="D77" s="173"/>
    </row>
    <row r="78" spans="1:23">
      <c r="C78" s="201"/>
      <c r="D78" s="173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3"/>
      <c r="R78" s="3"/>
      <c r="S78" s="3"/>
      <c r="T78" s="3"/>
      <c r="U78" s="3"/>
      <c r="V78" s="3"/>
      <c r="W78" s="3"/>
    </row>
    <row r="79" spans="1:23">
      <c r="C79" s="201"/>
      <c r="D79" s="173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3"/>
      <c r="R79" s="3"/>
      <c r="S79" s="3"/>
      <c r="T79" s="3"/>
      <c r="U79" s="3"/>
      <c r="V79" s="3"/>
      <c r="W79" s="3"/>
    </row>
    <row r="80" spans="1:23">
      <c r="C80" s="201"/>
      <c r="D80" s="173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3"/>
      <c r="R80" s="3"/>
      <c r="S80" s="3"/>
      <c r="T80" s="3"/>
      <c r="U80" s="3"/>
      <c r="V80" s="3"/>
      <c r="W80" s="3"/>
    </row>
    <row r="81" spans="3:23">
      <c r="C81" s="201"/>
      <c r="D81" s="173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3"/>
      <c r="R81" s="3"/>
      <c r="S81" s="3"/>
      <c r="T81" s="3"/>
      <c r="U81" s="3"/>
      <c r="V81" s="3"/>
      <c r="W81" s="3"/>
    </row>
    <row r="82" spans="3:23">
      <c r="C82" s="201"/>
      <c r="D82" s="173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3"/>
      <c r="R82" s="3"/>
      <c r="S82" s="3"/>
      <c r="T82" s="3"/>
      <c r="U82" s="3"/>
      <c r="V82" s="3"/>
      <c r="W82" s="3"/>
    </row>
    <row r="83" spans="3:23">
      <c r="C83" s="201"/>
      <c r="D83" s="173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3"/>
      <c r="R83" s="3"/>
      <c r="S83" s="3"/>
      <c r="T83" s="3"/>
      <c r="U83" s="3"/>
      <c r="V83" s="3"/>
      <c r="W83" s="3"/>
    </row>
    <row r="84" spans="3:23">
      <c r="C84" s="201"/>
      <c r="D84" s="173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3"/>
      <c r="R84" s="3"/>
      <c r="S84" s="3"/>
      <c r="T84" s="3"/>
      <c r="U84" s="3"/>
      <c r="V84" s="3"/>
      <c r="W84" s="3"/>
    </row>
    <row r="85" spans="3:23">
      <c r="C85" s="201"/>
      <c r="D85" s="173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3"/>
      <c r="R85" s="3"/>
      <c r="S85" s="3"/>
      <c r="T85" s="3"/>
      <c r="U85" s="3"/>
      <c r="V85" s="3"/>
      <c r="W85" s="3"/>
    </row>
    <row r="86" spans="3:23">
      <c r="D86" s="173"/>
    </row>
    <row r="87" spans="3:23">
      <c r="D87" s="173"/>
    </row>
    <row r="88" spans="3:23">
      <c r="D88" s="173"/>
    </row>
    <row r="89" spans="3:23">
      <c r="D89" s="173"/>
    </row>
    <row r="90" spans="3:23">
      <c r="D90" s="173"/>
    </row>
    <row r="91" spans="3:23">
      <c r="D91" s="173"/>
    </row>
    <row r="92" spans="3:23">
      <c r="D92" s="173"/>
    </row>
    <row r="93" spans="3:23">
      <c r="D93" s="173"/>
    </row>
    <row r="94" spans="3:23">
      <c r="D94" s="173"/>
    </row>
    <row r="95" spans="3:23">
      <c r="D95" s="173"/>
    </row>
    <row r="96" spans="3:23">
      <c r="D96" s="173"/>
    </row>
    <row r="97" spans="4:4">
      <c r="D97" s="173"/>
    </row>
    <row r="98" spans="4:4">
      <c r="D98" s="173"/>
    </row>
    <row r="99" spans="4:4">
      <c r="D99" s="173"/>
    </row>
    <row r="100" spans="4:4">
      <c r="D100" s="173"/>
    </row>
    <row r="101" spans="4:4">
      <c r="D101" s="173"/>
    </row>
    <row r="102" spans="4:4">
      <c r="D102" s="173"/>
    </row>
    <row r="103" spans="4:4">
      <c r="D103" s="173"/>
    </row>
    <row r="104" spans="4:4">
      <c r="D104" s="173"/>
    </row>
    <row r="105" spans="4:4">
      <c r="D105" s="173"/>
    </row>
    <row r="106" spans="4:4">
      <c r="D106" s="173"/>
    </row>
    <row r="107" spans="4:4">
      <c r="D107" s="173"/>
    </row>
    <row r="108" spans="4:4">
      <c r="D108" s="173"/>
    </row>
    <row r="109" spans="4:4">
      <c r="D109" s="173"/>
    </row>
    <row r="110" spans="4:4">
      <c r="D110" s="173"/>
    </row>
    <row r="111" spans="4:4">
      <c r="D111" s="173"/>
    </row>
    <row r="112" spans="4:4">
      <c r="D112" s="173"/>
    </row>
    <row r="113" spans="4:4">
      <c r="D113" s="173"/>
    </row>
    <row r="114" spans="4:4">
      <c r="D114" s="173"/>
    </row>
    <row r="115" spans="4:4">
      <c r="D115" s="173"/>
    </row>
    <row r="116" spans="4:4">
      <c r="D116" s="173"/>
    </row>
    <row r="117" spans="4:4">
      <c r="D117" s="173"/>
    </row>
    <row r="118" spans="4:4">
      <c r="D118" s="173"/>
    </row>
    <row r="119" spans="4:4">
      <c r="D119" s="173"/>
    </row>
    <row r="120" spans="4:4">
      <c r="D120" s="173"/>
    </row>
    <row r="121" spans="4:4">
      <c r="D121" s="173"/>
    </row>
    <row r="122" spans="4:4">
      <c r="D122" s="173"/>
    </row>
    <row r="123" spans="4:4">
      <c r="D123" s="173"/>
    </row>
    <row r="124" spans="4:4">
      <c r="D124" s="173"/>
    </row>
    <row r="125" spans="4:4">
      <c r="D125" s="173"/>
    </row>
    <row r="126" spans="4:4">
      <c r="D126" s="173"/>
    </row>
    <row r="127" spans="4:4">
      <c r="D127" s="173"/>
    </row>
    <row r="128" spans="4:4">
      <c r="D128" s="173"/>
    </row>
    <row r="129" spans="4:4">
      <c r="D129" s="173"/>
    </row>
    <row r="130" spans="4:4">
      <c r="D130" s="173"/>
    </row>
    <row r="131" spans="4:4">
      <c r="D131" s="173"/>
    </row>
    <row r="132" spans="4:4">
      <c r="D132" s="173"/>
    </row>
    <row r="133" spans="4:4">
      <c r="D133" s="173"/>
    </row>
    <row r="134" spans="4:4">
      <c r="D134" s="173"/>
    </row>
    <row r="135" spans="4:4">
      <c r="D135" s="173"/>
    </row>
    <row r="136" spans="4:4">
      <c r="D136" s="173"/>
    </row>
    <row r="137" spans="4:4">
      <c r="D137" s="173"/>
    </row>
    <row r="138" spans="4:4">
      <c r="D138" s="173"/>
    </row>
    <row r="139" spans="4:4">
      <c r="D139" s="173"/>
    </row>
    <row r="140" spans="4:4">
      <c r="D140" s="173"/>
    </row>
    <row r="141" spans="4:4">
      <c r="D141" s="173"/>
    </row>
    <row r="142" spans="4:4">
      <c r="D142" s="173"/>
    </row>
    <row r="143" spans="4:4">
      <c r="D143" s="173"/>
    </row>
    <row r="144" spans="4:4">
      <c r="D144" s="173"/>
    </row>
    <row r="145" spans="4:4">
      <c r="D145" s="173"/>
    </row>
    <row r="146" spans="4:4">
      <c r="D146" s="173"/>
    </row>
    <row r="147" spans="4:4">
      <c r="D147" s="173"/>
    </row>
    <row r="148" spans="4:4">
      <c r="D148" s="173"/>
    </row>
    <row r="149" spans="4:4">
      <c r="D149" s="173"/>
    </row>
    <row r="150" spans="4:4">
      <c r="D150" s="173"/>
    </row>
    <row r="151" spans="4:4">
      <c r="D151" s="173"/>
    </row>
    <row r="152" spans="4:4">
      <c r="D152" s="173"/>
    </row>
    <row r="153" spans="4:4">
      <c r="D153" s="173"/>
    </row>
    <row r="154" spans="4:4">
      <c r="D154" s="173"/>
    </row>
    <row r="155" spans="4:4">
      <c r="D155" s="173"/>
    </row>
    <row r="156" spans="4:4">
      <c r="D156" s="173"/>
    </row>
    <row r="157" spans="4:4">
      <c r="D157" s="173"/>
    </row>
    <row r="158" spans="4:4">
      <c r="D158" s="173"/>
    </row>
    <row r="159" spans="4:4">
      <c r="D159" s="173"/>
    </row>
    <row r="160" spans="4:4">
      <c r="D160" s="173"/>
    </row>
    <row r="161" spans="4:4">
      <c r="D161" s="173"/>
    </row>
    <row r="162" spans="4:4">
      <c r="D162" s="173"/>
    </row>
    <row r="163" spans="4:4">
      <c r="D163" s="173"/>
    </row>
    <row r="164" spans="4:4">
      <c r="D164" s="173"/>
    </row>
    <row r="165" spans="4:4">
      <c r="D165" s="173"/>
    </row>
    <row r="166" spans="4:4">
      <c r="D166" s="173"/>
    </row>
    <row r="167" spans="4:4">
      <c r="D167" s="173"/>
    </row>
    <row r="168" spans="4:4">
      <c r="D168" s="173"/>
    </row>
    <row r="169" spans="4:4">
      <c r="D169" s="173"/>
    </row>
    <row r="170" spans="4:4">
      <c r="D170" s="173"/>
    </row>
    <row r="171" spans="4:4">
      <c r="D171" s="173"/>
    </row>
    <row r="172" spans="4:4">
      <c r="D172" s="173"/>
    </row>
    <row r="173" spans="4:4">
      <c r="D173" s="173"/>
    </row>
    <row r="174" spans="4:4">
      <c r="D174" s="173"/>
    </row>
    <row r="175" spans="4:4">
      <c r="D175" s="173"/>
    </row>
    <row r="176" spans="4:4">
      <c r="D176" s="173"/>
    </row>
    <row r="177" spans="4:4">
      <c r="D177" s="173"/>
    </row>
    <row r="178" spans="4:4">
      <c r="D178" s="173"/>
    </row>
    <row r="179" spans="4:4">
      <c r="D179" s="173"/>
    </row>
    <row r="180" spans="4:4">
      <c r="D180" s="173"/>
    </row>
    <row r="181" spans="4:4">
      <c r="D181" s="173"/>
    </row>
    <row r="182" spans="4:4">
      <c r="D182" s="173"/>
    </row>
    <row r="183" spans="4:4">
      <c r="D183" s="173"/>
    </row>
    <row r="184" spans="4:4">
      <c r="D184" s="173"/>
    </row>
    <row r="185" spans="4:4">
      <c r="D185" s="173"/>
    </row>
    <row r="186" spans="4:4">
      <c r="D186" s="173"/>
    </row>
    <row r="187" spans="4:4">
      <c r="D187" s="173"/>
    </row>
    <row r="188" spans="4:4">
      <c r="D188" s="173"/>
    </row>
    <row r="189" spans="4:4">
      <c r="D189" s="173"/>
    </row>
    <row r="190" spans="4:4">
      <c r="D190" s="173"/>
    </row>
    <row r="191" spans="4:4">
      <c r="D191" s="173"/>
    </row>
    <row r="192" spans="4:4">
      <c r="D192" s="173"/>
    </row>
    <row r="193" spans="4:4">
      <c r="D193" s="173"/>
    </row>
    <row r="194" spans="4:4">
      <c r="D194" s="173"/>
    </row>
    <row r="195" spans="4:4">
      <c r="D195" s="173"/>
    </row>
    <row r="196" spans="4:4">
      <c r="D196" s="173"/>
    </row>
    <row r="197" spans="4:4">
      <c r="D197" s="173"/>
    </row>
    <row r="198" spans="4:4">
      <c r="D198" s="173"/>
    </row>
    <row r="199" spans="4:4">
      <c r="D199" s="173"/>
    </row>
    <row r="200" spans="4:4">
      <c r="D200" s="173"/>
    </row>
    <row r="201" spans="4:4">
      <c r="D201" s="173"/>
    </row>
    <row r="202" spans="4:4">
      <c r="D202" s="173"/>
    </row>
    <row r="203" spans="4:4">
      <c r="D203" s="173"/>
    </row>
    <row r="204" spans="4:4">
      <c r="D204" s="173"/>
    </row>
    <row r="205" spans="4:4">
      <c r="D205" s="173"/>
    </row>
    <row r="206" spans="4:4">
      <c r="D206" s="173"/>
    </row>
    <row r="207" spans="4:4">
      <c r="D207" s="173"/>
    </row>
    <row r="208" spans="4:4">
      <c r="D208" s="173"/>
    </row>
    <row r="209" spans="4:4">
      <c r="D209" s="173"/>
    </row>
    <row r="210" spans="4:4">
      <c r="D210" s="173"/>
    </row>
    <row r="211" spans="4:4">
      <c r="D211" s="173"/>
    </row>
    <row r="212" spans="4:4">
      <c r="D212" s="173"/>
    </row>
    <row r="213" spans="4:4">
      <c r="D213" s="173"/>
    </row>
    <row r="214" spans="4:4">
      <c r="D214" s="173"/>
    </row>
    <row r="215" spans="4:4">
      <c r="D215" s="173"/>
    </row>
    <row r="216" spans="4:4">
      <c r="D216" s="173"/>
    </row>
    <row r="217" spans="4:4">
      <c r="D217" s="173"/>
    </row>
    <row r="218" spans="4:4">
      <c r="D218" s="173"/>
    </row>
    <row r="219" spans="4:4">
      <c r="D219" s="173"/>
    </row>
    <row r="220" spans="4:4">
      <c r="D220" s="173"/>
    </row>
    <row r="221" spans="4:4">
      <c r="D221" s="173"/>
    </row>
    <row r="222" spans="4:4">
      <c r="D222" s="173"/>
    </row>
    <row r="223" spans="4:4">
      <c r="D223" s="173"/>
    </row>
    <row r="224" spans="4:4">
      <c r="D224" s="173"/>
    </row>
    <row r="225" spans="4:4">
      <c r="D225" s="173"/>
    </row>
    <row r="226" spans="4:4">
      <c r="D226" s="173"/>
    </row>
    <row r="227" spans="4:4">
      <c r="D227" s="173"/>
    </row>
    <row r="228" spans="4:4">
      <c r="D228" s="173"/>
    </row>
    <row r="229" spans="4:4">
      <c r="D229" s="173"/>
    </row>
    <row r="230" spans="4:4">
      <c r="D230" s="173"/>
    </row>
    <row r="231" spans="4:4">
      <c r="D231" s="173"/>
    </row>
    <row r="232" spans="4:4">
      <c r="D232" s="173"/>
    </row>
    <row r="233" spans="4:4">
      <c r="D233" s="173"/>
    </row>
    <row r="234" spans="4:4">
      <c r="D234" s="173"/>
    </row>
    <row r="235" spans="4:4">
      <c r="D235" s="173"/>
    </row>
    <row r="236" spans="4:4">
      <c r="D236" s="173"/>
    </row>
    <row r="237" spans="4:4">
      <c r="D237" s="173"/>
    </row>
    <row r="238" spans="4:4">
      <c r="D238" s="173"/>
    </row>
    <row r="239" spans="4:4">
      <c r="D239" s="173"/>
    </row>
    <row r="240" spans="4:4">
      <c r="D240" s="173"/>
    </row>
    <row r="241" spans="4:4">
      <c r="D241" s="173"/>
    </row>
    <row r="242" spans="4:4">
      <c r="D242" s="173"/>
    </row>
    <row r="243" spans="4:4">
      <c r="D243" s="173"/>
    </row>
    <row r="244" spans="4:4">
      <c r="D244" s="173"/>
    </row>
    <row r="245" spans="4:4">
      <c r="D245" s="173"/>
    </row>
    <row r="246" spans="4:4">
      <c r="D246" s="173"/>
    </row>
    <row r="247" spans="4:4">
      <c r="D247" s="173"/>
    </row>
    <row r="248" spans="4:4">
      <c r="D248" s="173"/>
    </row>
    <row r="249" spans="4:4">
      <c r="D249" s="173"/>
    </row>
    <row r="250" spans="4:4">
      <c r="D250" s="173"/>
    </row>
    <row r="251" spans="4:4">
      <c r="D251" s="173"/>
    </row>
    <row r="252" spans="4:4">
      <c r="D252" s="173"/>
    </row>
    <row r="253" spans="4:4">
      <c r="D253" s="173"/>
    </row>
    <row r="254" spans="4:4">
      <c r="D254" s="173"/>
    </row>
    <row r="255" spans="4:4">
      <c r="D255" s="173"/>
    </row>
    <row r="256" spans="4:4">
      <c r="D256" s="173"/>
    </row>
    <row r="257" spans="4:4">
      <c r="D257" s="173"/>
    </row>
    <row r="258" spans="4:4">
      <c r="D258" s="173"/>
    </row>
    <row r="259" spans="4:4">
      <c r="D259" s="173"/>
    </row>
    <row r="260" spans="4:4">
      <c r="D260" s="173"/>
    </row>
    <row r="261" spans="4:4">
      <c r="D261" s="173"/>
    </row>
    <row r="262" spans="4:4">
      <c r="D262" s="173"/>
    </row>
    <row r="263" spans="4:4">
      <c r="D263" s="173"/>
    </row>
    <row r="264" spans="4:4">
      <c r="D264" s="173"/>
    </row>
    <row r="265" spans="4:4">
      <c r="D265" s="173"/>
    </row>
    <row r="266" spans="4:4">
      <c r="D266" s="173"/>
    </row>
    <row r="267" spans="4:4">
      <c r="D267" s="173"/>
    </row>
    <row r="268" spans="4:4">
      <c r="D268" s="173"/>
    </row>
    <row r="269" spans="4:4">
      <c r="D269" s="173"/>
    </row>
    <row r="270" spans="4:4">
      <c r="D270" s="173"/>
    </row>
    <row r="271" spans="4:4">
      <c r="D271" s="173"/>
    </row>
    <row r="272" spans="4:4">
      <c r="D272" s="173"/>
    </row>
    <row r="273" spans="4:4">
      <c r="D273" s="173"/>
    </row>
    <row r="274" spans="4:4">
      <c r="D274" s="173"/>
    </row>
    <row r="275" spans="4:4">
      <c r="D275" s="173"/>
    </row>
    <row r="276" spans="4:4">
      <c r="D276" s="173"/>
    </row>
    <row r="277" spans="4:4">
      <c r="D277" s="173"/>
    </row>
    <row r="278" spans="4:4">
      <c r="D278" s="173"/>
    </row>
    <row r="279" spans="4:4">
      <c r="D279" s="173"/>
    </row>
    <row r="280" spans="4:4">
      <c r="D280" s="173"/>
    </row>
    <row r="281" spans="4:4">
      <c r="D281" s="173"/>
    </row>
    <row r="282" spans="4:4">
      <c r="D282" s="173"/>
    </row>
    <row r="283" spans="4:4">
      <c r="D283" s="173"/>
    </row>
    <row r="284" spans="4:4">
      <c r="D284" s="173"/>
    </row>
    <row r="285" spans="4:4">
      <c r="D285" s="173"/>
    </row>
    <row r="286" spans="4:4">
      <c r="D286" s="173"/>
    </row>
    <row r="287" spans="4:4">
      <c r="D287" s="173"/>
    </row>
    <row r="288" spans="4:4">
      <c r="D288" s="173"/>
    </row>
    <row r="289" spans="4:4">
      <c r="D289" s="173"/>
    </row>
    <row r="290" spans="4:4">
      <c r="D290" s="173"/>
    </row>
    <row r="291" spans="4:4">
      <c r="D291" s="173"/>
    </row>
    <row r="292" spans="4:4">
      <c r="D292" s="173"/>
    </row>
    <row r="293" spans="4:4">
      <c r="D293" s="173"/>
    </row>
    <row r="294" spans="4:4">
      <c r="D294" s="173"/>
    </row>
    <row r="295" spans="4:4">
      <c r="D295" s="173"/>
    </row>
    <row r="296" spans="4:4">
      <c r="D296" s="173"/>
    </row>
    <row r="297" spans="4:4">
      <c r="D297" s="173"/>
    </row>
    <row r="298" spans="4:4">
      <c r="D298" s="173"/>
    </row>
    <row r="299" spans="4:4">
      <c r="D299" s="173"/>
    </row>
    <row r="300" spans="4:4">
      <c r="D300" s="173"/>
    </row>
    <row r="301" spans="4:4">
      <c r="D301" s="173"/>
    </row>
    <row r="302" spans="4:4">
      <c r="D302" s="173"/>
    </row>
    <row r="303" spans="4:4">
      <c r="D303" s="173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N97"/>
  <sheetViews>
    <sheetView topLeftCell="L9" zoomScaleNormal="100" workbookViewId="0">
      <selection activeCell="F19" sqref="F19"/>
    </sheetView>
  </sheetViews>
  <sheetFormatPr defaultColWidth="8.42578125" defaultRowHeight="15"/>
  <cols>
    <col min="1" max="1" width="38" style="62" customWidth="1"/>
    <col min="2" max="2" width="7.140625" style="62" hidden="1" customWidth="1"/>
    <col min="3" max="3" width="2.85546875" style="62" customWidth="1"/>
    <col min="4" max="4" width="11.7109375" style="62" hidden="1" customWidth="1"/>
    <col min="5" max="5" width="15" style="123" hidden="1" customWidth="1"/>
    <col min="6" max="17" width="15" style="123" customWidth="1"/>
    <col min="18" max="18" width="20.7109375" style="122" customWidth="1"/>
    <col min="19" max="19" width="20" style="62" bestFit="1" customWidth="1"/>
    <col min="20" max="20" width="22.140625" style="62" bestFit="1" customWidth="1"/>
    <col min="21" max="21" width="13.5703125" style="62" bestFit="1" customWidth="1"/>
    <col min="22" max="16384" width="8.42578125" style="62"/>
  </cols>
  <sheetData>
    <row r="1" spans="1:66" ht="15.75">
      <c r="A1" s="64"/>
      <c r="C1" s="65"/>
      <c r="D1" s="66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  <c r="BN1" s="70"/>
    </row>
    <row r="2" spans="1:66">
      <c r="C2" s="65"/>
      <c r="D2" s="65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1:66" ht="15.75" customHeight="1">
      <c r="A3" s="71"/>
      <c r="C3" s="65"/>
      <c r="D3" s="65"/>
      <c r="E3" s="68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69"/>
    </row>
    <row r="4" spans="1:66" ht="15.75">
      <c r="A4" s="64" t="s">
        <v>52</v>
      </c>
      <c r="C4" s="73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75"/>
    </row>
    <row r="5" spans="1:66">
      <c r="A5" s="76"/>
      <c r="C5" s="73"/>
      <c r="D5" s="63" t="s">
        <v>53</v>
      </c>
      <c r="E5" s="77" t="s">
        <v>0</v>
      </c>
      <c r="F5" s="77" t="s">
        <v>0</v>
      </c>
      <c r="G5" s="77" t="s">
        <v>0</v>
      </c>
      <c r="H5" s="77" t="s">
        <v>0</v>
      </c>
      <c r="I5" s="77" t="s">
        <v>0</v>
      </c>
      <c r="J5" s="77" t="s">
        <v>0</v>
      </c>
      <c r="K5" s="77" t="s">
        <v>0</v>
      </c>
      <c r="L5" s="77" t="s">
        <v>0</v>
      </c>
      <c r="M5" s="77" t="s">
        <v>0</v>
      </c>
      <c r="N5" s="77" t="s">
        <v>0</v>
      </c>
      <c r="O5" s="77" t="s">
        <v>0</v>
      </c>
      <c r="P5" s="77" t="s">
        <v>0</v>
      </c>
      <c r="Q5" s="77" t="s">
        <v>0</v>
      </c>
      <c r="R5" s="78" t="s">
        <v>131</v>
      </c>
      <c r="T5" s="62" t="s">
        <v>119</v>
      </c>
    </row>
    <row r="6" spans="1:66">
      <c r="A6" s="76"/>
      <c r="C6" s="73"/>
      <c r="D6" s="63" t="s">
        <v>54</v>
      </c>
      <c r="E6" s="79">
        <v>45291</v>
      </c>
      <c r="F6" s="79">
        <v>45322</v>
      </c>
      <c r="G6" s="79">
        <v>45350</v>
      </c>
      <c r="H6" s="79">
        <v>45382</v>
      </c>
      <c r="I6" s="79">
        <v>45412</v>
      </c>
      <c r="J6" s="79">
        <v>45443</v>
      </c>
      <c r="K6" s="79">
        <v>45473</v>
      </c>
      <c r="L6" s="79">
        <v>45504</v>
      </c>
      <c r="M6" s="79">
        <v>45535</v>
      </c>
      <c r="N6" s="79">
        <v>45565</v>
      </c>
      <c r="O6" s="79">
        <v>45596</v>
      </c>
      <c r="P6" s="79">
        <v>45626</v>
      </c>
      <c r="Q6" s="79">
        <v>45657</v>
      </c>
      <c r="R6" s="80" t="s">
        <v>55</v>
      </c>
      <c r="T6" s="62" t="s">
        <v>51</v>
      </c>
    </row>
    <row r="7" spans="1:66">
      <c r="A7" s="62" t="s">
        <v>56</v>
      </c>
      <c r="C7" s="73"/>
      <c r="D7" s="81"/>
      <c r="E7" s="82">
        <v>59236199.999999993</v>
      </c>
      <c r="F7" s="82">
        <v>71766499.99999997</v>
      </c>
      <c r="G7" s="82">
        <v>67926200.000000015</v>
      </c>
      <c r="H7" s="82">
        <v>60946099.999999993</v>
      </c>
      <c r="I7" s="82">
        <v>52392500</v>
      </c>
      <c r="J7" s="82">
        <v>47476599.999999985</v>
      </c>
      <c r="K7" s="82">
        <v>45373299.999999978</v>
      </c>
      <c r="L7" s="82">
        <v>43920399.99999997</v>
      </c>
      <c r="M7" s="82">
        <v>43371099.999999993</v>
      </c>
      <c r="N7" s="82">
        <v>45200099.99999997</v>
      </c>
      <c r="O7" s="82">
        <v>46104599.999999993</v>
      </c>
      <c r="P7" s="82">
        <v>51491699.999999985</v>
      </c>
      <c r="Q7" s="82">
        <v>59227699.99999997</v>
      </c>
      <c r="R7" s="83">
        <f>SUM(F7:Q7)</f>
        <v>635196800</v>
      </c>
      <c r="S7" s="128"/>
      <c r="T7" s="209"/>
      <c r="U7" s="210"/>
    </row>
    <row r="8" spans="1:66">
      <c r="A8" s="62" t="s">
        <v>57</v>
      </c>
      <c r="C8" s="73"/>
      <c r="D8" s="81"/>
      <c r="E8" s="84">
        <v>21375500</v>
      </c>
      <c r="F8" s="84">
        <v>32330700</v>
      </c>
      <c r="G8" s="84">
        <v>30137200</v>
      </c>
      <c r="H8" s="84">
        <v>24809900</v>
      </c>
      <c r="I8" s="84">
        <v>18243800</v>
      </c>
      <c r="J8" s="84">
        <v>15145400</v>
      </c>
      <c r="K8" s="84">
        <v>13843900</v>
      </c>
      <c r="L8" s="84">
        <v>13329600</v>
      </c>
      <c r="M8" s="84">
        <v>12910100</v>
      </c>
      <c r="N8" s="84">
        <v>13755000</v>
      </c>
      <c r="O8" s="84">
        <v>14886200</v>
      </c>
      <c r="P8" s="84">
        <v>17661600</v>
      </c>
      <c r="Q8" s="84">
        <v>21375500</v>
      </c>
      <c r="R8" s="85">
        <f t="shared" ref="R8:R9" si="0">SUM(F8:Q8)</f>
        <v>228428900</v>
      </c>
      <c r="S8" s="128"/>
      <c r="T8" s="209"/>
      <c r="U8" s="128"/>
    </row>
    <row r="9" spans="1:66">
      <c r="A9" s="62" t="s">
        <v>58</v>
      </c>
      <c r="C9" s="73"/>
      <c r="D9" s="86"/>
      <c r="E9" s="87">
        <v>37860699.999999993</v>
      </c>
      <c r="F9" s="87">
        <f t="shared" ref="F9:Q9" si="1">+F7-F8</f>
        <v>39435799.99999997</v>
      </c>
      <c r="G9" s="87">
        <f t="shared" si="1"/>
        <v>37789000.000000015</v>
      </c>
      <c r="H9" s="87">
        <f t="shared" si="1"/>
        <v>36136199.999999993</v>
      </c>
      <c r="I9" s="87">
        <f t="shared" si="1"/>
        <v>34148700</v>
      </c>
      <c r="J9" s="87">
        <f t="shared" si="1"/>
        <v>32331199.999999985</v>
      </c>
      <c r="K9" s="87">
        <f t="shared" si="1"/>
        <v>31529399.999999978</v>
      </c>
      <c r="L9" s="87">
        <f t="shared" si="1"/>
        <v>30590799.99999997</v>
      </c>
      <c r="M9" s="87">
        <f t="shared" si="1"/>
        <v>30460999.999999993</v>
      </c>
      <c r="N9" s="87">
        <f t="shared" si="1"/>
        <v>31445099.99999997</v>
      </c>
      <c r="O9" s="87">
        <f t="shared" si="1"/>
        <v>31218399.999999993</v>
      </c>
      <c r="P9" s="87">
        <f t="shared" si="1"/>
        <v>33830099.999999985</v>
      </c>
      <c r="Q9" s="87">
        <f t="shared" si="1"/>
        <v>37852199.99999997</v>
      </c>
      <c r="R9" s="88">
        <f t="shared" si="0"/>
        <v>406767899.99999988</v>
      </c>
      <c r="S9" s="128"/>
      <c r="T9" s="209"/>
      <c r="U9" s="128"/>
    </row>
    <row r="10" spans="1:66">
      <c r="C10" s="73"/>
      <c r="D10" s="81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8"/>
      <c r="T10" s="209"/>
      <c r="U10" s="128"/>
    </row>
    <row r="11" spans="1:66">
      <c r="A11" s="62" t="s">
        <v>59</v>
      </c>
      <c r="C11" s="73"/>
      <c r="D11" s="81"/>
      <c r="E11" s="82">
        <v>14203099.999999998</v>
      </c>
      <c r="F11" s="82">
        <v>15021700.000000002</v>
      </c>
      <c r="G11" s="82">
        <v>14162599.999999998</v>
      </c>
      <c r="H11" s="82">
        <v>15468599.999999996</v>
      </c>
      <c r="I11" s="82">
        <v>13953899.999999996</v>
      </c>
      <c r="J11" s="82">
        <v>14340299.999999996</v>
      </c>
      <c r="K11" s="82">
        <v>15122599.999999994</v>
      </c>
      <c r="L11" s="82">
        <v>14393599.999999994</v>
      </c>
      <c r="M11" s="82">
        <v>14069899.999999994</v>
      </c>
      <c r="N11" s="82">
        <v>14821499.999999998</v>
      </c>
      <c r="O11" s="82">
        <v>14321899.999999996</v>
      </c>
      <c r="P11" s="82">
        <v>14555200</v>
      </c>
      <c r="Q11" s="82">
        <v>15976099.999999991</v>
      </c>
      <c r="R11" s="83">
        <f t="shared" ref="R11:R20" si="2">SUM(F11:Q11)</f>
        <v>176207900</v>
      </c>
      <c r="S11" s="128"/>
      <c r="T11" s="209"/>
      <c r="U11" s="128"/>
    </row>
    <row r="12" spans="1:66">
      <c r="A12" s="62" t="s">
        <v>60</v>
      </c>
      <c r="C12" s="73"/>
      <c r="D12" s="81"/>
      <c r="E12" s="82">
        <v>-2186400</v>
      </c>
      <c r="F12" s="82">
        <v>6500900</v>
      </c>
      <c r="G12" s="82">
        <v>6538500</v>
      </c>
      <c r="H12" s="82">
        <v>6573399.9999999991</v>
      </c>
      <c r="I12" s="82">
        <v>6612500</v>
      </c>
      <c r="J12" s="82">
        <v>6628000</v>
      </c>
      <c r="K12" s="82">
        <v>6666000</v>
      </c>
      <c r="L12" s="82">
        <v>6705300</v>
      </c>
      <c r="M12" s="82">
        <v>6739600</v>
      </c>
      <c r="N12" s="82">
        <v>6780500</v>
      </c>
      <c r="O12" s="82">
        <v>6829600</v>
      </c>
      <c r="P12" s="82">
        <v>6864800</v>
      </c>
      <c r="Q12" s="82">
        <v>6900699.9999999991</v>
      </c>
      <c r="R12" s="83">
        <f t="shared" si="2"/>
        <v>80339800</v>
      </c>
      <c r="S12" s="128"/>
      <c r="T12" s="209"/>
      <c r="U12" s="128"/>
    </row>
    <row r="13" spans="1:66">
      <c r="A13" s="62" t="s">
        <v>61</v>
      </c>
      <c r="C13" s="73"/>
      <c r="D13" s="81"/>
      <c r="E13" s="82">
        <v>607200</v>
      </c>
      <c r="F13" s="82">
        <v>613000</v>
      </c>
      <c r="G13" s="82">
        <v>613200</v>
      </c>
      <c r="H13" s="82">
        <v>613600</v>
      </c>
      <c r="I13" s="82">
        <v>614000</v>
      </c>
      <c r="J13" s="82">
        <v>614400</v>
      </c>
      <c r="K13" s="82">
        <v>614800</v>
      </c>
      <c r="L13" s="82">
        <v>615200</v>
      </c>
      <c r="M13" s="82">
        <v>615600</v>
      </c>
      <c r="N13" s="82">
        <v>626100</v>
      </c>
      <c r="O13" s="82">
        <v>629700</v>
      </c>
      <c r="P13" s="82">
        <v>631300</v>
      </c>
      <c r="Q13" s="82">
        <v>635400</v>
      </c>
      <c r="R13" s="83">
        <f t="shared" si="2"/>
        <v>7436300</v>
      </c>
      <c r="S13" s="128"/>
      <c r="T13" s="209"/>
      <c r="U13" s="128"/>
    </row>
    <row r="14" spans="1:66">
      <c r="A14" s="62" t="s">
        <v>62</v>
      </c>
      <c r="C14" s="73"/>
      <c r="D14" s="81"/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3">
        <f t="shared" si="2"/>
        <v>0</v>
      </c>
      <c r="S14" s="128"/>
      <c r="T14" s="209"/>
      <c r="U14" s="128"/>
    </row>
    <row r="15" spans="1:66">
      <c r="A15" s="62" t="s">
        <v>63</v>
      </c>
      <c r="C15" s="73"/>
      <c r="D15" s="81"/>
      <c r="E15" s="82">
        <v>83300</v>
      </c>
      <c r="F15" s="82">
        <v>83300</v>
      </c>
      <c r="G15" s="82">
        <v>83300</v>
      </c>
      <c r="H15" s="82">
        <v>83300</v>
      </c>
      <c r="I15" s="82">
        <v>83300</v>
      </c>
      <c r="J15" s="82">
        <v>83300</v>
      </c>
      <c r="K15" s="82">
        <v>83300</v>
      </c>
      <c r="L15" s="82">
        <v>83300</v>
      </c>
      <c r="M15" s="82">
        <v>83300</v>
      </c>
      <c r="N15" s="82">
        <v>83300</v>
      </c>
      <c r="O15" s="82">
        <v>83300</v>
      </c>
      <c r="P15" s="82">
        <v>83300</v>
      </c>
      <c r="Q15" s="82">
        <v>83300</v>
      </c>
      <c r="R15" s="83">
        <f t="shared" si="2"/>
        <v>999600</v>
      </c>
      <c r="S15" s="128"/>
      <c r="T15" s="209"/>
      <c r="U15" s="128"/>
    </row>
    <row r="16" spans="1:66">
      <c r="A16" s="62" t="s">
        <v>64</v>
      </c>
      <c r="C16" s="73"/>
      <c r="D16" s="81"/>
      <c r="E16" s="82">
        <v>5211500</v>
      </c>
      <c r="F16" s="82">
        <v>6131100</v>
      </c>
      <c r="G16" s="82">
        <v>6393099.9999999991</v>
      </c>
      <c r="H16" s="82">
        <v>5855099.9999999981</v>
      </c>
      <c r="I16" s="82">
        <v>5571800</v>
      </c>
      <c r="J16" s="82">
        <v>5350099.9999999991</v>
      </c>
      <c r="K16" s="82">
        <v>5200300</v>
      </c>
      <c r="L16" s="82">
        <v>4879099.9999999981</v>
      </c>
      <c r="M16" s="82">
        <v>4851500.0000000009</v>
      </c>
      <c r="N16" s="82">
        <v>4917299.9999999991</v>
      </c>
      <c r="O16" s="82">
        <v>5178599.9999999991</v>
      </c>
      <c r="P16" s="82">
        <v>5638099.9999999991</v>
      </c>
      <c r="Q16" s="82">
        <v>6072699.9999999991</v>
      </c>
      <c r="R16" s="83">
        <f t="shared" si="2"/>
        <v>66038800</v>
      </c>
      <c r="S16" s="128"/>
      <c r="T16" s="209"/>
      <c r="U16" s="128"/>
    </row>
    <row r="17" spans="1:21">
      <c r="A17" s="62" t="s">
        <v>65</v>
      </c>
      <c r="C17" s="73"/>
      <c r="D17" s="81"/>
      <c r="E17" s="82">
        <v>1795498.5233627732</v>
      </c>
      <c r="F17" s="82">
        <v>-53500</v>
      </c>
      <c r="G17" s="82">
        <v>63500</v>
      </c>
      <c r="H17" s="82">
        <v>-2858700</v>
      </c>
      <c r="I17" s="82">
        <v>-789100</v>
      </c>
      <c r="J17" s="82">
        <v>-1424399.9999999998</v>
      </c>
      <c r="K17" s="82">
        <v>-1866700</v>
      </c>
      <c r="L17" s="82">
        <v>-1849200</v>
      </c>
      <c r="M17" s="82">
        <v>-1855000</v>
      </c>
      <c r="N17" s="82">
        <v>-1891899.9999999998</v>
      </c>
      <c r="O17" s="82">
        <v>-1931200</v>
      </c>
      <c r="P17" s="82">
        <v>-1291300</v>
      </c>
      <c r="Q17" s="82">
        <v>-685500</v>
      </c>
      <c r="R17" s="83">
        <f t="shared" si="2"/>
        <v>-16433000</v>
      </c>
      <c r="S17" s="128"/>
      <c r="T17" s="209">
        <f>R17-'IncomeStmt Rate Case'!R17</f>
        <v>0</v>
      </c>
      <c r="U17" s="128" t="s">
        <v>29</v>
      </c>
    </row>
    <row r="18" spans="1:21">
      <c r="A18" s="62" t="s">
        <v>66</v>
      </c>
      <c r="C18" s="73"/>
      <c r="D18" s="128"/>
      <c r="E18" s="127">
        <v>2457198.523362773</v>
      </c>
      <c r="F18" s="127">
        <f>'IncomeStmt Rate Case'!F18+(-F41+'IncomeStmt Rate Case'!F41)*$M$50</f>
        <v>1991108.1686140175</v>
      </c>
      <c r="G18" s="127">
        <f>'IncomeStmt Rate Case'!G18+(-G41+'IncomeStmt Rate Case'!G41)*$M$50</f>
        <v>1593540.667928203</v>
      </c>
      <c r="H18" s="127">
        <f>'IncomeStmt Rate Case'!H18+(-H41+'IncomeStmt Rate Case'!H41)*$M$50</f>
        <v>3379383.6080867876</v>
      </c>
      <c r="I18" s="127">
        <f>'IncomeStmt Rate Case'!I18+(-I41+'IncomeStmt Rate Case'!I41)*$M$50</f>
        <v>1763986.7744434115</v>
      </c>
      <c r="J18" s="127">
        <f>'IncomeStmt Rate Case'!J18+(-J41+'IncomeStmt Rate Case'!J41)*$M$50</f>
        <v>1882299.7889357996</v>
      </c>
      <c r="K18" s="127">
        <f>'IncomeStmt Rate Case'!K18+(-K41+'IncomeStmt Rate Case'!K41)*$M$50</f>
        <v>2035725.7400724597</v>
      </c>
      <c r="L18" s="127">
        <f>'IncomeStmt Rate Case'!L18+(-L41+'IncomeStmt Rate Case'!L41)*$M$50</f>
        <v>1898936.7142138525</v>
      </c>
      <c r="M18" s="127">
        <f>'IncomeStmt Rate Case'!M18+(-M41+'IncomeStmt Rate Case'!M41)*$M$50</f>
        <v>1948220.2836053285</v>
      </c>
      <c r="N18" s="127">
        <f>'IncomeStmt Rate Case'!N18+(-N41+'IncomeStmt Rate Case'!N41)*$M$50</f>
        <v>2342822.2575177681</v>
      </c>
      <c r="O18" s="127">
        <f>'IncomeStmt Rate Case'!O18+(-O41+'IncomeStmt Rate Case'!O41)*$M$50</f>
        <v>2034903.1716646417</v>
      </c>
      <c r="P18" s="127">
        <f>'IncomeStmt Rate Case'!P18+(-P41+'IncomeStmt Rate Case'!P41)*$M$50</f>
        <v>1859431.1869961729</v>
      </c>
      <c r="Q18" s="127">
        <f>'IncomeStmt Rate Case'!Q18+(-Q41+'IncomeStmt Rate Case'!Q41)*$M$50</f>
        <v>1936535.1571421127</v>
      </c>
      <c r="R18" s="83">
        <f t="shared" si="2"/>
        <v>24666893.519220553</v>
      </c>
      <c r="S18" s="128"/>
      <c r="T18" s="209">
        <f>R18-'IncomeStmt Rate Case'!R18</f>
        <v>2176793.5192205533</v>
      </c>
      <c r="U18" s="128">
        <f>T41*M50+T18</f>
        <v>0</v>
      </c>
    </row>
    <row r="19" spans="1:21">
      <c r="A19" s="62" t="s">
        <v>67</v>
      </c>
      <c r="C19" s="73"/>
      <c r="D19" s="81"/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3">
        <f t="shared" si="2"/>
        <v>0</v>
      </c>
      <c r="S19" s="128"/>
      <c r="T19" s="209"/>
      <c r="U19" s="128"/>
    </row>
    <row r="20" spans="1:21">
      <c r="A20" s="62" t="s">
        <v>68</v>
      </c>
      <c r="C20" s="73"/>
      <c r="D20" s="86"/>
      <c r="E20" s="87">
        <v>22171397.046725549</v>
      </c>
      <c r="F20" s="87">
        <f t="shared" ref="F20:Q20" si="3">SUM(F11:F19)</f>
        <v>30287608.168614019</v>
      </c>
      <c r="G20" s="87">
        <f t="shared" si="3"/>
        <v>29447740.667928204</v>
      </c>
      <c r="H20" s="87">
        <f t="shared" si="3"/>
        <v>29114683.60808678</v>
      </c>
      <c r="I20" s="87">
        <f t="shared" si="3"/>
        <v>27810386.774443407</v>
      </c>
      <c r="J20" s="87">
        <f t="shared" si="3"/>
        <v>27473999.788935795</v>
      </c>
      <c r="K20" s="87">
        <f t="shared" si="3"/>
        <v>27856025.740072452</v>
      </c>
      <c r="L20" s="87">
        <f t="shared" si="3"/>
        <v>26726236.714213844</v>
      </c>
      <c r="M20" s="87">
        <f t="shared" si="3"/>
        <v>26453120.283605322</v>
      </c>
      <c r="N20" s="87">
        <f t="shared" si="3"/>
        <v>27679622.25751777</v>
      </c>
      <c r="O20" s="87">
        <f t="shared" si="3"/>
        <v>27146803.171664637</v>
      </c>
      <c r="P20" s="87">
        <f t="shared" si="3"/>
        <v>28340831.186996173</v>
      </c>
      <c r="Q20" s="87">
        <f t="shared" si="3"/>
        <v>30919235.157142103</v>
      </c>
      <c r="R20" s="88">
        <f t="shared" si="2"/>
        <v>339256293.51922047</v>
      </c>
      <c r="S20" s="128"/>
      <c r="T20" s="209">
        <f>R20-'IncomeStmt Rate Case'!R20</f>
        <v>2176793.5192204714</v>
      </c>
      <c r="U20" s="128"/>
    </row>
    <row r="21" spans="1:21">
      <c r="C21" s="73"/>
      <c r="D21" s="81"/>
      <c r="E21" s="144">
        <v>0.2354</v>
      </c>
      <c r="F21" s="89">
        <f>+(-F41+'IncomeStmt Rate Case'!F41)*$M$50</f>
        <v>189308.16861401752</v>
      </c>
      <c r="G21" s="89">
        <f>+(-G41+'IncomeStmt Rate Case'!G41)*$M$50</f>
        <v>189340.66792820313</v>
      </c>
      <c r="H21" s="89">
        <f>+(-H41+'IncomeStmt Rate Case'!H41)*$M$50</f>
        <v>189883.60808678763</v>
      </c>
      <c r="I21" s="89">
        <f>+(-I41+'IncomeStmt Rate Case'!I41)*$M$50</f>
        <v>193686.77444341147</v>
      </c>
      <c r="J21" s="89">
        <f>+(-J41+'IncomeStmt Rate Case'!J41)*$M$50</f>
        <v>195599.78893579973</v>
      </c>
      <c r="K21" s="89">
        <f>+(-K41+'IncomeStmt Rate Case'!K41)*$M$50</f>
        <v>186825.74007245968</v>
      </c>
      <c r="L21" s="89">
        <f>+(-L41+'IncomeStmt Rate Case'!L41)*$M$50</f>
        <v>167536.71421385248</v>
      </c>
      <c r="M21" s="89">
        <f>+(-M41+'IncomeStmt Rate Case'!M41)*$M$50</f>
        <v>168320.28360532862</v>
      </c>
      <c r="N21" s="89">
        <f>+(-N41+'IncomeStmt Rate Case'!N41)*$M$50</f>
        <v>168022.2575177681</v>
      </c>
      <c r="O21" s="89">
        <f>+(-O41+'IncomeStmt Rate Case'!O41)*$M$50</f>
        <v>172903.17166464176</v>
      </c>
      <c r="P21" s="89">
        <f>+(-P41+'IncomeStmt Rate Case'!P41)*$M$50</f>
        <v>176731.18699617279</v>
      </c>
      <c r="Q21" s="89">
        <f>+(-Q41+'IncomeStmt Rate Case'!Q41)*$M$50</f>
        <v>178635.15714211282</v>
      </c>
      <c r="R21" s="88"/>
      <c r="S21" s="128"/>
      <c r="T21" s="209"/>
      <c r="U21" s="128"/>
    </row>
    <row r="22" spans="1:21">
      <c r="A22" s="62" t="s">
        <v>69</v>
      </c>
      <c r="C22" s="73"/>
      <c r="D22" s="94"/>
      <c r="E22" s="95">
        <v>15689302.953274444</v>
      </c>
      <c r="F22" s="95">
        <f t="shared" ref="F22:Q22" si="4">+F9-F20</f>
        <v>9148191.8313859515</v>
      </c>
      <c r="G22" s="95">
        <f t="shared" si="4"/>
        <v>8341259.332071811</v>
      </c>
      <c r="H22" s="95">
        <f t="shared" si="4"/>
        <v>7021516.3919132128</v>
      </c>
      <c r="I22" s="95">
        <f t="shared" si="4"/>
        <v>6338313.2255565934</v>
      </c>
      <c r="J22" s="95">
        <f t="shared" si="4"/>
        <v>4857200.2110641897</v>
      </c>
      <c r="K22" s="95">
        <f t="shared" si="4"/>
        <v>3673374.2599275261</v>
      </c>
      <c r="L22" s="95">
        <f t="shared" si="4"/>
        <v>3864563.2857861258</v>
      </c>
      <c r="M22" s="95">
        <f t="shared" si="4"/>
        <v>4007879.7163946703</v>
      </c>
      <c r="N22" s="95">
        <f t="shared" si="4"/>
        <v>3765477.7424822003</v>
      </c>
      <c r="O22" s="95">
        <f t="shared" si="4"/>
        <v>4071596.828335356</v>
      </c>
      <c r="P22" s="95">
        <f t="shared" si="4"/>
        <v>5489268.813003812</v>
      </c>
      <c r="Q22" s="95">
        <f t="shared" si="4"/>
        <v>6932964.8428578675</v>
      </c>
      <c r="R22" s="96">
        <f>+R9-R20</f>
        <v>67511606.480779409</v>
      </c>
      <c r="S22" s="128"/>
      <c r="T22" s="209">
        <f>R22-'IncomeStmt Rate Case'!R22</f>
        <v>-2176793.5192204714</v>
      </c>
      <c r="U22" s="128"/>
    </row>
    <row r="23" spans="1:21">
      <c r="C23" s="73"/>
      <c r="D23" s="81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8"/>
      <c r="T23" s="214">
        <f>T22/T41</f>
        <v>0.23539999999999103</v>
      </c>
      <c r="U23" s="128"/>
    </row>
    <row r="24" spans="1:21">
      <c r="A24" s="97" t="s">
        <v>70</v>
      </c>
      <c r="C24" s="73"/>
      <c r="D24" s="81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8"/>
      <c r="T24" s="209"/>
      <c r="U24" s="128"/>
    </row>
    <row r="25" spans="1:21">
      <c r="A25" s="62" t="s">
        <v>71</v>
      </c>
      <c r="C25" s="73"/>
      <c r="D25" s="81"/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3">
        <f t="shared" ref="R25:R32" si="5">SUM(F25:Q25)</f>
        <v>0</v>
      </c>
      <c r="S25" s="128"/>
      <c r="T25" s="209"/>
      <c r="U25" s="128"/>
    </row>
    <row r="26" spans="1:21">
      <c r="A26" s="62" t="s">
        <v>72</v>
      </c>
      <c r="C26" s="73"/>
      <c r="D26" s="81"/>
      <c r="E26" s="82">
        <v>27100</v>
      </c>
      <c r="F26" s="82">
        <v>25400</v>
      </c>
      <c r="G26" s="82">
        <v>22400</v>
      </c>
      <c r="H26" s="82">
        <v>20600</v>
      </c>
      <c r="I26" s="82">
        <v>20000</v>
      </c>
      <c r="J26" s="82">
        <v>20000</v>
      </c>
      <c r="K26" s="82">
        <v>20000</v>
      </c>
      <c r="L26" s="82">
        <v>20800</v>
      </c>
      <c r="M26" s="82">
        <v>22200</v>
      </c>
      <c r="N26" s="82">
        <v>23600</v>
      </c>
      <c r="O26" s="82">
        <v>25000</v>
      </c>
      <c r="P26" s="82">
        <v>26100</v>
      </c>
      <c r="Q26" s="82">
        <v>25600</v>
      </c>
      <c r="R26" s="83">
        <f t="shared" si="5"/>
        <v>271700</v>
      </c>
      <c r="S26" s="128"/>
      <c r="T26" s="209"/>
      <c r="U26" s="128"/>
    </row>
    <row r="27" spans="1:21">
      <c r="A27" s="62" t="s">
        <v>73</v>
      </c>
      <c r="C27" s="73"/>
      <c r="D27" s="81"/>
      <c r="E27" s="82">
        <v>41300</v>
      </c>
      <c r="F27" s="82">
        <v>41300</v>
      </c>
      <c r="G27" s="82">
        <v>41300</v>
      </c>
      <c r="H27" s="82">
        <v>41300</v>
      </c>
      <c r="I27" s="82">
        <v>41300</v>
      </c>
      <c r="J27" s="82">
        <v>41300</v>
      </c>
      <c r="K27" s="82">
        <v>41300</v>
      </c>
      <c r="L27" s="82">
        <v>41300</v>
      </c>
      <c r="M27" s="82">
        <v>41300</v>
      </c>
      <c r="N27" s="82">
        <v>41300</v>
      </c>
      <c r="O27" s="82">
        <v>41300</v>
      </c>
      <c r="P27" s="82">
        <v>41300</v>
      </c>
      <c r="Q27" s="82">
        <v>41300</v>
      </c>
      <c r="R27" s="83">
        <f t="shared" si="5"/>
        <v>495600</v>
      </c>
      <c r="S27" s="128"/>
      <c r="T27" s="209"/>
      <c r="U27" s="128"/>
    </row>
    <row r="28" spans="1:21">
      <c r="A28" s="98" t="s">
        <v>74</v>
      </c>
      <c r="C28" s="73"/>
      <c r="D28" s="81"/>
      <c r="E28" s="82">
        <v>566600</v>
      </c>
      <c r="F28" s="82">
        <v>178700</v>
      </c>
      <c r="G28" s="82">
        <v>282500</v>
      </c>
      <c r="H28" s="82">
        <v>222700</v>
      </c>
      <c r="I28" s="82">
        <v>351600</v>
      </c>
      <c r="J28" s="82">
        <v>310000</v>
      </c>
      <c r="K28" s="82">
        <v>309500</v>
      </c>
      <c r="L28" s="82">
        <v>336300</v>
      </c>
      <c r="M28" s="82">
        <v>306000</v>
      </c>
      <c r="N28" s="82">
        <v>324200</v>
      </c>
      <c r="O28" s="82">
        <v>321600</v>
      </c>
      <c r="P28" s="82">
        <v>355000</v>
      </c>
      <c r="Q28" s="82">
        <v>566600</v>
      </c>
      <c r="R28" s="83">
        <f t="shared" si="5"/>
        <v>3864700</v>
      </c>
      <c r="S28" s="128"/>
      <c r="T28" s="209"/>
      <c r="U28" s="128"/>
    </row>
    <row r="29" spans="1:21">
      <c r="A29" s="98" t="s">
        <v>75</v>
      </c>
      <c r="C29" s="73"/>
      <c r="D29" s="81"/>
      <c r="E29" s="99">
        <v>82100</v>
      </c>
      <c r="F29" s="99">
        <v>83300</v>
      </c>
      <c r="G29" s="99">
        <v>26200</v>
      </c>
      <c r="H29" s="99">
        <v>53300</v>
      </c>
      <c r="I29" s="99">
        <v>73700</v>
      </c>
      <c r="J29" s="99">
        <v>60200</v>
      </c>
      <c r="K29" s="99">
        <v>53300</v>
      </c>
      <c r="L29" s="99">
        <v>21200</v>
      </c>
      <c r="M29" s="99">
        <v>48200</v>
      </c>
      <c r="N29" s="99">
        <v>53300</v>
      </c>
      <c r="O29" s="99">
        <v>19200</v>
      </c>
      <c r="P29" s="99">
        <v>48200</v>
      </c>
      <c r="Q29" s="99">
        <v>84300</v>
      </c>
      <c r="R29" s="88">
        <f t="shared" si="5"/>
        <v>624400</v>
      </c>
      <c r="S29" s="128"/>
      <c r="T29" s="209"/>
      <c r="U29" s="128"/>
    </row>
    <row r="30" spans="1:21">
      <c r="A30" s="98" t="s">
        <v>76</v>
      </c>
      <c r="C30" s="73"/>
      <c r="D30" s="81"/>
      <c r="E30" s="82">
        <v>242300</v>
      </c>
      <c r="F30" s="82">
        <v>256399.99999999997</v>
      </c>
      <c r="G30" s="82">
        <v>272100</v>
      </c>
      <c r="H30" s="82">
        <v>285000</v>
      </c>
      <c r="I30" s="82">
        <v>312200</v>
      </c>
      <c r="J30" s="82">
        <v>356000</v>
      </c>
      <c r="K30" s="82">
        <v>398800</v>
      </c>
      <c r="L30" s="82">
        <v>440400</v>
      </c>
      <c r="M30" s="82">
        <v>478800</v>
      </c>
      <c r="N30" s="82">
        <v>515900</v>
      </c>
      <c r="O30" s="82">
        <v>551400</v>
      </c>
      <c r="P30" s="82">
        <v>585900</v>
      </c>
      <c r="Q30" s="82">
        <v>607600</v>
      </c>
      <c r="R30" s="88">
        <f t="shared" si="5"/>
        <v>5060500</v>
      </c>
      <c r="S30" s="128"/>
      <c r="T30" s="209"/>
      <c r="U30" s="128"/>
    </row>
    <row r="31" spans="1:21">
      <c r="A31" s="62" t="s">
        <v>77</v>
      </c>
      <c r="C31" s="73"/>
      <c r="D31" s="81"/>
      <c r="E31" s="90">
        <v>-14200</v>
      </c>
      <c r="F31" s="90">
        <v>-16200</v>
      </c>
      <c r="G31" s="90">
        <v>-2600</v>
      </c>
      <c r="H31" s="90">
        <v>-9800</v>
      </c>
      <c r="I31" s="90">
        <v>-15200</v>
      </c>
      <c r="J31" s="90">
        <v>-12400</v>
      </c>
      <c r="K31" s="90">
        <v>-10100</v>
      </c>
      <c r="L31" s="90">
        <v>-4300</v>
      </c>
      <c r="M31" s="90">
        <v>-8200</v>
      </c>
      <c r="N31" s="90">
        <v>-9100</v>
      </c>
      <c r="O31" s="90">
        <v>-100</v>
      </c>
      <c r="P31" s="90">
        <v>-7200</v>
      </c>
      <c r="Q31" s="90">
        <v>-16500</v>
      </c>
      <c r="R31" s="91">
        <f t="shared" si="5"/>
        <v>-111700</v>
      </c>
      <c r="S31" s="128"/>
      <c r="T31" s="209"/>
      <c r="U31" s="128"/>
    </row>
    <row r="32" spans="1:21">
      <c r="A32" s="62" t="s">
        <v>78</v>
      </c>
      <c r="C32" s="73"/>
      <c r="D32" s="94"/>
      <c r="E32" s="95">
        <v>809400</v>
      </c>
      <c r="F32" s="95">
        <f t="shared" ref="F32:Q32" si="6">+F25+F26+F27+F28-F29+F30-F31</f>
        <v>434700</v>
      </c>
      <c r="G32" s="95">
        <f t="shared" si="6"/>
        <v>594700</v>
      </c>
      <c r="H32" s="95">
        <f t="shared" si="6"/>
        <v>526100</v>
      </c>
      <c r="I32" s="95">
        <f t="shared" si="6"/>
        <v>666600</v>
      </c>
      <c r="J32" s="95">
        <f t="shared" si="6"/>
        <v>679500</v>
      </c>
      <c r="K32" s="95">
        <f t="shared" si="6"/>
        <v>726400</v>
      </c>
      <c r="L32" s="95">
        <f t="shared" si="6"/>
        <v>821900</v>
      </c>
      <c r="M32" s="95">
        <f t="shared" si="6"/>
        <v>808300</v>
      </c>
      <c r="N32" s="95">
        <f t="shared" si="6"/>
        <v>860800</v>
      </c>
      <c r="O32" s="95">
        <f t="shared" si="6"/>
        <v>920200</v>
      </c>
      <c r="P32" s="95">
        <f t="shared" si="6"/>
        <v>967300</v>
      </c>
      <c r="Q32" s="95">
        <f t="shared" si="6"/>
        <v>1173300</v>
      </c>
      <c r="R32" s="96">
        <f t="shared" si="5"/>
        <v>9179800</v>
      </c>
      <c r="S32" s="128"/>
      <c r="T32" s="209"/>
      <c r="U32" s="128"/>
    </row>
    <row r="33" spans="1:48">
      <c r="C33" s="73"/>
      <c r="D33" s="81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8"/>
      <c r="T33" s="209"/>
      <c r="U33" s="128"/>
    </row>
    <row r="34" spans="1:48">
      <c r="A34" s="97" t="s">
        <v>79</v>
      </c>
      <c r="C34" s="73"/>
      <c r="D34" s="81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8"/>
      <c r="T34" s="209"/>
      <c r="U34" s="128" t="s">
        <v>29</v>
      </c>
    </row>
    <row r="35" spans="1:48" s="124" customFormat="1">
      <c r="A35" s="124" t="s">
        <v>80</v>
      </c>
      <c r="C35" s="125"/>
      <c r="D35" s="126"/>
      <c r="E35" s="127">
        <v>3138900</v>
      </c>
      <c r="F35" s="127">
        <f>Scenario!D27*1000</f>
        <v>3122638.1450420003</v>
      </c>
      <c r="G35" s="127">
        <f>Scenario!E27*1000</f>
        <v>3122638.1450420003</v>
      </c>
      <c r="H35" s="127">
        <f>Scenario!F27*1000</f>
        <v>3122638.1450420003</v>
      </c>
      <c r="I35" s="127">
        <f>Scenario!G27*1000</f>
        <v>3122638.1450420003</v>
      </c>
      <c r="J35" s="127">
        <f>Scenario!H27*1000</f>
        <v>3122638.1450420003</v>
      </c>
      <c r="K35" s="127">
        <f>Scenario!I27*1000</f>
        <v>3122638.1450420003</v>
      </c>
      <c r="L35" s="127">
        <f>Scenario!J27*1000</f>
        <v>3626876.7677210569</v>
      </c>
      <c r="M35" s="127">
        <f>Scenario!K27*1000</f>
        <v>3626876.7677210569</v>
      </c>
      <c r="N35" s="127">
        <f>Scenario!L27*1000</f>
        <v>3626876.7677210569</v>
      </c>
      <c r="O35" s="127">
        <f>Scenario!M27*1000</f>
        <v>3626876.7677210569</v>
      </c>
      <c r="P35" s="127">
        <f>Scenario!N27*1000</f>
        <v>3626876.7677210569</v>
      </c>
      <c r="Q35" s="127">
        <f>Scenario!O27*1000</f>
        <v>3626876.7677210569</v>
      </c>
      <c r="R35" s="88">
        <f>SUM(F35:Q35)</f>
        <v>40497089.47657834</v>
      </c>
      <c r="S35" s="128"/>
      <c r="T35" s="209">
        <f>R35-'IncomeStmt Rate Case'!R35</f>
        <v>-8147910.5234216601</v>
      </c>
      <c r="U35" s="128">
        <f>Scenario!P27*1000-R35</f>
        <v>0</v>
      </c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</row>
    <row r="36" spans="1:48" s="124" customFormat="1">
      <c r="A36" s="124" t="s">
        <v>81</v>
      </c>
      <c r="C36" s="125"/>
      <c r="D36" s="126"/>
      <c r="E36" s="127">
        <v>371240.30724882311</v>
      </c>
      <c r="F36" s="127">
        <f>Scenario!D31*1000</f>
        <v>387343.96908845031</v>
      </c>
      <c r="G36" s="127">
        <f>Scenario!E31*1000</f>
        <v>387897.16284947051</v>
      </c>
      <c r="H36" s="127">
        <f>Scenario!F31*1000</f>
        <v>397122.63227578864</v>
      </c>
      <c r="I36" s="127">
        <f>Scenario!G31*1000</f>
        <v>429865.17145414272</v>
      </c>
      <c r="J36" s="127">
        <f>Scenario!H31*1000</f>
        <v>460128.11439643003</v>
      </c>
      <c r="K36" s="127">
        <f>Scenario!I31*1000</f>
        <v>321330.86855016678</v>
      </c>
      <c r="L36" s="127">
        <f>Scenario!J31*1000</f>
        <v>214243.81449515821</v>
      </c>
      <c r="M36" s="127">
        <f>Scenario!K31*1000</f>
        <v>226198.67211416794</v>
      </c>
      <c r="N36" s="127">
        <f>Scenario!L31*1000</f>
        <v>222048.42004910091</v>
      </c>
      <c r="O36" s="127">
        <f>Scenario!M31*1000</f>
        <v>285360.22603732342</v>
      </c>
      <c r="P36" s="127">
        <f>Scenario!N31*1000</f>
        <v>340357.80360589328</v>
      </c>
      <c r="Q36" s="127">
        <f>Scenario!O31*1000</f>
        <v>367643.15711561416</v>
      </c>
      <c r="R36" s="88">
        <f t="shared" ref="R36:R41" si="7">SUM(F36:Q36)</f>
        <v>4039540.012031707</v>
      </c>
      <c r="S36" s="128"/>
      <c r="T36" s="209">
        <f>R36-'IncomeStmt Rate Case'!R36</f>
        <v>-1099300.6882204665</v>
      </c>
      <c r="U36" s="128">
        <f>Scenario!P31*1000-R36</f>
        <v>0</v>
      </c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</row>
    <row r="37" spans="1:48">
      <c r="A37" s="62" t="s">
        <v>82</v>
      </c>
      <c r="C37" s="73"/>
      <c r="D37" s="81"/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8">
        <f t="shared" si="7"/>
        <v>0</v>
      </c>
      <c r="S37" s="128"/>
      <c r="T37" s="209"/>
      <c r="U37" s="128"/>
    </row>
    <row r="38" spans="1:48">
      <c r="A38" s="62" t="s">
        <v>83</v>
      </c>
      <c r="C38" s="73"/>
      <c r="D38" s="81"/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5">
        <f t="shared" si="7"/>
        <v>0</v>
      </c>
      <c r="S38" s="128"/>
      <c r="T38" s="209">
        <f>R38-'IncomeStmt Rate Case'!R38</f>
        <v>0</v>
      </c>
      <c r="U38" s="128"/>
    </row>
    <row r="39" spans="1:48">
      <c r="A39" s="62" t="s">
        <v>84</v>
      </c>
      <c r="C39" s="73"/>
      <c r="D39" s="81"/>
      <c r="E39" s="82">
        <v>61900</v>
      </c>
      <c r="F39" s="82">
        <v>61800.000000000007</v>
      </c>
      <c r="G39" s="82">
        <v>62100</v>
      </c>
      <c r="H39" s="82">
        <v>62400.000000000007</v>
      </c>
      <c r="I39" s="82">
        <v>63100</v>
      </c>
      <c r="J39" s="82">
        <v>63499.999999999993</v>
      </c>
      <c r="K39" s="82">
        <v>62800</v>
      </c>
      <c r="L39" s="82">
        <v>62400</v>
      </c>
      <c r="M39" s="82">
        <v>62199.999999999993</v>
      </c>
      <c r="N39" s="82">
        <v>62100</v>
      </c>
      <c r="O39" s="82">
        <v>61800</v>
      </c>
      <c r="P39" s="82">
        <v>61600</v>
      </c>
      <c r="Q39" s="82">
        <v>61300.000000000007</v>
      </c>
      <c r="R39" s="83">
        <f t="shared" si="7"/>
        <v>747100</v>
      </c>
      <c r="S39" s="128"/>
      <c r="T39" s="209"/>
      <c r="U39" s="128"/>
    </row>
    <row r="40" spans="1:48">
      <c r="A40" s="62" t="s">
        <v>85</v>
      </c>
      <c r="C40" s="73"/>
      <c r="D40" s="81"/>
      <c r="E40" s="82">
        <v>-77300</v>
      </c>
      <c r="F40" s="82">
        <v>-81800</v>
      </c>
      <c r="G40" s="82">
        <v>-86800</v>
      </c>
      <c r="H40" s="82">
        <v>-90900</v>
      </c>
      <c r="I40" s="82">
        <v>-99500</v>
      </c>
      <c r="J40" s="82">
        <v>-113500</v>
      </c>
      <c r="K40" s="82">
        <v>-127200</v>
      </c>
      <c r="L40" s="82">
        <v>-140400</v>
      </c>
      <c r="M40" s="82">
        <v>-152700</v>
      </c>
      <c r="N40" s="82">
        <v>-164500</v>
      </c>
      <c r="O40" s="82">
        <v>-175800</v>
      </c>
      <c r="P40" s="82">
        <v>-186800</v>
      </c>
      <c r="Q40" s="82">
        <v>-193800</v>
      </c>
      <c r="R40" s="85">
        <f t="shared" si="7"/>
        <v>-1613700</v>
      </c>
      <c r="S40" s="128"/>
      <c r="T40" s="209"/>
      <c r="U40" s="128"/>
    </row>
    <row r="41" spans="1:48">
      <c r="A41" s="62" t="s">
        <v>86</v>
      </c>
      <c r="C41" s="73"/>
      <c r="D41" s="94"/>
      <c r="E41" s="100">
        <v>3494740.3072488233</v>
      </c>
      <c r="F41" s="100">
        <f t="shared" ref="F41:Q41" si="8">SUM(F35:F40)</f>
        <v>3489982.1141304504</v>
      </c>
      <c r="G41" s="100">
        <f t="shared" si="8"/>
        <v>3485835.3078914708</v>
      </c>
      <c r="H41" s="100">
        <f t="shared" si="8"/>
        <v>3491260.7773177889</v>
      </c>
      <c r="I41" s="100">
        <f t="shared" si="8"/>
        <v>3516103.3164961431</v>
      </c>
      <c r="J41" s="100">
        <f t="shared" si="8"/>
        <v>3532766.2594384304</v>
      </c>
      <c r="K41" s="100">
        <f t="shared" si="8"/>
        <v>3379569.0135921673</v>
      </c>
      <c r="L41" s="100">
        <f t="shared" si="8"/>
        <v>3763120.5822162153</v>
      </c>
      <c r="M41" s="100">
        <f t="shared" si="8"/>
        <v>3762575.4398352248</v>
      </c>
      <c r="N41" s="100">
        <f t="shared" si="8"/>
        <v>3746525.1877701581</v>
      </c>
      <c r="O41" s="100">
        <f t="shared" si="8"/>
        <v>3798236.9937583804</v>
      </c>
      <c r="P41" s="100">
        <f t="shared" si="8"/>
        <v>3842034.5713269501</v>
      </c>
      <c r="Q41" s="100">
        <f t="shared" si="8"/>
        <v>3862019.924836671</v>
      </c>
      <c r="R41" s="96">
        <f t="shared" si="7"/>
        <v>43670029.488610052</v>
      </c>
      <c r="S41" s="128"/>
      <c r="T41" s="209">
        <f>R41-'IncomeStmt Rate Case'!R41</f>
        <v>-9247211.2116421163</v>
      </c>
      <c r="U41" s="128">
        <f>Scenario!P27*1000+Scenario!P31*1000+R39+R40-R41</f>
        <v>0</v>
      </c>
    </row>
    <row r="42" spans="1:48">
      <c r="C42" s="73"/>
      <c r="D42" s="8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 s="128"/>
      <c r="T42" s="209"/>
      <c r="U42" s="128"/>
    </row>
    <row r="43" spans="1:48" ht="15.75" thickBot="1">
      <c r="A43" s="62" t="s">
        <v>87</v>
      </c>
      <c r="C43" s="73"/>
      <c r="D43" s="103"/>
      <c r="E43" s="104">
        <v>13003962.64602562</v>
      </c>
      <c r="F43" s="104">
        <f t="shared" ref="F43:Q43" si="9">+F22+F32-F41</f>
        <v>6092909.7172555011</v>
      </c>
      <c r="G43" s="104">
        <f t="shared" si="9"/>
        <v>5450124.0241803396</v>
      </c>
      <c r="H43" s="104">
        <f t="shared" si="9"/>
        <v>4056355.6145954239</v>
      </c>
      <c r="I43" s="104">
        <f t="shared" si="9"/>
        <v>3488809.9090604503</v>
      </c>
      <c r="J43" s="104">
        <f t="shared" si="9"/>
        <v>2003933.9516257592</v>
      </c>
      <c r="K43" s="104">
        <f t="shared" si="9"/>
        <v>1020205.2463353588</v>
      </c>
      <c r="L43" s="104">
        <f t="shared" si="9"/>
        <v>923342.70356991049</v>
      </c>
      <c r="M43" s="104">
        <f t="shared" si="9"/>
        <v>1053604.2765594455</v>
      </c>
      <c r="N43" s="104">
        <f t="shared" si="9"/>
        <v>879752.55471204221</v>
      </c>
      <c r="O43" s="104">
        <f t="shared" si="9"/>
        <v>1193559.8345769756</v>
      </c>
      <c r="P43" s="104">
        <f t="shared" si="9"/>
        <v>2614534.2416768619</v>
      </c>
      <c r="Q43" s="104">
        <f t="shared" si="9"/>
        <v>4244244.9180211965</v>
      </c>
      <c r="R43" s="105">
        <f>+R22+R32-R41</f>
        <v>33021376.992169358</v>
      </c>
      <c r="S43" s="211"/>
      <c r="T43" s="209">
        <f>R43-'IncomeStmt Rate Case'!R43</f>
        <v>7070417.6924216449</v>
      </c>
      <c r="U43" s="128"/>
    </row>
    <row r="44" spans="1:48" ht="15.75" thickTop="1">
      <c r="C44" s="73"/>
      <c r="E44" s="107">
        <v>0</v>
      </c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>
        <f>SUM(E44:E44)</f>
        <v>0</v>
      </c>
      <c r="S44" s="212"/>
      <c r="T44" s="128"/>
      <c r="U44" s="128"/>
    </row>
    <row r="45" spans="1:48">
      <c r="A45" s="130" t="s">
        <v>119</v>
      </c>
      <c r="B45" s="130"/>
      <c r="C45" s="131"/>
      <c r="D45" s="130"/>
      <c r="E45" s="132">
        <v>419040.350737378</v>
      </c>
      <c r="F45" s="132">
        <f>-'IncomeStmt Rate Case'!F43+F43</f>
        <v>614889.65897314157</v>
      </c>
      <c r="G45" s="132">
        <f>-'IncomeStmt Rate Case'!G43+G43</f>
        <v>614995.21961726341</v>
      </c>
      <c r="H45" s="132">
        <f>-'IncomeStmt Rate Case'!H43+H43</f>
        <v>616758.73722666921</v>
      </c>
      <c r="I45" s="132">
        <f>-'IncomeStmt Rate Case'!I43+I43</f>
        <v>629111.75760166813</v>
      </c>
      <c r="J45" s="132">
        <f>-'IncomeStmt Rate Case'!J43+J43</f>
        <v>635325.39770736033</v>
      </c>
      <c r="K45" s="132">
        <f>-'IncomeStmt Rate Case'!K43+K43</f>
        <v>606826.51172218705</v>
      </c>
      <c r="L45" s="132">
        <f>-'IncomeStmt Rate Case'!L43+L43</f>
        <v>544174.0513505172</v>
      </c>
      <c r="M45" s="132">
        <f>-'IncomeStmt Rate Case'!M43+M43</f>
        <v>546719.15397040779</v>
      </c>
      <c r="N45" s="132">
        <f>-'IncomeStmt Rate Case'!N43+N43</f>
        <v>545751.13890435454</v>
      </c>
      <c r="O45" s="132">
        <f>-'IncomeStmt Rate Case'!O43+O43</f>
        <v>561604.7793321386</v>
      </c>
      <c r="P45" s="132">
        <f>-'IncomeStmt Rate Case'!P43+P43</f>
        <v>574038.51137329498</v>
      </c>
      <c r="Q45" s="132">
        <f>-'IncomeStmt Rate Case'!Q43+Q43</f>
        <v>580222.77464256249</v>
      </c>
      <c r="R45" s="132">
        <f>SUM(F45:Q45)</f>
        <v>7070417.6924215648</v>
      </c>
      <c r="S45" s="213"/>
      <c r="T45" s="128"/>
      <c r="U45" s="128"/>
    </row>
    <row r="46" spans="1:48">
      <c r="C46" s="73"/>
      <c r="D46" s="73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10"/>
      <c r="T46" s="128"/>
      <c r="U46" s="128"/>
    </row>
    <row r="47" spans="1:48">
      <c r="A47" s="111" t="s">
        <v>88</v>
      </c>
      <c r="C47" s="73"/>
      <c r="D47" s="73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10"/>
      <c r="T47" s="128"/>
      <c r="U47" s="128"/>
    </row>
    <row r="48" spans="1:48">
      <c r="A48" s="112" t="s">
        <v>89</v>
      </c>
      <c r="C48" s="73"/>
      <c r="D48" s="112" t="s">
        <v>90</v>
      </c>
      <c r="E48" s="113">
        <v>603500</v>
      </c>
      <c r="F48" s="113">
        <v>609200</v>
      </c>
      <c r="G48" s="113">
        <v>590900</v>
      </c>
      <c r="H48" s="113">
        <v>611400</v>
      </c>
      <c r="I48" s="113">
        <v>596100</v>
      </c>
      <c r="J48" s="113">
        <v>613300</v>
      </c>
      <c r="K48" s="113">
        <v>636400</v>
      </c>
      <c r="L48" s="113">
        <v>602300</v>
      </c>
      <c r="M48" s="113">
        <v>612300</v>
      </c>
      <c r="N48" s="113">
        <v>602500</v>
      </c>
      <c r="O48" s="113">
        <v>614200</v>
      </c>
      <c r="P48" s="113">
        <v>655600</v>
      </c>
      <c r="Q48" s="113">
        <v>603500</v>
      </c>
      <c r="R48" s="83">
        <f>SUM(F48:Q48)</f>
        <v>7347700</v>
      </c>
      <c r="T48" s="128"/>
      <c r="U48" s="128"/>
    </row>
    <row r="49" spans="1:21">
      <c r="C49" s="73"/>
      <c r="D49" s="73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14"/>
      <c r="T49" s="128"/>
      <c r="U49" s="128"/>
    </row>
    <row r="50" spans="1:21">
      <c r="C50" s="73"/>
      <c r="D50" s="73"/>
      <c r="E50" s="109"/>
      <c r="F50" s="109"/>
      <c r="G50" s="109"/>
      <c r="H50" s="109"/>
      <c r="I50" s="109"/>
      <c r="J50" s="109"/>
      <c r="K50" s="109"/>
      <c r="L50" t="s">
        <v>136</v>
      </c>
      <c r="M50" s="216">
        <v>0.2354</v>
      </c>
      <c r="N50" s="109"/>
      <c r="O50" s="109"/>
      <c r="P50" s="109"/>
      <c r="Q50" s="109"/>
      <c r="R50" s="114"/>
      <c r="T50" s="128"/>
      <c r="U50" s="128"/>
    </row>
    <row r="51" spans="1:21">
      <c r="C51" s="73"/>
      <c r="D51" s="73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6"/>
      <c r="T51" s="128"/>
      <c r="U51" s="128"/>
    </row>
    <row r="52" spans="1:21">
      <c r="C52" s="73"/>
      <c r="D52" s="73"/>
      <c r="E52" s="109">
        <v>123</v>
      </c>
      <c r="F52" s="109">
        <v>124</v>
      </c>
      <c r="G52" s="109">
        <v>125</v>
      </c>
      <c r="H52" s="109">
        <v>126</v>
      </c>
      <c r="I52" s="109">
        <v>127</v>
      </c>
      <c r="J52" s="109">
        <v>128</v>
      </c>
      <c r="K52" s="109">
        <v>129</v>
      </c>
      <c r="L52" s="109">
        <v>130</v>
      </c>
      <c r="M52" s="109">
        <v>131</v>
      </c>
      <c r="N52" s="109">
        <v>132</v>
      </c>
      <c r="O52" s="109">
        <v>133</v>
      </c>
      <c r="P52" s="109">
        <v>134</v>
      </c>
      <c r="Q52" s="109">
        <v>135</v>
      </c>
      <c r="R52" s="108"/>
      <c r="T52" s="128"/>
      <c r="U52" s="128"/>
    </row>
    <row r="53" spans="1:21">
      <c r="C53" s="73"/>
      <c r="D53" s="73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8"/>
      <c r="T53" s="128"/>
      <c r="U53" s="128"/>
    </row>
    <row r="54" spans="1:21">
      <c r="A54" s="117" t="s">
        <v>91</v>
      </c>
      <c r="C54" s="73"/>
      <c r="D54" s="62" t="s">
        <v>92</v>
      </c>
      <c r="E54" s="118">
        <v>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118">
        <v>0</v>
      </c>
      <c r="M54" s="118">
        <v>0</v>
      </c>
      <c r="N54" s="118">
        <v>0</v>
      </c>
      <c r="O54" s="118">
        <v>0</v>
      </c>
      <c r="P54" s="118">
        <v>0</v>
      </c>
      <c r="Q54" s="118">
        <v>0</v>
      </c>
      <c r="R54" s="108">
        <f>SUM(F54:Q54)</f>
        <v>0</v>
      </c>
      <c r="T54" s="128"/>
      <c r="U54" s="128"/>
    </row>
    <row r="55" spans="1:21">
      <c r="A55" s="117" t="s">
        <v>93</v>
      </c>
      <c r="C55" s="73"/>
      <c r="D55" s="62" t="s">
        <v>94</v>
      </c>
      <c r="E55" s="118">
        <v>1400</v>
      </c>
      <c r="F55" s="118">
        <v>1500</v>
      </c>
      <c r="G55" s="118">
        <v>1500</v>
      </c>
      <c r="H55" s="118">
        <v>1500</v>
      </c>
      <c r="I55" s="118">
        <v>24000</v>
      </c>
      <c r="J55" s="118">
        <v>1500</v>
      </c>
      <c r="K55" s="118">
        <v>1500</v>
      </c>
      <c r="L55" s="118">
        <v>1500</v>
      </c>
      <c r="M55" s="118">
        <v>1500</v>
      </c>
      <c r="N55" s="118">
        <v>1500</v>
      </c>
      <c r="O55" s="118">
        <v>1500</v>
      </c>
      <c r="P55" s="118">
        <v>1500</v>
      </c>
      <c r="Q55" s="118">
        <v>1500</v>
      </c>
      <c r="R55" s="108">
        <f t="shared" ref="R55:R65" si="10">SUM(F55:Q55)</f>
        <v>40500</v>
      </c>
      <c r="T55" s="128"/>
      <c r="U55" s="128"/>
    </row>
    <row r="56" spans="1:21">
      <c r="A56" s="62" t="s">
        <v>95</v>
      </c>
      <c r="C56" s="73"/>
      <c r="D56" s="62" t="s">
        <v>96</v>
      </c>
      <c r="E56" s="118">
        <v>0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0</v>
      </c>
      <c r="R56" s="108">
        <f t="shared" si="10"/>
        <v>0</v>
      </c>
      <c r="T56" s="128"/>
      <c r="U56" s="128"/>
    </row>
    <row r="57" spans="1:21">
      <c r="A57" s="62" t="s">
        <v>97</v>
      </c>
      <c r="C57" s="73"/>
      <c r="D57" s="62" t="s">
        <v>98</v>
      </c>
      <c r="E57" s="118">
        <v>48500</v>
      </c>
      <c r="F57" s="118">
        <v>24000</v>
      </c>
      <c r="G57" s="118">
        <v>24000</v>
      </c>
      <c r="H57" s="118">
        <v>24000</v>
      </c>
      <c r="I57" s="118">
        <v>24000</v>
      </c>
      <c r="J57" s="118">
        <v>24000</v>
      </c>
      <c r="K57" s="118">
        <v>24000</v>
      </c>
      <c r="L57" s="118">
        <v>24000</v>
      </c>
      <c r="M57" s="118">
        <v>24000</v>
      </c>
      <c r="N57" s="118">
        <v>24000</v>
      </c>
      <c r="O57" s="118">
        <v>24000</v>
      </c>
      <c r="P57" s="118">
        <v>24000</v>
      </c>
      <c r="Q57" s="118">
        <v>49500</v>
      </c>
      <c r="R57" s="108">
        <f t="shared" si="10"/>
        <v>313500</v>
      </c>
      <c r="T57" s="128"/>
      <c r="U57" s="128"/>
    </row>
    <row r="58" spans="1:21">
      <c r="A58" s="62" t="s">
        <v>99</v>
      </c>
      <c r="C58" s="73"/>
      <c r="D58" s="62" t="s">
        <v>100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08">
        <f t="shared" si="10"/>
        <v>0</v>
      </c>
      <c r="T58" s="128"/>
      <c r="U58" s="128"/>
    </row>
    <row r="59" spans="1:21">
      <c r="A59" s="62" t="s">
        <v>101</v>
      </c>
      <c r="C59" s="73"/>
      <c r="D59" s="62" t="s">
        <v>102</v>
      </c>
      <c r="E59" s="118">
        <v>34200</v>
      </c>
      <c r="F59" s="118">
        <v>9400</v>
      </c>
      <c r="G59" s="118">
        <v>9400</v>
      </c>
      <c r="H59" s="118">
        <v>9400</v>
      </c>
      <c r="I59" s="118">
        <v>9400</v>
      </c>
      <c r="J59" s="118">
        <v>9400</v>
      </c>
      <c r="K59" s="118">
        <v>9400</v>
      </c>
      <c r="L59" s="118">
        <v>9400</v>
      </c>
      <c r="M59" s="118">
        <v>9400</v>
      </c>
      <c r="N59" s="118">
        <v>9400</v>
      </c>
      <c r="O59" s="118">
        <v>9400</v>
      </c>
      <c r="P59" s="118">
        <v>9400</v>
      </c>
      <c r="Q59" s="118">
        <v>34900</v>
      </c>
      <c r="R59" s="108">
        <f t="shared" si="10"/>
        <v>138300</v>
      </c>
      <c r="T59" s="128"/>
      <c r="U59" s="128"/>
    </row>
    <row r="60" spans="1:21">
      <c r="A60" s="62" t="s">
        <v>103</v>
      </c>
      <c r="C60" s="73"/>
      <c r="D60" s="62" t="s">
        <v>104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08">
        <f t="shared" si="10"/>
        <v>0</v>
      </c>
      <c r="T60" s="128"/>
      <c r="U60" s="128"/>
    </row>
    <row r="61" spans="1:21">
      <c r="A61" s="62" t="s">
        <v>105</v>
      </c>
      <c r="C61" s="73"/>
      <c r="D61" s="62" t="s">
        <v>106</v>
      </c>
      <c r="E61" s="118">
        <v>9700</v>
      </c>
      <c r="F61" s="118">
        <v>4800</v>
      </c>
      <c r="G61" s="118">
        <v>4800</v>
      </c>
      <c r="H61" s="118">
        <v>9900</v>
      </c>
      <c r="I61" s="118">
        <v>4800</v>
      </c>
      <c r="J61" s="118">
        <v>4800</v>
      </c>
      <c r="K61" s="118">
        <v>9900</v>
      </c>
      <c r="L61" s="118">
        <v>4800</v>
      </c>
      <c r="M61" s="118">
        <v>4800</v>
      </c>
      <c r="N61" s="118">
        <v>9900</v>
      </c>
      <c r="O61" s="118">
        <v>4800</v>
      </c>
      <c r="P61" s="118">
        <v>4800</v>
      </c>
      <c r="Q61" s="118">
        <v>9900</v>
      </c>
      <c r="R61" s="108">
        <f t="shared" si="10"/>
        <v>78000</v>
      </c>
      <c r="T61" s="128"/>
      <c r="U61" s="128"/>
    </row>
    <row r="62" spans="1:21">
      <c r="A62" s="62" t="s">
        <v>107</v>
      </c>
      <c r="C62" s="73"/>
      <c r="D62" s="62" t="s">
        <v>108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08">
        <f t="shared" si="10"/>
        <v>0</v>
      </c>
      <c r="T62" s="128"/>
      <c r="U62" s="128"/>
    </row>
    <row r="63" spans="1:21">
      <c r="A63" s="62" t="s">
        <v>109</v>
      </c>
      <c r="C63" s="73"/>
      <c r="D63" s="62" t="s">
        <v>110</v>
      </c>
      <c r="E63" s="118">
        <v>0</v>
      </c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08">
        <f t="shared" si="10"/>
        <v>0</v>
      </c>
      <c r="T63" s="128"/>
      <c r="U63" s="128"/>
    </row>
    <row r="64" spans="1:21">
      <c r="A64" s="62" t="s">
        <v>111</v>
      </c>
      <c r="C64" s="73"/>
      <c r="D64" s="62" t="s">
        <v>112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118">
        <v>0</v>
      </c>
      <c r="M64" s="118">
        <v>0</v>
      </c>
      <c r="N64" s="118">
        <v>0</v>
      </c>
      <c r="O64" s="118">
        <v>0</v>
      </c>
      <c r="P64" s="118">
        <v>0</v>
      </c>
      <c r="Q64" s="118">
        <v>0</v>
      </c>
      <c r="R64" s="108">
        <f t="shared" si="10"/>
        <v>0</v>
      </c>
      <c r="T64" s="128"/>
      <c r="U64" s="128"/>
    </row>
    <row r="65" spans="1:21">
      <c r="A65" s="62" t="s">
        <v>113</v>
      </c>
      <c r="C65" s="73"/>
      <c r="D65" s="62" t="s">
        <v>114</v>
      </c>
      <c r="E65" s="118">
        <v>8300</v>
      </c>
      <c r="F65" s="118">
        <v>8500</v>
      </c>
      <c r="G65" s="118">
        <v>8500</v>
      </c>
      <c r="H65" s="118">
        <v>8500</v>
      </c>
      <c r="I65" s="118">
        <v>8500</v>
      </c>
      <c r="J65" s="118">
        <v>8500</v>
      </c>
      <c r="K65" s="118">
        <v>8500</v>
      </c>
      <c r="L65" s="118">
        <v>8500</v>
      </c>
      <c r="M65" s="118">
        <v>8500</v>
      </c>
      <c r="N65" s="118">
        <v>8500</v>
      </c>
      <c r="O65" s="118">
        <v>8500</v>
      </c>
      <c r="P65" s="118">
        <v>8500</v>
      </c>
      <c r="Q65" s="118">
        <v>8500</v>
      </c>
      <c r="R65" s="108">
        <f t="shared" si="10"/>
        <v>102000</v>
      </c>
      <c r="T65" s="128"/>
      <c r="U65" s="128"/>
    </row>
    <row r="66" spans="1:21">
      <c r="A66" s="119" t="s">
        <v>115</v>
      </c>
      <c r="B66" s="119"/>
      <c r="C66" s="120"/>
      <c r="D66" s="120" t="s">
        <v>116</v>
      </c>
      <c r="E66" s="121">
        <v>0</v>
      </c>
      <c r="F66" s="121">
        <v>35100</v>
      </c>
      <c r="G66" s="121">
        <v>3000</v>
      </c>
      <c r="H66" s="121">
        <v>0</v>
      </c>
      <c r="I66" s="121">
        <v>28000</v>
      </c>
      <c r="J66" s="121">
        <v>12000</v>
      </c>
      <c r="K66" s="121">
        <v>0</v>
      </c>
      <c r="L66" s="121">
        <v>3000</v>
      </c>
      <c r="M66" s="121">
        <v>0</v>
      </c>
      <c r="N66" s="121">
        <v>0</v>
      </c>
      <c r="O66" s="121">
        <v>3000</v>
      </c>
      <c r="P66" s="121">
        <v>0</v>
      </c>
      <c r="Q66" s="121">
        <v>0</v>
      </c>
      <c r="R66" s="108">
        <f>SUM(F66:Q66)</f>
        <v>84100</v>
      </c>
      <c r="T66" s="128"/>
      <c r="U66" s="128"/>
    </row>
    <row r="67" spans="1:21">
      <c r="A67" s="62" t="s">
        <v>117</v>
      </c>
      <c r="C67" s="73"/>
      <c r="E67" s="107">
        <v>102100</v>
      </c>
      <c r="F67" s="107">
        <f t="shared" ref="F67:O67" si="11">SUM(F54:F66)</f>
        <v>83300</v>
      </c>
      <c r="G67" s="107">
        <f t="shared" si="11"/>
        <v>51200</v>
      </c>
      <c r="H67" s="107">
        <f t="shared" si="11"/>
        <v>53300</v>
      </c>
      <c r="I67" s="107">
        <f t="shared" si="11"/>
        <v>98700</v>
      </c>
      <c r="J67" s="107">
        <f t="shared" si="11"/>
        <v>60200</v>
      </c>
      <c r="K67" s="107">
        <f t="shared" si="11"/>
        <v>53300</v>
      </c>
      <c r="L67" s="107">
        <f t="shared" si="11"/>
        <v>51200</v>
      </c>
      <c r="M67" s="107">
        <f t="shared" si="11"/>
        <v>48200</v>
      </c>
      <c r="N67" s="107">
        <f t="shared" si="11"/>
        <v>53300</v>
      </c>
      <c r="O67" s="107">
        <f t="shared" si="11"/>
        <v>51200</v>
      </c>
      <c r="P67" s="107">
        <f t="shared" ref="P67:R67" si="12">SUM(P54:P66)</f>
        <v>48200</v>
      </c>
      <c r="Q67" s="107">
        <f t="shared" si="12"/>
        <v>104300</v>
      </c>
      <c r="R67" s="108">
        <f t="shared" si="12"/>
        <v>756400</v>
      </c>
      <c r="T67" s="128"/>
      <c r="U67" s="128"/>
    </row>
    <row r="68" spans="1:21">
      <c r="C68" s="73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8"/>
      <c r="T68" s="128"/>
      <c r="U68" s="128"/>
    </row>
    <row r="69" spans="1:21">
      <c r="C69" s="73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14"/>
      <c r="T69" s="128"/>
      <c r="U69" s="128"/>
    </row>
    <row r="70" spans="1:21">
      <c r="C70" s="73"/>
      <c r="D70" s="73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7">
        <v>24769483.461478826</v>
      </c>
      <c r="T70" s="128"/>
      <c r="U70" s="128"/>
    </row>
    <row r="71" spans="1:21">
      <c r="C71" s="73"/>
      <c r="D71" s="73"/>
      <c r="E71" s="107"/>
      <c r="F71" s="107"/>
      <c r="G71" s="107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33"/>
      <c r="T71" s="128"/>
      <c r="U71" s="128"/>
    </row>
    <row r="72" spans="1:21">
      <c r="C72" s="73"/>
      <c r="D72" s="73"/>
      <c r="E72" s="107"/>
      <c r="F72" s="107"/>
      <c r="G72" s="107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33"/>
      <c r="S72" s="215"/>
      <c r="T72" s="128"/>
      <c r="U72" s="128"/>
    </row>
    <row r="73" spans="1:21">
      <c r="C73" s="73"/>
      <c r="D73" s="73"/>
      <c r="E73" s="107"/>
      <c r="F73" s="107"/>
      <c r="G73" s="107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33"/>
      <c r="T73" s="128"/>
      <c r="U73" s="128"/>
    </row>
    <row r="74" spans="1:21">
      <c r="C74" s="73"/>
      <c r="D74" s="73"/>
      <c r="E74" s="107"/>
      <c r="F74" s="107"/>
      <c r="G74" s="107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14"/>
      <c r="T74" s="128"/>
      <c r="U74" s="128"/>
    </row>
    <row r="75" spans="1:21">
      <c r="C75" s="73"/>
      <c r="D75" s="73"/>
      <c r="E75" s="107"/>
      <c r="F75" s="107"/>
      <c r="G75" s="107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14"/>
      <c r="T75" s="128"/>
      <c r="U75" s="128"/>
    </row>
    <row r="76" spans="1:21">
      <c r="C76" s="73"/>
      <c r="D76" s="73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14"/>
      <c r="T76" s="128"/>
      <c r="U76" s="128"/>
    </row>
    <row r="77" spans="1:21">
      <c r="C77" s="73"/>
      <c r="D77" s="73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14"/>
      <c r="T77" s="128"/>
      <c r="U77" s="128"/>
    </row>
    <row r="78" spans="1:21">
      <c r="C78" s="73"/>
      <c r="D78" s="73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14"/>
      <c r="T78" s="128"/>
      <c r="U78" s="128"/>
    </row>
    <row r="79" spans="1:21">
      <c r="C79" s="73"/>
      <c r="D79" s="73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14"/>
      <c r="T79" s="128"/>
      <c r="U79" s="128"/>
    </row>
    <row r="80" spans="1:21">
      <c r="C80" s="73"/>
      <c r="D80" s="73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14"/>
      <c r="T80" s="128"/>
      <c r="U80" s="128"/>
    </row>
    <row r="81" spans="3:21">
      <c r="C81" s="73"/>
      <c r="D81" s="73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14"/>
      <c r="T81" s="128"/>
      <c r="U81" s="128"/>
    </row>
    <row r="82" spans="3:21">
      <c r="C82" s="73"/>
      <c r="D82" s="73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14"/>
      <c r="T82" s="128"/>
      <c r="U82" s="128"/>
    </row>
    <row r="83" spans="3:21">
      <c r="C83" s="73"/>
      <c r="D83" s="73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14"/>
      <c r="T83" s="128"/>
      <c r="U83" s="128"/>
    </row>
    <row r="84" spans="3:21">
      <c r="C84" s="73"/>
      <c r="D84" s="73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14"/>
      <c r="T84" s="128"/>
      <c r="U84" s="128"/>
    </row>
    <row r="85" spans="3:21">
      <c r="C85" s="73"/>
      <c r="D85" s="73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14"/>
      <c r="T85" s="128"/>
      <c r="U85" s="128"/>
    </row>
    <row r="86" spans="3:21">
      <c r="C86" s="73"/>
      <c r="D86" s="73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14"/>
      <c r="T86" s="128"/>
      <c r="U86" s="128"/>
    </row>
    <row r="87" spans="3:21">
      <c r="C87" s="73"/>
      <c r="D87" s="73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14"/>
      <c r="T87" s="128"/>
      <c r="U87" s="128"/>
    </row>
    <row r="88" spans="3:21">
      <c r="C88" s="73"/>
      <c r="D88" s="73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14"/>
      <c r="T88" s="128"/>
      <c r="U88" s="128"/>
    </row>
    <row r="89" spans="3:21">
      <c r="C89" s="73"/>
      <c r="D89" s="73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T89" s="128"/>
      <c r="U89" s="128"/>
    </row>
    <row r="90" spans="3:21" ht="12.75">
      <c r="C90" s="73"/>
      <c r="D90" s="73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</row>
    <row r="91" spans="3:21" ht="12.75">
      <c r="C91" s="73"/>
      <c r="D91" s="73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</row>
    <row r="92" spans="3:21" ht="12.75">
      <c r="C92" s="73"/>
      <c r="D92" s="73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</row>
    <row r="93" spans="3:21" ht="12.75">
      <c r="C93" s="73"/>
      <c r="D93" s="73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</row>
    <row r="94" spans="3:21" ht="12.75">
      <c r="C94" s="73"/>
      <c r="D94" s="73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</row>
    <row r="95" spans="3:21" ht="12.75">
      <c r="C95" s="73"/>
      <c r="D95" s="73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</row>
    <row r="96" spans="3:21" ht="12.75">
      <c r="C96" s="73"/>
      <c r="D96" s="73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</row>
    <row r="97" spans="3:17" ht="12.75">
      <c r="C97" s="73"/>
      <c r="D97" s="73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</row>
  </sheetData>
  <conditionalFormatting sqref="A48 D48">
    <cfRule type="expression" dxfId="1" priority="1">
      <formula>$R48="N"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/>
  <cols>
    <col min="1" max="1" width="31.28515625" customWidth="1"/>
    <col min="2" max="2" width="6.42578125" customWidth="1"/>
    <col min="3" max="3" width="12.5703125" bestFit="1" customWidth="1"/>
    <col min="4" max="4" width="16" bestFit="1" customWidth="1"/>
    <col min="5" max="15" width="13.28515625" bestFit="1" customWidth="1"/>
    <col min="16" max="16" width="12.5703125" bestFit="1" customWidth="1"/>
    <col min="17" max="17" width="13.140625" bestFit="1" customWidth="1"/>
    <col min="18" max="18" width="14.5703125" bestFit="1" customWidth="1"/>
  </cols>
  <sheetData>
    <row r="1" spans="1:19" s="1" customFormat="1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26</v>
      </c>
    </row>
    <row r="2" spans="1:19" s="1" customFormat="1">
      <c r="A2" s="1" t="s">
        <v>41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1" t="s">
        <v>27</v>
      </c>
      <c r="Q2" s="1" t="s">
        <v>40</v>
      </c>
      <c r="R2" s="1" t="s">
        <v>29</v>
      </c>
    </row>
    <row r="4" spans="1:19">
      <c r="A4" t="s">
        <v>14</v>
      </c>
      <c r="C4" s="39">
        <v>1131344.2504286449</v>
      </c>
      <c r="D4" s="39">
        <v>1136822.2200582824</v>
      </c>
      <c r="E4" s="39">
        <v>1160078.2488628456</v>
      </c>
      <c r="F4" s="39">
        <v>1163517.8457402145</v>
      </c>
      <c r="G4" s="39">
        <v>1166377.543891673</v>
      </c>
      <c r="H4" s="39">
        <v>1188993.4067053772</v>
      </c>
      <c r="I4" s="39">
        <v>1189406.7854399902</v>
      </c>
      <c r="J4" s="39">
        <v>1189785.9540922099</v>
      </c>
      <c r="K4" s="39">
        <v>1215651.1537748084</v>
      </c>
      <c r="L4" s="39">
        <v>1215985.1551906161</v>
      </c>
      <c r="M4" s="39">
        <v>1216617.1102458611</v>
      </c>
      <c r="N4" s="39">
        <v>1252437.5507855485</v>
      </c>
      <c r="O4" s="39">
        <v>1256101.5729289269</v>
      </c>
      <c r="P4" s="8">
        <f t="shared" ref="P4:P9" si="0">AVERAGE(D4:O4,C4)</f>
        <v>1191009.1383188462</v>
      </c>
      <c r="Q4" s="3">
        <v>1191009.138318846</v>
      </c>
      <c r="R4" s="3">
        <f>Q4-P4</f>
        <v>0</v>
      </c>
      <c r="S4" s="3"/>
    </row>
    <row r="5" spans="1:19">
      <c r="A5" t="s">
        <v>15</v>
      </c>
      <c r="C5" s="176">
        <f t="shared" ref="C5" si="1">+C18</f>
        <v>825000</v>
      </c>
      <c r="D5" s="176">
        <f>+D18</f>
        <v>825000</v>
      </c>
      <c r="E5" s="176">
        <f t="shared" ref="E5:O5" si="2">+E18</f>
        <v>825000</v>
      </c>
      <c r="F5" s="176">
        <f t="shared" si="2"/>
        <v>825000</v>
      </c>
      <c r="G5" s="176">
        <f t="shared" si="2"/>
        <v>825000</v>
      </c>
      <c r="H5" s="176">
        <f t="shared" si="2"/>
        <v>825000</v>
      </c>
      <c r="I5" s="176">
        <f t="shared" si="2"/>
        <v>925000</v>
      </c>
      <c r="J5" s="176">
        <f t="shared" si="2"/>
        <v>925000</v>
      </c>
      <c r="K5" s="176">
        <f t="shared" si="2"/>
        <v>925000</v>
      </c>
      <c r="L5" s="176">
        <f t="shared" si="2"/>
        <v>925000</v>
      </c>
      <c r="M5" s="176">
        <f t="shared" si="2"/>
        <v>925000</v>
      </c>
      <c r="N5" s="176">
        <f t="shared" si="2"/>
        <v>925000</v>
      </c>
      <c r="O5" s="176">
        <f t="shared" si="2"/>
        <v>925000</v>
      </c>
      <c r="P5" s="8">
        <f t="shared" si="0"/>
        <v>878846.15384615387</v>
      </c>
      <c r="Q5" s="3">
        <v>878846.15384615387</v>
      </c>
      <c r="R5" s="3">
        <f t="shared" ref="R5:R10" si="3">Q5-P5</f>
        <v>0</v>
      </c>
      <c r="S5" s="3"/>
    </row>
    <row r="6" spans="1:19" ht="15.75" customHeight="1">
      <c r="A6" t="s">
        <v>16</v>
      </c>
      <c r="C6" s="39">
        <v>107765.54957135532</v>
      </c>
      <c r="D6" s="39">
        <v>113573.86133633056</v>
      </c>
      <c r="E6" s="39">
        <v>108081.6602919384</v>
      </c>
      <c r="F6" s="39">
        <v>118845.55815136948</v>
      </c>
      <c r="G6" s="39">
        <v>145010.30156472832</v>
      </c>
      <c r="H6" s="39">
        <v>137421.27760443586</v>
      </c>
      <c r="I6" s="39">
        <v>59815.061147584725</v>
      </c>
      <c r="J6" s="39">
        <v>79909.165697083663</v>
      </c>
      <c r="K6" s="39">
        <v>67611.707420851919</v>
      </c>
      <c r="L6" s="39">
        <v>77202.479567692179</v>
      </c>
      <c r="M6" s="39">
        <v>115175.20090690796</v>
      </c>
      <c r="N6" s="39">
        <v>114279.4981532449</v>
      </c>
      <c r="O6" s="39">
        <v>133569.82125054006</v>
      </c>
      <c r="P6" s="8">
        <f t="shared" si="0"/>
        <v>106020.08789723563</v>
      </c>
      <c r="Q6" s="3">
        <v>106020.08789723564</v>
      </c>
      <c r="R6" s="3">
        <f t="shared" si="3"/>
        <v>0</v>
      </c>
      <c r="S6" s="3"/>
    </row>
    <row r="7" spans="1:19" ht="15.75" customHeight="1">
      <c r="A7" t="s">
        <v>18</v>
      </c>
      <c r="C7" s="39">
        <v>28997.7003</v>
      </c>
      <c r="D7" s="39">
        <v>28772.5</v>
      </c>
      <c r="E7" s="39">
        <v>28795.3</v>
      </c>
      <c r="F7" s="39">
        <v>28818</v>
      </c>
      <c r="G7" s="39">
        <v>28836.400000000001</v>
      </c>
      <c r="H7" s="39">
        <v>28854.7</v>
      </c>
      <c r="I7" s="39">
        <v>28873.1</v>
      </c>
      <c r="J7" s="39">
        <v>28891</v>
      </c>
      <c r="K7" s="39">
        <v>28908.899999999998</v>
      </c>
      <c r="L7" s="39">
        <v>28926.9</v>
      </c>
      <c r="M7" s="39">
        <v>28950.5</v>
      </c>
      <c r="N7" s="39">
        <v>28974.1</v>
      </c>
      <c r="O7" s="39">
        <v>28997.7</v>
      </c>
      <c r="P7" s="8">
        <f t="shared" si="0"/>
        <v>28892.061561538467</v>
      </c>
      <c r="Q7" s="3">
        <v>28892.061561538463</v>
      </c>
      <c r="R7" s="3">
        <f t="shared" si="3"/>
        <v>0</v>
      </c>
      <c r="S7" s="3"/>
    </row>
    <row r="8" spans="1:19" ht="15.75" customHeight="1">
      <c r="A8" t="s">
        <v>25</v>
      </c>
      <c r="C8" s="39">
        <v>289117.19999999995</v>
      </c>
      <c r="D8" s="39">
        <v>290995.99999999994</v>
      </c>
      <c r="E8" s="39">
        <v>292482.59999999998</v>
      </c>
      <c r="F8" s="39">
        <v>295758.60000000003</v>
      </c>
      <c r="G8" s="39">
        <v>297424.69999999995</v>
      </c>
      <c r="H8" s="39">
        <v>299222.2</v>
      </c>
      <c r="I8" s="39">
        <v>301196.39999999997</v>
      </c>
      <c r="J8" s="39">
        <v>303067.2</v>
      </c>
      <c r="K8" s="39">
        <v>304999.49999999994</v>
      </c>
      <c r="L8" s="39">
        <v>307339.39999999997</v>
      </c>
      <c r="M8" s="39">
        <v>309378.59999999998</v>
      </c>
      <c r="N8" s="39">
        <v>311250.19999999995</v>
      </c>
      <c r="O8" s="39">
        <v>313204.09999999998</v>
      </c>
      <c r="P8" s="8">
        <f t="shared" si="0"/>
        <v>301187.4384615384</v>
      </c>
      <c r="Q8" s="3">
        <v>301187.43846153846</v>
      </c>
      <c r="R8" s="3">
        <f t="shared" si="3"/>
        <v>0</v>
      </c>
      <c r="S8" s="3"/>
    </row>
    <row r="9" spans="1:19" ht="15.75" customHeight="1">
      <c r="A9" t="s">
        <v>19</v>
      </c>
      <c r="C9" s="178">
        <v>3313.3</v>
      </c>
      <c r="D9" s="178">
        <v>3313.3</v>
      </c>
      <c r="E9" s="178">
        <v>3313.3</v>
      </c>
      <c r="F9" s="178">
        <v>3313.3</v>
      </c>
      <c r="G9" s="178">
        <v>3313.3</v>
      </c>
      <c r="H9" s="178">
        <v>3313.3</v>
      </c>
      <c r="I9" s="178">
        <v>3313.3</v>
      </c>
      <c r="J9" s="178">
        <v>3313.3</v>
      </c>
      <c r="K9" s="178">
        <v>3313.3</v>
      </c>
      <c r="L9" s="178">
        <v>3313.3</v>
      </c>
      <c r="M9" s="178">
        <v>3313.3</v>
      </c>
      <c r="N9" s="178">
        <v>3313.3</v>
      </c>
      <c r="O9" s="178">
        <v>3313.3</v>
      </c>
      <c r="P9" s="14">
        <f t="shared" si="0"/>
        <v>3313.3000000000006</v>
      </c>
      <c r="Q9" s="3">
        <v>3313.3</v>
      </c>
      <c r="R9" s="3">
        <f t="shared" si="3"/>
        <v>0</v>
      </c>
      <c r="S9" s="3"/>
    </row>
    <row r="10" spans="1:19" ht="15.75" customHeight="1">
      <c r="A10" t="s">
        <v>17</v>
      </c>
      <c r="C10" s="8">
        <f t="shared" ref="C10" si="4">SUM(C4:C9)</f>
        <v>2385538.0003</v>
      </c>
      <c r="D10" s="8">
        <f>SUM(D4:D9)</f>
        <v>2398477.8813946126</v>
      </c>
      <c r="E10" s="8">
        <f t="shared" ref="E10:O10" si="5">SUM(E4:E9)</f>
        <v>2417751.1091547837</v>
      </c>
      <c r="F10" s="8">
        <f t="shared" si="5"/>
        <v>2435253.3038915838</v>
      </c>
      <c r="G10" s="8">
        <f t="shared" si="5"/>
        <v>2465962.2454564013</v>
      </c>
      <c r="H10" s="8">
        <f t="shared" si="5"/>
        <v>2482804.8843098134</v>
      </c>
      <c r="I10" s="8">
        <f t="shared" si="5"/>
        <v>2507604.6465875749</v>
      </c>
      <c r="J10" s="8">
        <f t="shared" si="5"/>
        <v>2529966.619789294</v>
      </c>
      <c r="K10" s="8">
        <f t="shared" si="5"/>
        <v>2545484.5611956599</v>
      </c>
      <c r="L10" s="8">
        <f t="shared" si="5"/>
        <v>2557767.2347583077</v>
      </c>
      <c r="M10" s="8">
        <f t="shared" si="5"/>
        <v>2598434.7111527692</v>
      </c>
      <c r="N10" s="8">
        <f t="shared" si="5"/>
        <v>2635254.6489387937</v>
      </c>
      <c r="O10" s="8">
        <f t="shared" si="5"/>
        <v>2660186.4941794672</v>
      </c>
      <c r="P10" s="8">
        <f t="shared" ref="P10" si="6">SUM(P4:P9)</f>
        <v>2509268.1800853121</v>
      </c>
      <c r="Q10" s="3">
        <v>2509268.180085313</v>
      </c>
      <c r="R10" s="3">
        <f t="shared" si="3"/>
        <v>0</v>
      </c>
      <c r="S10" s="3"/>
    </row>
    <row r="11" spans="1:19" ht="15.75" customHeight="1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1"/>
      <c r="R11" s="11"/>
      <c r="S11" s="11"/>
    </row>
    <row r="12" spans="1:19">
      <c r="A12" s="15" t="s">
        <v>20</v>
      </c>
      <c r="C12" s="24">
        <v>0</v>
      </c>
      <c r="D12" s="26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27">
        <f>AVERAGE(D12:O12,C12)</f>
        <v>0</v>
      </c>
    </row>
    <row r="13" spans="1:19" s="25" customFormat="1">
      <c r="A13" s="30" t="s">
        <v>30</v>
      </c>
      <c r="C13" s="24">
        <v>325000</v>
      </c>
      <c r="D13" s="24">
        <f>C13</f>
        <v>325000</v>
      </c>
      <c r="E13" s="24">
        <f>D13</f>
        <v>325000</v>
      </c>
      <c r="F13" s="24">
        <f t="shared" ref="F13:O13" si="7">E13</f>
        <v>325000</v>
      </c>
      <c r="G13" s="24">
        <f t="shared" si="7"/>
        <v>325000</v>
      </c>
      <c r="H13" s="24">
        <f t="shared" si="7"/>
        <v>325000</v>
      </c>
      <c r="I13" s="24">
        <f t="shared" si="7"/>
        <v>325000</v>
      </c>
      <c r="J13" s="24">
        <f t="shared" si="7"/>
        <v>325000</v>
      </c>
      <c r="K13" s="24">
        <f t="shared" si="7"/>
        <v>325000</v>
      </c>
      <c r="L13" s="24">
        <f t="shared" si="7"/>
        <v>325000</v>
      </c>
      <c r="M13" s="24">
        <f t="shared" si="7"/>
        <v>325000</v>
      </c>
      <c r="N13" s="24">
        <f t="shared" si="7"/>
        <v>325000</v>
      </c>
      <c r="O13" s="24">
        <f t="shared" si="7"/>
        <v>325000</v>
      </c>
      <c r="P13" s="27">
        <f>AVERAGE(D13:O13,C13)</f>
        <v>325000</v>
      </c>
    </row>
    <row r="14" spans="1:19" s="25" customFormat="1">
      <c r="A14" s="30" t="s">
        <v>31</v>
      </c>
      <c r="C14" s="24">
        <v>300000</v>
      </c>
      <c r="D14" s="24">
        <f>C14</f>
        <v>300000</v>
      </c>
      <c r="E14" s="24">
        <f t="shared" ref="E14:O15" si="8">D14</f>
        <v>300000</v>
      </c>
      <c r="F14" s="24">
        <f t="shared" si="8"/>
        <v>300000</v>
      </c>
      <c r="G14" s="24">
        <f t="shared" si="8"/>
        <v>300000</v>
      </c>
      <c r="H14" s="24">
        <f t="shared" si="8"/>
        <v>300000</v>
      </c>
      <c r="I14" s="24">
        <f t="shared" si="8"/>
        <v>300000</v>
      </c>
      <c r="J14" s="24">
        <f t="shared" si="8"/>
        <v>300000</v>
      </c>
      <c r="K14" s="24">
        <f t="shared" si="8"/>
        <v>300000</v>
      </c>
      <c r="L14" s="24">
        <f t="shared" si="8"/>
        <v>300000</v>
      </c>
      <c r="M14" s="24">
        <f t="shared" si="8"/>
        <v>300000</v>
      </c>
      <c r="N14" s="24">
        <f t="shared" si="8"/>
        <v>300000</v>
      </c>
      <c r="O14" s="24">
        <f t="shared" si="8"/>
        <v>300000</v>
      </c>
      <c r="P14" s="27">
        <f>AVERAGE(D14:O14,C14)</f>
        <v>300000</v>
      </c>
    </row>
    <row r="15" spans="1:19" s="25" customFormat="1" ht="15.75" customHeight="1">
      <c r="A15" s="30" t="s">
        <v>32</v>
      </c>
      <c r="C15" s="24">
        <v>200000</v>
      </c>
      <c r="D15" s="24">
        <f>C15</f>
        <v>200000</v>
      </c>
      <c r="E15" s="24">
        <f t="shared" si="8"/>
        <v>200000</v>
      </c>
      <c r="F15" s="24">
        <f t="shared" si="8"/>
        <v>200000</v>
      </c>
      <c r="G15" s="24">
        <f t="shared" si="8"/>
        <v>200000</v>
      </c>
      <c r="H15" s="24">
        <f t="shared" si="8"/>
        <v>200000</v>
      </c>
      <c r="I15" s="24">
        <f t="shared" si="8"/>
        <v>200000</v>
      </c>
      <c r="J15" s="24">
        <f t="shared" si="8"/>
        <v>200000</v>
      </c>
      <c r="K15" s="24">
        <f t="shared" si="8"/>
        <v>200000</v>
      </c>
      <c r="L15" s="24">
        <f t="shared" si="8"/>
        <v>200000</v>
      </c>
      <c r="M15" s="24">
        <f t="shared" si="8"/>
        <v>200000</v>
      </c>
      <c r="N15" s="24">
        <f t="shared" si="8"/>
        <v>200000</v>
      </c>
      <c r="O15" s="24">
        <f t="shared" si="8"/>
        <v>200000</v>
      </c>
      <c r="P15" s="27">
        <f>AVERAGE(D15:O15,C15)</f>
        <v>200000</v>
      </c>
    </row>
    <row r="16" spans="1:19" s="32" customFormat="1">
      <c r="A16" s="31" t="s">
        <v>127</v>
      </c>
      <c r="C16" s="34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33">
        <v>100000</v>
      </c>
      <c r="J16" s="33">
        <f t="shared" ref="J16:O16" si="9">+I16</f>
        <v>100000</v>
      </c>
      <c r="K16" s="33">
        <f t="shared" si="9"/>
        <v>100000</v>
      </c>
      <c r="L16" s="33">
        <f t="shared" si="9"/>
        <v>100000</v>
      </c>
      <c r="M16" s="33">
        <f t="shared" si="9"/>
        <v>100000</v>
      </c>
      <c r="N16" s="33">
        <f t="shared" si="9"/>
        <v>100000</v>
      </c>
      <c r="O16" s="33">
        <f t="shared" si="9"/>
        <v>100000</v>
      </c>
      <c r="P16" s="33">
        <f>AVERAGE(D16:O16,C16)</f>
        <v>53846.153846153844</v>
      </c>
    </row>
    <row r="17" spans="1:19" s="25" customFormat="1" hidden="1">
      <c r="C17" s="28"/>
      <c r="D17" s="37"/>
      <c r="E17" s="37"/>
      <c r="F17" s="37"/>
      <c r="G17" s="37"/>
      <c r="H17" s="37"/>
      <c r="I17" s="27"/>
      <c r="J17" s="27"/>
      <c r="K17" s="27"/>
      <c r="L17" s="27"/>
      <c r="M17" s="27"/>
      <c r="N17" s="27"/>
      <c r="O17" s="27"/>
      <c r="P17" s="27"/>
    </row>
    <row r="18" spans="1:19" ht="12.75" customHeight="1">
      <c r="A18" t="s">
        <v>34</v>
      </c>
      <c r="C18" s="27">
        <f t="shared" ref="C18:P18" si="10">SUM(C12:C16)</f>
        <v>825000</v>
      </c>
      <c r="D18" s="27">
        <f t="shared" si="10"/>
        <v>825000</v>
      </c>
      <c r="E18" s="27">
        <f t="shared" si="10"/>
        <v>825000</v>
      </c>
      <c r="F18" s="27">
        <f t="shared" si="10"/>
        <v>825000</v>
      </c>
      <c r="G18" s="27">
        <f t="shared" si="10"/>
        <v>825000</v>
      </c>
      <c r="H18" s="27">
        <f t="shared" si="10"/>
        <v>825000</v>
      </c>
      <c r="I18" s="27">
        <f t="shared" si="10"/>
        <v>925000</v>
      </c>
      <c r="J18" s="27">
        <f t="shared" si="10"/>
        <v>925000</v>
      </c>
      <c r="K18" s="27">
        <f t="shared" si="10"/>
        <v>925000</v>
      </c>
      <c r="L18" s="27">
        <f t="shared" si="10"/>
        <v>925000</v>
      </c>
      <c r="M18" s="27">
        <f t="shared" si="10"/>
        <v>925000</v>
      </c>
      <c r="N18" s="27">
        <f t="shared" si="10"/>
        <v>925000</v>
      </c>
      <c r="O18" s="27">
        <f t="shared" si="10"/>
        <v>925000</v>
      </c>
      <c r="P18" s="27">
        <f t="shared" si="10"/>
        <v>878846.15384615387</v>
      </c>
    </row>
    <row r="19" spans="1:19" ht="15.75" customHeight="1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0">
        <f>+P27/P5</f>
        <v>5.5350984682713343E-2</v>
      </c>
      <c r="R19" s="3"/>
      <c r="S19" s="3"/>
    </row>
    <row r="20" spans="1:19">
      <c r="A20" s="15" t="s">
        <v>35</v>
      </c>
      <c r="B20" s="10"/>
      <c r="C20" s="24"/>
      <c r="D20" s="2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8" t="s">
        <v>37</v>
      </c>
    </row>
    <row r="21" spans="1:19">
      <c r="A21" s="15" t="s">
        <v>36</v>
      </c>
      <c r="B21" s="166">
        <v>4.0399999999999998E-2</v>
      </c>
      <c r="C21" s="19"/>
      <c r="D21" s="2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8">
        <f>SUM(D21:O21)</f>
        <v>0</v>
      </c>
    </row>
    <row r="22" spans="1:19" s="25" customFormat="1">
      <c r="A22" s="30" t="s">
        <v>30</v>
      </c>
      <c r="B22" s="203">
        <v>5.3999999999999999E-2</v>
      </c>
      <c r="C22" s="23">
        <f>+C13*$B22/12</f>
        <v>1462.5</v>
      </c>
      <c r="D22" s="26">
        <f>C22</f>
        <v>1462.5</v>
      </c>
      <c r="E22" s="26">
        <f>D22</f>
        <v>1462.5</v>
      </c>
      <c r="F22" s="26">
        <f t="shared" ref="F22:F24" si="11">E22</f>
        <v>1462.5</v>
      </c>
      <c r="G22" s="26">
        <f t="shared" ref="G22:G24" si="12">F22</f>
        <v>1462.5</v>
      </c>
      <c r="H22" s="26">
        <f t="shared" ref="H22:H24" si="13">G22</f>
        <v>1462.5</v>
      </c>
      <c r="I22" s="26">
        <f t="shared" ref="I22:I24" si="14">H22</f>
        <v>1462.5</v>
      </c>
      <c r="J22" s="26">
        <f t="shared" ref="J22:J24" si="15">I22</f>
        <v>1462.5</v>
      </c>
      <c r="K22" s="26">
        <f t="shared" ref="K22:K24" si="16">J22</f>
        <v>1462.5</v>
      </c>
      <c r="L22" s="26">
        <f t="shared" ref="L22:L24" si="17">K22</f>
        <v>1462.5</v>
      </c>
      <c r="M22" s="26">
        <f t="shared" ref="M22:M24" si="18">L22</f>
        <v>1462.5</v>
      </c>
      <c r="N22" s="26">
        <f t="shared" ref="N22:N24" si="19">M22</f>
        <v>1462.5</v>
      </c>
      <c r="O22" s="26">
        <f t="shared" ref="O22:O24" si="20">N22</f>
        <v>1462.5</v>
      </c>
      <c r="P22" s="8">
        <f t="shared" ref="P22:P25" si="21">SUM(D22:O22)</f>
        <v>17550</v>
      </c>
    </row>
    <row r="23" spans="1:19" s="25" customFormat="1">
      <c r="A23" s="30" t="s">
        <v>31</v>
      </c>
      <c r="B23" s="203">
        <v>5.4699999999999999E-2</v>
      </c>
      <c r="C23" s="23">
        <f>+C14*$B23/12</f>
        <v>1367.5</v>
      </c>
      <c r="D23" s="26">
        <f>C23</f>
        <v>1367.5</v>
      </c>
      <c r="E23" s="26">
        <f t="shared" ref="E23:E24" si="22">D23</f>
        <v>1367.5</v>
      </c>
      <c r="F23" s="26">
        <f t="shared" si="11"/>
        <v>1367.5</v>
      </c>
      <c r="G23" s="26">
        <f t="shared" si="12"/>
        <v>1367.5</v>
      </c>
      <c r="H23" s="26">
        <f t="shared" si="13"/>
        <v>1367.5</v>
      </c>
      <c r="I23" s="26">
        <f t="shared" si="14"/>
        <v>1367.5</v>
      </c>
      <c r="J23" s="26">
        <f t="shared" si="15"/>
        <v>1367.5</v>
      </c>
      <c r="K23" s="26">
        <f t="shared" si="16"/>
        <v>1367.5</v>
      </c>
      <c r="L23" s="26">
        <f t="shared" si="17"/>
        <v>1367.5</v>
      </c>
      <c r="M23" s="26">
        <f t="shared" si="18"/>
        <v>1367.5</v>
      </c>
      <c r="N23" s="26">
        <f t="shared" si="19"/>
        <v>1367.5</v>
      </c>
      <c r="O23" s="26">
        <f t="shared" si="20"/>
        <v>1367.5</v>
      </c>
      <c r="P23" s="8">
        <f t="shared" si="21"/>
        <v>16410</v>
      </c>
    </row>
    <row r="24" spans="1:19" s="25" customFormat="1" ht="15.75" customHeight="1">
      <c r="A24" s="30" t="s">
        <v>32</v>
      </c>
      <c r="B24" s="203">
        <v>0.06</v>
      </c>
      <c r="C24" s="23">
        <f>+C15*$B24/12</f>
        <v>1000</v>
      </c>
      <c r="D24" s="26">
        <f>C24</f>
        <v>1000</v>
      </c>
      <c r="E24" s="26">
        <f t="shared" si="22"/>
        <v>1000</v>
      </c>
      <c r="F24" s="26">
        <f t="shared" si="11"/>
        <v>1000</v>
      </c>
      <c r="G24" s="26">
        <f t="shared" si="12"/>
        <v>1000</v>
      </c>
      <c r="H24" s="26">
        <f t="shared" si="13"/>
        <v>1000</v>
      </c>
      <c r="I24" s="26">
        <f t="shared" si="14"/>
        <v>1000</v>
      </c>
      <c r="J24" s="26">
        <f t="shared" si="15"/>
        <v>1000</v>
      </c>
      <c r="K24" s="26">
        <f t="shared" si="16"/>
        <v>1000</v>
      </c>
      <c r="L24" s="26">
        <f t="shared" si="17"/>
        <v>1000</v>
      </c>
      <c r="M24" s="26">
        <f t="shared" si="18"/>
        <v>1000</v>
      </c>
      <c r="N24" s="26">
        <f t="shared" si="19"/>
        <v>1000</v>
      </c>
      <c r="O24" s="26">
        <f t="shared" si="20"/>
        <v>1000</v>
      </c>
      <c r="P24" s="8">
        <f t="shared" si="21"/>
        <v>12000</v>
      </c>
    </row>
    <row r="25" spans="1:19" s="32" customFormat="1">
      <c r="A25" s="31" t="s">
        <v>127</v>
      </c>
      <c r="B25" s="204">
        <v>5.3699999999999998E-2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6">
        <f>+I16*$B25/12*0</f>
        <v>0</v>
      </c>
      <c r="J25" s="36">
        <f t="shared" ref="J25:O25" si="23">+J16*$B25/12</f>
        <v>447.5</v>
      </c>
      <c r="K25" s="36">
        <f t="shared" si="23"/>
        <v>447.5</v>
      </c>
      <c r="L25" s="36">
        <f t="shared" si="23"/>
        <v>447.5</v>
      </c>
      <c r="M25" s="36">
        <f t="shared" si="23"/>
        <v>447.5</v>
      </c>
      <c r="N25" s="36">
        <f t="shared" si="23"/>
        <v>447.5</v>
      </c>
      <c r="O25" s="36">
        <f t="shared" si="23"/>
        <v>447.5</v>
      </c>
      <c r="P25" s="14">
        <f t="shared" si="21"/>
        <v>2685</v>
      </c>
    </row>
    <row r="26" spans="1:19" s="25" customFormat="1" hidden="1">
      <c r="A26" s="31"/>
      <c r="B26" s="52"/>
      <c r="C26" s="34"/>
      <c r="D26" s="34"/>
      <c r="E26" s="34"/>
      <c r="F26" s="34"/>
      <c r="G26" s="34"/>
      <c r="H26" s="34"/>
      <c r="I26" s="36"/>
      <c r="J26" s="36"/>
      <c r="K26" s="36"/>
      <c r="L26" s="36"/>
      <c r="M26" s="36"/>
      <c r="N26" s="36"/>
      <c r="O26" s="36"/>
      <c r="P26" s="14"/>
    </row>
    <row r="27" spans="1:19" ht="12.75" customHeight="1">
      <c r="A27" s="136" t="s">
        <v>123</v>
      </c>
      <c r="B27" s="137"/>
      <c r="C27" s="138">
        <f t="shared" ref="C27" si="24">SUM(C20:C25)</f>
        <v>3830</v>
      </c>
      <c r="D27" s="138">
        <f t="shared" ref="D27" si="25">SUM(D20:D25)</f>
        <v>3830</v>
      </c>
      <c r="E27" s="138">
        <f t="shared" ref="E27" si="26">SUM(E20:E25)</f>
        <v>3830</v>
      </c>
      <c r="F27" s="138">
        <f t="shared" ref="F27" si="27">SUM(F20:F25)</f>
        <v>3830</v>
      </c>
      <c r="G27" s="138">
        <f t="shared" ref="G27" si="28">SUM(G20:G25)</f>
        <v>3830</v>
      </c>
      <c r="H27" s="138">
        <f t="shared" ref="H27" si="29">SUM(H20:H25)</f>
        <v>3830</v>
      </c>
      <c r="I27" s="138">
        <f t="shared" ref="I27" si="30">SUM(I20:I25)</f>
        <v>3830</v>
      </c>
      <c r="J27" s="138">
        <f t="shared" ref="J27" si="31">SUM(J20:J25)</f>
        <v>4277.5</v>
      </c>
      <c r="K27" s="138">
        <f t="shared" ref="K27" si="32">SUM(K20:K25)</f>
        <v>4277.5</v>
      </c>
      <c r="L27" s="138">
        <f t="shared" ref="L27" si="33">SUM(L20:L25)</f>
        <v>4277.5</v>
      </c>
      <c r="M27" s="138">
        <f t="shared" ref="M27" si="34">SUM(M20:M25)</f>
        <v>4277.5</v>
      </c>
      <c r="N27" s="138">
        <f t="shared" ref="N27" si="35">SUM(N20:N25)</f>
        <v>4277.5</v>
      </c>
      <c r="O27" s="138">
        <f t="shared" ref="O27:P27" si="36">SUM(O20:O25)</f>
        <v>4277.5</v>
      </c>
      <c r="P27" s="139">
        <f t="shared" si="36"/>
        <v>48645</v>
      </c>
    </row>
    <row r="28" spans="1:19" ht="15.75" customHeight="1">
      <c r="C28" s="2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3"/>
      <c r="R28" s="3"/>
      <c r="S28" s="3"/>
    </row>
    <row r="29" spans="1:19" ht="15.75" customHeight="1">
      <c r="A29" s="25" t="s">
        <v>50</v>
      </c>
      <c r="C29" s="8">
        <f t="shared" ref="C29" si="37">C6</f>
        <v>107765.54957135532</v>
      </c>
      <c r="D29" s="8">
        <f t="shared" ref="D29:N29" si="38">D6</f>
        <v>113573.86133633056</v>
      </c>
      <c r="E29" s="8">
        <f t="shared" si="38"/>
        <v>108081.6602919384</v>
      </c>
      <c r="F29" s="8">
        <f t="shared" si="38"/>
        <v>118845.55815136948</v>
      </c>
      <c r="G29" s="8">
        <f t="shared" si="38"/>
        <v>145010.30156472832</v>
      </c>
      <c r="H29" s="8">
        <f t="shared" si="38"/>
        <v>137421.27760443586</v>
      </c>
      <c r="I29" s="8">
        <f t="shared" si="38"/>
        <v>59815.061147584725</v>
      </c>
      <c r="J29" s="8">
        <f t="shared" si="38"/>
        <v>79909.165697083663</v>
      </c>
      <c r="K29" s="8">
        <f t="shared" si="38"/>
        <v>67611.707420851919</v>
      </c>
      <c r="L29" s="8">
        <f t="shared" si="38"/>
        <v>77202.479567692179</v>
      </c>
      <c r="M29" s="8">
        <f t="shared" si="38"/>
        <v>115175.20090690796</v>
      </c>
      <c r="N29" s="8">
        <f t="shared" si="38"/>
        <v>114279.4981532449</v>
      </c>
      <c r="O29" s="8">
        <f>O6</f>
        <v>133569.82125054006</v>
      </c>
      <c r="P29" s="27">
        <f>AVERAGE(D29:O29,C29)</f>
        <v>106020.08789723563</v>
      </c>
      <c r="Q29" s="3"/>
      <c r="R29" s="3"/>
      <c r="S29" s="3"/>
    </row>
    <row r="30" spans="1:19" ht="15.75" customHeight="1">
      <c r="A30" s="25" t="s">
        <v>38</v>
      </c>
      <c r="C30" s="155">
        <f>0.0568/12</f>
        <v>4.7333333333333333E-3</v>
      </c>
      <c r="D30" s="155">
        <f>0.0525/12</f>
        <v>4.3749999999999995E-3</v>
      </c>
      <c r="E30" s="155">
        <f t="shared" ref="E30:F30" si="39">0.0525/12</f>
        <v>4.3749999999999995E-3</v>
      </c>
      <c r="F30" s="155">
        <f t="shared" si="39"/>
        <v>4.3749999999999995E-3</v>
      </c>
      <c r="G30" s="155">
        <f>0.0496/12</f>
        <v>4.1333333333333335E-3</v>
      </c>
      <c r="H30" s="155">
        <f t="shared" ref="H30:I30" si="40">0.0496/12</f>
        <v>4.1333333333333335E-3</v>
      </c>
      <c r="I30" s="155">
        <f t="shared" si="40"/>
        <v>4.1333333333333335E-3</v>
      </c>
      <c r="J30" s="155">
        <f>0.0473/12</f>
        <v>3.9416666666666671E-3</v>
      </c>
      <c r="K30" s="155">
        <f t="shared" ref="K30:L30" si="41">0.0473/12</f>
        <v>3.9416666666666671E-3</v>
      </c>
      <c r="L30" s="155">
        <f t="shared" si="41"/>
        <v>3.9416666666666671E-3</v>
      </c>
      <c r="M30" s="155">
        <f>0.0461/12</f>
        <v>3.8416666666666668E-3</v>
      </c>
      <c r="N30" s="155">
        <f t="shared" ref="N30:O30" si="42">0.0461/12</f>
        <v>3.8416666666666668E-3</v>
      </c>
      <c r="O30" s="155">
        <f t="shared" si="42"/>
        <v>3.8416666666666668E-3</v>
      </c>
      <c r="P30" s="40">
        <f>+P31/P6</f>
        <v>4.848075859086514E-2</v>
      </c>
      <c r="Q30" s="3"/>
      <c r="R30" s="3"/>
      <c r="S30" s="3"/>
    </row>
    <row r="31" spans="1:19" ht="15.75" customHeight="1">
      <c r="A31" s="140" t="s">
        <v>39</v>
      </c>
      <c r="B31" s="137"/>
      <c r="C31" s="141">
        <f>(C6+91590)/2*C30</f>
        <v>471.80813398554096</v>
      </c>
      <c r="D31" s="141">
        <f>(D6+C6)/2*D30</f>
        <v>484.1799613605628</v>
      </c>
      <c r="E31" s="141">
        <f t="shared" ref="E31:O31" si="43">(E6+D6)/2*E30</f>
        <v>484.87145356183834</v>
      </c>
      <c r="F31" s="141">
        <f t="shared" si="43"/>
        <v>496.40329034473592</v>
      </c>
      <c r="G31" s="141">
        <f t="shared" si="43"/>
        <v>545.30211007993557</v>
      </c>
      <c r="H31" s="141">
        <f t="shared" si="43"/>
        <v>583.69193028293932</v>
      </c>
      <c r="I31" s="141">
        <f t="shared" si="43"/>
        <v>407.62176675417589</v>
      </c>
      <c r="J31" s="141">
        <f t="shared" si="43"/>
        <v>275.37316373970066</v>
      </c>
      <c r="K31" s="141">
        <f t="shared" si="43"/>
        <v>290.73905410326472</v>
      </c>
      <c r="L31" s="141">
        <f t="shared" si="43"/>
        <v>285.404626856589</v>
      </c>
      <c r="M31" s="141">
        <f t="shared" si="43"/>
        <v>369.52546124496115</v>
      </c>
      <c r="N31" s="141">
        <f t="shared" si="43"/>
        <v>440.74423444471034</v>
      </c>
      <c r="O31" s="141">
        <f t="shared" si="43"/>
        <v>476.07723435477033</v>
      </c>
      <c r="P31" s="142">
        <f t="shared" ref="P31" si="44">SUM(D31:O31)</f>
        <v>5139.9342871281833</v>
      </c>
      <c r="Q31" s="3"/>
      <c r="R31" s="3"/>
      <c r="S31" s="3"/>
    </row>
    <row r="32" spans="1:19">
      <c r="C32" s="38"/>
      <c r="D32" s="5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15.75" thickBot="1">
      <c r="C33" s="14">
        <f t="shared" ref="C33:O33" si="45">SUM(C4:C6)</f>
        <v>2064109.8000000003</v>
      </c>
      <c r="D33" s="14">
        <f t="shared" si="45"/>
        <v>2075396.081394613</v>
      </c>
      <c r="E33" s="6">
        <f t="shared" si="45"/>
        <v>2093159.9091547839</v>
      </c>
      <c r="F33" s="6">
        <f t="shared" si="45"/>
        <v>2107363.4038915839</v>
      </c>
      <c r="G33" s="6">
        <f t="shared" si="45"/>
        <v>2136387.8454564014</v>
      </c>
      <c r="H33" s="6">
        <f t="shared" si="45"/>
        <v>2151414.6843098132</v>
      </c>
      <c r="I33" s="6">
        <f t="shared" si="45"/>
        <v>2174221.846587575</v>
      </c>
      <c r="J33" s="6">
        <f t="shared" si="45"/>
        <v>2194695.119789294</v>
      </c>
      <c r="K33" s="6">
        <f t="shared" si="45"/>
        <v>2208262.8611956602</v>
      </c>
      <c r="L33" s="6">
        <f t="shared" si="45"/>
        <v>2218187.6347583081</v>
      </c>
      <c r="M33" s="6">
        <f t="shared" si="45"/>
        <v>2256792.3111527693</v>
      </c>
      <c r="N33" s="6">
        <f t="shared" si="45"/>
        <v>2291717.0489387936</v>
      </c>
      <c r="O33" s="6">
        <f t="shared" si="45"/>
        <v>2314671.3941794671</v>
      </c>
      <c r="P33" s="8"/>
    </row>
    <row r="34" spans="1:16" s="41" customFormat="1" ht="15.75" thickBot="1">
      <c r="A34" s="41" t="s">
        <v>28</v>
      </c>
      <c r="C34" s="153">
        <f t="shared" ref="C34:P34" si="46">+C4/(C4+C5+C6)</f>
        <v>0.54810274648598867</v>
      </c>
      <c r="D34" s="153">
        <f t="shared" si="46"/>
        <v>0.54776157199562936</v>
      </c>
      <c r="E34" s="42">
        <f t="shared" si="46"/>
        <v>0.55422342258183421</v>
      </c>
      <c r="F34" s="42">
        <f t="shared" si="46"/>
        <v>0.55212017234027722</v>
      </c>
      <c r="G34" s="42">
        <f t="shared" si="46"/>
        <v>0.54595776996779211</v>
      </c>
      <c r="H34" s="42">
        <f t="shared" si="46"/>
        <v>0.55265654519171115</v>
      </c>
      <c r="I34" s="42">
        <f t="shared" si="46"/>
        <v>0.54704941324490663</v>
      </c>
      <c r="J34" s="42">
        <f t="shared" si="46"/>
        <v>0.54211901387306938</v>
      </c>
      <c r="K34" s="42">
        <f t="shared" si="46"/>
        <v>0.55050110887460024</v>
      </c>
      <c r="L34" s="42">
        <f t="shared" si="46"/>
        <v>0.54818859150439225</v>
      </c>
      <c r="M34" s="42">
        <f t="shared" si="46"/>
        <v>0.53909130416365747</v>
      </c>
      <c r="N34" s="42">
        <f t="shared" si="46"/>
        <v>0.54650618904524206</v>
      </c>
      <c r="O34" s="42">
        <f t="shared" si="46"/>
        <v>0.5426695020673572</v>
      </c>
      <c r="P34" s="54">
        <f t="shared" si="46"/>
        <v>0.54737010640966965</v>
      </c>
    </row>
    <row r="35" spans="1:16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64" t="s">
        <v>24</v>
      </c>
    </row>
    <row r="37" spans="1:16">
      <c r="A37" s="13" t="s">
        <v>14</v>
      </c>
      <c r="B37" s="13"/>
      <c r="P37" s="8">
        <v>-67002.951722974045</v>
      </c>
    </row>
    <row r="38" spans="1:16">
      <c r="A38" s="13" t="s">
        <v>15</v>
      </c>
      <c r="B38" s="13"/>
      <c r="P38" s="8">
        <v>-46660.623342015009</v>
      </c>
    </row>
    <row r="39" spans="1:16">
      <c r="A39" s="13" t="s">
        <v>16</v>
      </c>
      <c r="B39" s="13"/>
      <c r="P39" s="8">
        <v>-6348.6370346175327</v>
      </c>
    </row>
    <row r="40" spans="1:16">
      <c r="A40" s="13" t="s">
        <v>18</v>
      </c>
      <c r="B40" s="13"/>
      <c r="P40" s="8">
        <v>-1363.8783116930001</v>
      </c>
    </row>
    <row r="41" spans="1:16">
      <c r="A41" s="13" t="s">
        <v>25</v>
      </c>
      <c r="B41" s="13"/>
      <c r="P41" s="8">
        <v>-20947.229721249565</v>
      </c>
    </row>
    <row r="42" spans="1:16">
      <c r="A42" s="16" t="s">
        <v>19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4">
        <v>-156.40782956000001</v>
      </c>
    </row>
    <row r="43" spans="1:16">
      <c r="A43" s="13" t="s">
        <v>17</v>
      </c>
      <c r="B43" s="13"/>
      <c r="P43" s="8">
        <f>SUM(P37:P42)</f>
        <v>-142479.72796210914</v>
      </c>
    </row>
    <row r="44" spans="1:16">
      <c r="P44" s="8"/>
    </row>
    <row r="45" spans="1:16">
      <c r="A45" t="s">
        <v>14</v>
      </c>
      <c r="P45" s="8">
        <f t="shared" ref="P45:P50" si="47">+P4+P37</f>
        <v>1124006.1865958723</v>
      </c>
    </row>
    <row r="46" spans="1:16">
      <c r="A46" t="s">
        <v>15</v>
      </c>
      <c r="P46" s="8">
        <f t="shared" si="47"/>
        <v>832185.53050413891</v>
      </c>
    </row>
    <row r="47" spans="1:16">
      <c r="A47" t="s">
        <v>16</v>
      </c>
      <c r="P47" s="8">
        <f t="shared" si="47"/>
        <v>99671.45086261809</v>
      </c>
    </row>
    <row r="48" spans="1:16">
      <c r="A48" t="s">
        <v>18</v>
      </c>
      <c r="P48" s="8">
        <f t="shared" si="47"/>
        <v>27528.183249845468</v>
      </c>
    </row>
    <row r="49" spans="1:18">
      <c r="A49" t="s">
        <v>25</v>
      </c>
      <c r="P49" s="8">
        <f t="shared" si="47"/>
        <v>280240.20874028886</v>
      </c>
    </row>
    <row r="50" spans="1:18">
      <c r="A50" t="s">
        <v>19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4">
        <f t="shared" si="47"/>
        <v>3156.8921704400004</v>
      </c>
    </row>
    <row r="51" spans="1:18" ht="15.75" thickBot="1">
      <c r="A51" t="s">
        <v>17</v>
      </c>
      <c r="P51" s="8">
        <f t="shared" ref="P51" si="48">SUM(P45:P50)</f>
        <v>2366788.4521232038</v>
      </c>
      <c r="Q51" s="20">
        <v>2366788.4521232038</v>
      </c>
      <c r="R51" s="20">
        <f>Q51-P51</f>
        <v>0</v>
      </c>
    </row>
    <row r="52" spans="1:18" ht="15.75" thickBot="1">
      <c r="P52" s="129">
        <f>+P45/(P45+P46+P47)</f>
        <v>0.54673200245606235</v>
      </c>
    </row>
    <row r="53" spans="1:18">
      <c r="A53" t="s">
        <v>14</v>
      </c>
      <c r="C53" s="157">
        <f t="shared" ref="C53" si="49">C4/C$33</f>
        <v>0.54810274648598867</v>
      </c>
      <c r="D53" s="9">
        <f t="shared" ref="D53:O53" si="50">D4/D$33</f>
        <v>0.54776157199562936</v>
      </c>
      <c r="E53" s="4">
        <f t="shared" si="50"/>
        <v>0.55422342258183421</v>
      </c>
      <c r="F53" s="4">
        <f t="shared" si="50"/>
        <v>0.55212017234027722</v>
      </c>
      <c r="G53" s="4">
        <f t="shared" si="50"/>
        <v>0.54595776996779211</v>
      </c>
      <c r="H53" s="4">
        <f t="shared" si="50"/>
        <v>0.55265654519171115</v>
      </c>
      <c r="I53" s="4">
        <f t="shared" si="50"/>
        <v>0.54704941324490663</v>
      </c>
      <c r="J53" s="4">
        <f t="shared" si="50"/>
        <v>0.54211901387306938</v>
      </c>
      <c r="K53" s="4">
        <f t="shared" si="50"/>
        <v>0.55050110887460024</v>
      </c>
      <c r="L53" s="4">
        <f t="shared" si="50"/>
        <v>0.54818859150439225</v>
      </c>
      <c r="M53" s="4">
        <f t="shared" si="50"/>
        <v>0.53909130416365747</v>
      </c>
      <c r="N53" s="4">
        <f t="shared" si="50"/>
        <v>0.54650618904524206</v>
      </c>
      <c r="O53" s="4">
        <f t="shared" si="50"/>
        <v>0.5426695020673572</v>
      </c>
      <c r="P53" s="4">
        <f>+P45/P$51</f>
        <v>0.47490775341055358</v>
      </c>
      <c r="Q53" s="10">
        <v>0.47490775341055347</v>
      </c>
      <c r="R53" s="4">
        <f t="shared" ref="R53:R58" si="51">Q53-P53</f>
        <v>0</v>
      </c>
    </row>
    <row r="54" spans="1:18">
      <c r="A54" t="s">
        <v>15</v>
      </c>
      <c r="C54" s="157">
        <f t="shared" ref="C54" si="52">C5/C$33</f>
        <v>0.3996880398513683</v>
      </c>
      <c r="D54" s="9">
        <f t="shared" ref="D54:O54" si="53">D5/D$33</f>
        <v>0.39751448284783364</v>
      </c>
      <c r="E54" s="4">
        <f t="shared" si="53"/>
        <v>0.39414093323291971</v>
      </c>
      <c r="F54" s="4">
        <f t="shared" si="53"/>
        <v>0.39148444851823155</v>
      </c>
      <c r="G54" s="4">
        <f t="shared" si="53"/>
        <v>0.38616583676722493</v>
      </c>
      <c r="H54" s="4">
        <f t="shared" si="53"/>
        <v>0.38346861068518967</v>
      </c>
      <c r="I54" s="4">
        <f t="shared" si="53"/>
        <v>0.42543956655195081</v>
      </c>
      <c r="J54" s="4">
        <f t="shared" si="53"/>
        <v>0.42147084196770185</v>
      </c>
      <c r="K54" s="4">
        <f t="shared" si="53"/>
        <v>0.41888129183097356</v>
      </c>
      <c r="L54" s="4">
        <f t="shared" si="53"/>
        <v>0.41700710323398194</v>
      </c>
      <c r="M54" s="4">
        <f t="shared" si="53"/>
        <v>0.40987378210603265</v>
      </c>
      <c r="N54" s="4">
        <f t="shared" si="53"/>
        <v>0.40362748988943992</v>
      </c>
      <c r="O54" s="4">
        <f t="shared" si="53"/>
        <v>0.39962475983676521</v>
      </c>
      <c r="P54" s="4">
        <f t="shared" ref="P54:P58" si="54">+P46/P$51</f>
        <v>0.35160959559254235</v>
      </c>
      <c r="Q54" s="10">
        <v>0.35160959559254229</v>
      </c>
      <c r="R54" s="4">
        <f t="shared" si="51"/>
        <v>0</v>
      </c>
    </row>
    <row r="55" spans="1:18">
      <c r="A55" t="s">
        <v>16</v>
      </c>
      <c r="C55" s="157">
        <f t="shared" ref="C55" si="55">C6/C$33</f>
        <v>5.2209213662643E-2</v>
      </c>
      <c r="D55" s="9">
        <f t="shared" ref="D55:O55" si="56">D6/D$33</f>
        <v>5.4723945156536981E-2</v>
      </c>
      <c r="E55" s="9">
        <f t="shared" si="56"/>
        <v>5.1635644185246063E-2</v>
      </c>
      <c r="F55" s="9">
        <f t="shared" si="56"/>
        <v>5.6395379141491273E-2</v>
      </c>
      <c r="G55" s="9">
        <f t="shared" si="56"/>
        <v>6.7876393264982945E-2</v>
      </c>
      <c r="H55" s="9">
        <f t="shared" si="56"/>
        <v>6.3874844123099142E-2</v>
      </c>
      <c r="I55" s="9">
        <f t="shared" si="56"/>
        <v>2.7511020203142573E-2</v>
      </c>
      <c r="J55" s="9">
        <f t="shared" si="56"/>
        <v>3.6410144159228594E-2</v>
      </c>
      <c r="K55" s="9">
        <f t="shared" si="56"/>
        <v>3.0617599294426243E-2</v>
      </c>
      <c r="L55" s="9">
        <f t="shared" si="56"/>
        <v>3.4804305261625937E-2</v>
      </c>
      <c r="M55" s="9">
        <f t="shared" si="56"/>
        <v>5.1034913730309765E-2</v>
      </c>
      <c r="N55" s="9">
        <f t="shared" si="56"/>
        <v>4.9866321065317971E-2</v>
      </c>
      <c r="O55" s="9">
        <f t="shared" si="56"/>
        <v>5.7705738095877541E-2</v>
      </c>
      <c r="P55" s="4">
        <f t="shared" si="54"/>
        <v>4.2112530493887024E-2</v>
      </c>
      <c r="Q55" s="10">
        <v>4.2112530493887031E-2</v>
      </c>
      <c r="R55" s="4">
        <f t="shared" si="51"/>
        <v>0</v>
      </c>
    </row>
    <row r="56" spans="1:18">
      <c r="A56" t="s">
        <v>18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4">
        <f t="shared" si="54"/>
        <v>1.1631028208351457E-2</v>
      </c>
      <c r="Q56" s="10">
        <v>1.1631028208351456E-2</v>
      </c>
      <c r="R56" s="4">
        <f t="shared" si="51"/>
        <v>0</v>
      </c>
    </row>
    <row r="57" spans="1:18">
      <c r="A57" t="s">
        <v>25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4">
        <f t="shared" si="54"/>
        <v>0.11840526283153459</v>
      </c>
      <c r="Q57" s="10">
        <v>0.11840526283153459</v>
      </c>
      <c r="R57" s="4">
        <f t="shared" si="51"/>
        <v>0</v>
      </c>
    </row>
    <row r="58" spans="1:18">
      <c r="A58" t="s">
        <v>19</v>
      </c>
      <c r="C58" s="17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>
        <f t="shared" si="54"/>
        <v>1.3338294631309395E-3</v>
      </c>
      <c r="Q58" s="10">
        <v>1.3338294631309393E-3</v>
      </c>
      <c r="R58" s="4">
        <f t="shared" si="51"/>
        <v>0</v>
      </c>
    </row>
    <row r="59" spans="1:18">
      <c r="A59" t="s">
        <v>17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4">
        <f>SUM(P53:P58)</f>
        <v>1</v>
      </c>
    </row>
    <row r="62" spans="1:18">
      <c r="A62" t="s">
        <v>14</v>
      </c>
      <c r="P62" s="10">
        <v>0.11</v>
      </c>
    </row>
    <row r="63" spans="1:18">
      <c r="A63" t="s">
        <v>15</v>
      </c>
      <c r="P63" s="10">
        <v>5.535098468271335E-2</v>
      </c>
    </row>
    <row r="64" spans="1:18">
      <c r="A64" t="s">
        <v>16</v>
      </c>
      <c r="P64" s="10">
        <f>+P30</f>
        <v>4.848075859086514E-2</v>
      </c>
    </row>
    <row r="65" spans="1:23">
      <c r="A65" t="s">
        <v>18</v>
      </c>
      <c r="P65" s="10">
        <v>2.53E-2</v>
      </c>
    </row>
    <row r="66" spans="1:23">
      <c r="A66" t="s">
        <v>25</v>
      </c>
      <c r="P66" s="10">
        <v>0</v>
      </c>
    </row>
    <row r="67" spans="1:23">
      <c r="A67" t="s">
        <v>19</v>
      </c>
      <c r="P67" s="10">
        <f>(P46/(P46+P47+P45))*P63+P47/(P45+P46+P47)*P64+P45/(P45+P46+P47)*P62</f>
        <v>8.4896270989811673E-2</v>
      </c>
    </row>
    <row r="68" spans="1:23">
      <c r="A68" t="s">
        <v>17</v>
      </c>
      <c r="P68" s="4">
        <f>SUM(P62:P67)</f>
        <v>0.32402801426339017</v>
      </c>
    </row>
    <row r="70" spans="1:23">
      <c r="A70" t="s">
        <v>14</v>
      </c>
      <c r="P70" s="10">
        <f t="shared" ref="P70:P75" si="57">+P53*P62</f>
        <v>5.2239852875160891E-2</v>
      </c>
      <c r="Q70" s="10">
        <v>5.2239852875160885E-2</v>
      </c>
      <c r="R70" s="18">
        <f t="shared" ref="R70:R76" si="58">Q70-P70</f>
        <v>0</v>
      </c>
    </row>
    <row r="71" spans="1:23">
      <c r="A71" t="s">
        <v>15</v>
      </c>
      <c r="P71" s="10">
        <f t="shared" si="57"/>
        <v>1.9461937339937847E-2</v>
      </c>
      <c r="Q71" s="10">
        <v>1.9461937339937844E-2</v>
      </c>
      <c r="R71" s="18">
        <f t="shared" si="58"/>
        <v>0</v>
      </c>
    </row>
    <row r="72" spans="1:23">
      <c r="A72" t="s">
        <v>16</v>
      </c>
      <c r="P72" s="10">
        <f t="shared" si="57"/>
        <v>2.0416474245245836E-3</v>
      </c>
      <c r="Q72" s="10">
        <v>2.0424577289535214E-3</v>
      </c>
      <c r="R72" s="18">
        <f t="shared" si="58"/>
        <v>8.1030442893774771E-7</v>
      </c>
    </row>
    <row r="73" spans="1:23">
      <c r="A73" t="s">
        <v>18</v>
      </c>
      <c r="P73" s="10">
        <f t="shared" si="57"/>
        <v>2.9426501367129184E-4</v>
      </c>
      <c r="Q73" s="10">
        <v>2.9426501367129184E-4</v>
      </c>
      <c r="R73" s="18">
        <f t="shared" si="58"/>
        <v>0</v>
      </c>
    </row>
    <row r="74" spans="1:23">
      <c r="A74" t="s">
        <v>25</v>
      </c>
      <c r="P74" s="10">
        <f t="shared" si="57"/>
        <v>0</v>
      </c>
      <c r="Q74" s="10">
        <v>0</v>
      </c>
      <c r="R74" s="18">
        <f t="shared" si="58"/>
        <v>0</v>
      </c>
    </row>
    <row r="75" spans="1:23" ht="15.75" thickBot="1">
      <c r="A75" t="s">
        <v>19</v>
      </c>
      <c r="P75" s="10">
        <f t="shared" si="57"/>
        <v>1.1323714755615927E-4</v>
      </c>
      <c r="Q75" s="10">
        <v>1.1326485599595696E-4</v>
      </c>
      <c r="R75" s="18">
        <f t="shared" si="58"/>
        <v>2.7708439797688596E-8</v>
      </c>
    </row>
    <row r="76" spans="1:23" ht="15.75" thickBot="1">
      <c r="A76" t="s">
        <v>17</v>
      </c>
      <c r="P76" s="156">
        <f>SUM(P70:P75)</f>
        <v>7.4150939800850774E-2</v>
      </c>
      <c r="Q76" s="10">
        <v>7.4151777813719497E-2</v>
      </c>
      <c r="R76" s="18">
        <f t="shared" si="58"/>
        <v>8.3801286872298153E-7</v>
      </c>
    </row>
    <row r="79" spans="1:23">
      <c r="C79" s="3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>
      <c r="C80" s="3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3:23">
      <c r="C81" s="3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3:23">
      <c r="C82" s="3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3:23">
      <c r="C83" s="3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3:23">
      <c r="C84" s="3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3:23">
      <c r="C85" s="3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3:23">
      <c r="C86" s="3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</sheetData>
  <pageMargins left="0.7" right="0.7" top="0.75" bottom="0.75" header="0.3" footer="0.3"/>
  <pageSetup scale="54" fitToHeight="0" orientation="landscape" r:id="rId1"/>
  <rowBreaks count="1" manualBreakCount="1">
    <brk id="34" max="15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N97"/>
  <sheetViews>
    <sheetView zoomScale="70" zoomScaleNormal="70" workbookViewId="0">
      <pane xSplit="5" ySplit="6" topLeftCell="F7" activePane="bottomRight" state="frozen"/>
      <selection pane="topRight" activeCell="CM1" sqref="CM1"/>
      <selection pane="bottomLeft" activeCell="A7" sqref="A7"/>
      <selection pane="bottomRight" activeCell="M26" sqref="M26"/>
    </sheetView>
  </sheetViews>
  <sheetFormatPr defaultColWidth="8.42578125" defaultRowHeight="15"/>
  <cols>
    <col min="1" max="1" width="38" style="62" customWidth="1"/>
    <col min="2" max="2" width="8.42578125" style="62" hidden="1" customWidth="1"/>
    <col min="3" max="3" width="2.85546875" style="62" customWidth="1"/>
    <col min="4" max="4" width="11.7109375" style="62" hidden="1" customWidth="1"/>
    <col min="5" max="5" width="15" style="123" hidden="1" customWidth="1"/>
    <col min="6" max="17" width="15" style="123" customWidth="1"/>
    <col min="18" max="18" width="20.7109375" style="122" customWidth="1"/>
    <col min="19" max="19" width="20" style="62" bestFit="1" customWidth="1"/>
    <col min="20" max="20" width="11.28515625" style="62" bestFit="1" customWidth="1"/>
    <col min="21" max="21" width="11.85546875" style="62" bestFit="1" customWidth="1"/>
    <col min="22" max="16384" width="8.42578125" style="62"/>
  </cols>
  <sheetData>
    <row r="1" spans="1:66" ht="15.75">
      <c r="A1" s="64"/>
      <c r="C1" s="65"/>
      <c r="D1" s="66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  <c r="BN1" s="70"/>
    </row>
    <row r="2" spans="1:66">
      <c r="C2" s="65"/>
      <c r="D2" s="65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1:66" ht="15.75" customHeight="1">
      <c r="A3" s="71"/>
      <c r="C3" s="65"/>
      <c r="D3" s="65"/>
      <c r="E3" s="68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69"/>
    </row>
    <row r="4" spans="1:66" ht="15.75">
      <c r="A4" s="64" t="s">
        <v>52</v>
      </c>
      <c r="C4" s="73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75"/>
    </row>
    <row r="5" spans="1:66">
      <c r="A5" s="76"/>
      <c r="C5" s="73"/>
      <c r="D5" s="63" t="s">
        <v>53</v>
      </c>
      <c r="E5" s="77" t="s">
        <v>0</v>
      </c>
      <c r="F5" s="77" t="s">
        <v>0</v>
      </c>
      <c r="G5" s="77" t="s">
        <v>0</v>
      </c>
      <c r="H5" s="77" t="s">
        <v>0</v>
      </c>
      <c r="I5" s="77" t="s">
        <v>0</v>
      </c>
      <c r="J5" s="77" t="s">
        <v>0</v>
      </c>
      <c r="K5" s="77" t="s">
        <v>0</v>
      </c>
      <c r="L5" s="77" t="s">
        <v>0</v>
      </c>
      <c r="M5" s="77" t="s">
        <v>0</v>
      </c>
      <c r="N5" s="77" t="s">
        <v>0</v>
      </c>
      <c r="O5" s="77" t="s">
        <v>0</v>
      </c>
      <c r="P5" s="77" t="s">
        <v>0</v>
      </c>
      <c r="Q5" s="77" t="s">
        <v>0</v>
      </c>
      <c r="R5" s="78" t="s">
        <v>131</v>
      </c>
    </row>
    <row r="6" spans="1:66">
      <c r="A6" s="76"/>
      <c r="C6" s="73"/>
      <c r="D6" s="63" t="s">
        <v>54</v>
      </c>
      <c r="E6" s="79">
        <v>45291</v>
      </c>
      <c r="F6" s="79">
        <v>45322</v>
      </c>
      <c r="G6" s="79">
        <v>45350</v>
      </c>
      <c r="H6" s="79">
        <v>45382</v>
      </c>
      <c r="I6" s="79">
        <v>45412</v>
      </c>
      <c r="J6" s="79">
        <v>45443</v>
      </c>
      <c r="K6" s="79">
        <v>45473</v>
      </c>
      <c r="L6" s="79">
        <v>45504</v>
      </c>
      <c r="M6" s="79">
        <v>45535</v>
      </c>
      <c r="N6" s="79">
        <v>45565</v>
      </c>
      <c r="O6" s="79">
        <v>45596</v>
      </c>
      <c r="P6" s="79">
        <v>45626</v>
      </c>
      <c r="Q6" s="79">
        <v>45657</v>
      </c>
      <c r="R6" s="80" t="s">
        <v>55</v>
      </c>
    </row>
    <row r="7" spans="1:66">
      <c r="A7" s="62" t="s">
        <v>56</v>
      </c>
      <c r="C7" s="73"/>
      <c r="D7" s="81"/>
      <c r="E7" s="82">
        <v>59236199.999999993</v>
      </c>
      <c r="F7" s="82">
        <v>71766499.99999997</v>
      </c>
      <c r="G7" s="82">
        <v>67926200.000000015</v>
      </c>
      <c r="H7" s="82">
        <v>60946099.999999993</v>
      </c>
      <c r="I7" s="82">
        <v>52392500</v>
      </c>
      <c r="J7" s="82">
        <v>47476599.999999985</v>
      </c>
      <c r="K7" s="82">
        <v>45373299.999999978</v>
      </c>
      <c r="L7" s="82">
        <v>43920399.99999997</v>
      </c>
      <c r="M7" s="82">
        <v>43371099.999999993</v>
      </c>
      <c r="N7" s="82">
        <v>45200099.99999997</v>
      </c>
      <c r="O7" s="82">
        <v>46104599.999999993</v>
      </c>
      <c r="P7" s="82">
        <v>51491699.999999985</v>
      </c>
      <c r="Q7" s="82">
        <v>59227699.99999997</v>
      </c>
      <c r="R7" s="83">
        <v>635196800</v>
      </c>
      <c r="S7" s="128"/>
      <c r="T7" s="209"/>
      <c r="U7" s="210"/>
    </row>
    <row r="8" spans="1:66">
      <c r="A8" s="62" t="s">
        <v>57</v>
      </c>
      <c r="C8" s="73"/>
      <c r="D8" s="81"/>
      <c r="E8" s="84">
        <v>21375500</v>
      </c>
      <c r="F8" s="84">
        <v>32330700</v>
      </c>
      <c r="G8" s="84">
        <v>30137200</v>
      </c>
      <c r="H8" s="84">
        <v>24809900</v>
      </c>
      <c r="I8" s="84">
        <v>18243800</v>
      </c>
      <c r="J8" s="84">
        <v>15145400</v>
      </c>
      <c r="K8" s="84">
        <v>13843900</v>
      </c>
      <c r="L8" s="84">
        <v>13329600</v>
      </c>
      <c r="M8" s="84">
        <v>12910100</v>
      </c>
      <c r="N8" s="84">
        <v>13755000</v>
      </c>
      <c r="O8" s="84">
        <v>14886200</v>
      </c>
      <c r="P8" s="84">
        <v>17661600</v>
      </c>
      <c r="Q8" s="84">
        <v>21375500</v>
      </c>
      <c r="R8" s="85">
        <v>228428900</v>
      </c>
      <c r="S8" s="128"/>
      <c r="T8" s="209"/>
      <c r="U8" s="128"/>
    </row>
    <row r="9" spans="1:66">
      <c r="A9" s="62" t="s">
        <v>58</v>
      </c>
      <c r="C9" s="73"/>
      <c r="D9" s="86"/>
      <c r="E9" s="87">
        <v>37860699.999999993</v>
      </c>
      <c r="F9" s="87">
        <v>39435799.99999997</v>
      </c>
      <c r="G9" s="87">
        <v>37789000.000000015</v>
      </c>
      <c r="H9" s="87">
        <v>36136199.999999993</v>
      </c>
      <c r="I9" s="87">
        <v>34148700</v>
      </c>
      <c r="J9" s="87">
        <v>32331199.999999985</v>
      </c>
      <c r="K9" s="87">
        <v>31529399.999999978</v>
      </c>
      <c r="L9" s="87">
        <v>30590799.99999997</v>
      </c>
      <c r="M9" s="87">
        <v>30460999.999999993</v>
      </c>
      <c r="N9" s="87">
        <v>31445099.99999997</v>
      </c>
      <c r="O9" s="87">
        <v>31218399.999999993</v>
      </c>
      <c r="P9" s="87">
        <v>33830099.999999985</v>
      </c>
      <c r="Q9" s="87">
        <v>37852199.99999997</v>
      </c>
      <c r="R9" s="88">
        <v>406767899.99999988</v>
      </c>
      <c r="S9" s="128"/>
      <c r="T9" s="209"/>
      <c r="U9" s="128"/>
    </row>
    <row r="10" spans="1:66">
      <c r="C10" s="73"/>
      <c r="D10" s="81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8"/>
      <c r="T10" s="209"/>
      <c r="U10" s="128"/>
    </row>
    <row r="11" spans="1:66">
      <c r="A11" s="62" t="s">
        <v>59</v>
      </c>
      <c r="C11" s="73"/>
      <c r="D11" s="81"/>
      <c r="E11" s="82">
        <v>14203099.999999998</v>
      </c>
      <c r="F11" s="82">
        <v>15021700.000000002</v>
      </c>
      <c r="G11" s="82">
        <v>14162599.999999998</v>
      </c>
      <c r="H11" s="82">
        <v>15468599.999999996</v>
      </c>
      <c r="I11" s="82">
        <v>13953899.999999996</v>
      </c>
      <c r="J11" s="82">
        <v>14340299.999999996</v>
      </c>
      <c r="K11" s="82">
        <v>15122599.999999994</v>
      </c>
      <c r="L11" s="82">
        <v>14393599.999999994</v>
      </c>
      <c r="M11" s="82">
        <v>14069899.999999994</v>
      </c>
      <c r="N11" s="82">
        <v>14821499.999999998</v>
      </c>
      <c r="O11" s="82">
        <v>14321899.999999996</v>
      </c>
      <c r="P11" s="82">
        <v>14555200</v>
      </c>
      <c r="Q11" s="82">
        <v>15976099.999999991</v>
      </c>
      <c r="R11" s="83">
        <v>176207900</v>
      </c>
      <c r="S11" s="128"/>
      <c r="T11" s="209"/>
      <c r="U11" s="128"/>
    </row>
    <row r="12" spans="1:66">
      <c r="A12" s="62" t="s">
        <v>60</v>
      </c>
      <c r="C12" s="73"/>
      <c r="D12" s="81"/>
      <c r="E12" s="82">
        <v>-2186400</v>
      </c>
      <c r="F12" s="82">
        <v>6500900</v>
      </c>
      <c r="G12" s="82">
        <v>6538500</v>
      </c>
      <c r="H12" s="82">
        <v>6573399.9999999991</v>
      </c>
      <c r="I12" s="82">
        <v>6612500</v>
      </c>
      <c r="J12" s="82">
        <v>6628000</v>
      </c>
      <c r="K12" s="82">
        <v>6666000</v>
      </c>
      <c r="L12" s="82">
        <v>6705300</v>
      </c>
      <c r="M12" s="82">
        <v>6739600</v>
      </c>
      <c r="N12" s="82">
        <v>6780500</v>
      </c>
      <c r="O12" s="82">
        <v>6829600</v>
      </c>
      <c r="P12" s="82">
        <v>6864800</v>
      </c>
      <c r="Q12" s="82">
        <v>6900699.9999999991</v>
      </c>
      <c r="R12" s="83">
        <v>80339800</v>
      </c>
      <c r="S12" s="128"/>
      <c r="T12" s="209"/>
      <c r="U12" s="128"/>
    </row>
    <row r="13" spans="1:66">
      <c r="A13" s="62" t="s">
        <v>61</v>
      </c>
      <c r="C13" s="73"/>
      <c r="D13" s="81"/>
      <c r="E13" s="82">
        <v>607200</v>
      </c>
      <c r="F13" s="82">
        <v>613000</v>
      </c>
      <c r="G13" s="82">
        <v>613200</v>
      </c>
      <c r="H13" s="82">
        <v>613600</v>
      </c>
      <c r="I13" s="82">
        <v>614000</v>
      </c>
      <c r="J13" s="82">
        <v>614400</v>
      </c>
      <c r="K13" s="82">
        <v>614800</v>
      </c>
      <c r="L13" s="82">
        <v>615200</v>
      </c>
      <c r="M13" s="82">
        <v>615600</v>
      </c>
      <c r="N13" s="82">
        <v>626100</v>
      </c>
      <c r="O13" s="82">
        <v>629700</v>
      </c>
      <c r="P13" s="82">
        <v>631300</v>
      </c>
      <c r="Q13" s="82">
        <v>635400</v>
      </c>
      <c r="R13" s="83">
        <v>7436300</v>
      </c>
      <c r="S13" s="128"/>
      <c r="T13" s="209"/>
      <c r="U13" s="128"/>
    </row>
    <row r="14" spans="1:66">
      <c r="A14" s="62" t="s">
        <v>62</v>
      </c>
      <c r="C14" s="73"/>
      <c r="D14" s="81"/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3">
        <v>0</v>
      </c>
      <c r="S14" s="128"/>
      <c r="T14" s="209"/>
      <c r="U14" s="128"/>
    </row>
    <row r="15" spans="1:66">
      <c r="A15" s="62" t="s">
        <v>63</v>
      </c>
      <c r="C15" s="73"/>
      <c r="D15" s="81"/>
      <c r="E15" s="82">
        <v>83300</v>
      </c>
      <c r="F15" s="82">
        <v>83300</v>
      </c>
      <c r="G15" s="82">
        <v>83300</v>
      </c>
      <c r="H15" s="82">
        <v>83300</v>
      </c>
      <c r="I15" s="82">
        <v>83300</v>
      </c>
      <c r="J15" s="82">
        <v>83300</v>
      </c>
      <c r="K15" s="82">
        <v>83300</v>
      </c>
      <c r="L15" s="82">
        <v>83300</v>
      </c>
      <c r="M15" s="82">
        <v>83300</v>
      </c>
      <c r="N15" s="82">
        <v>83300</v>
      </c>
      <c r="O15" s="82">
        <v>83300</v>
      </c>
      <c r="P15" s="82">
        <v>83300</v>
      </c>
      <c r="Q15" s="82">
        <v>83300</v>
      </c>
      <c r="R15" s="83">
        <v>999600</v>
      </c>
      <c r="S15" s="128"/>
      <c r="T15" s="209"/>
      <c r="U15" s="128"/>
    </row>
    <row r="16" spans="1:66">
      <c r="A16" s="62" t="s">
        <v>64</v>
      </c>
      <c r="C16" s="73"/>
      <c r="D16" s="81"/>
      <c r="E16" s="82">
        <v>5211500</v>
      </c>
      <c r="F16" s="82">
        <v>6131100</v>
      </c>
      <c r="G16" s="82">
        <v>6393099.9999999991</v>
      </c>
      <c r="H16" s="82">
        <v>5855099.9999999981</v>
      </c>
      <c r="I16" s="82">
        <v>5571800</v>
      </c>
      <c r="J16" s="82">
        <v>5350099.9999999991</v>
      </c>
      <c r="K16" s="82">
        <v>5200300</v>
      </c>
      <c r="L16" s="82">
        <v>4879099.9999999981</v>
      </c>
      <c r="M16" s="82">
        <v>4851500.0000000009</v>
      </c>
      <c r="N16" s="82">
        <v>4917299.9999999991</v>
      </c>
      <c r="O16" s="82">
        <v>5178599.9999999991</v>
      </c>
      <c r="P16" s="82">
        <v>5638099.9999999991</v>
      </c>
      <c r="Q16" s="82">
        <v>6072699.9999999991</v>
      </c>
      <c r="R16" s="83">
        <v>66038800</v>
      </c>
      <c r="S16" s="128"/>
      <c r="T16" s="209"/>
      <c r="U16" s="128"/>
    </row>
    <row r="17" spans="1:21">
      <c r="A17" s="62" t="s">
        <v>65</v>
      </c>
      <c r="C17" s="73"/>
      <c r="D17" s="81"/>
      <c r="E17" s="90">
        <v>1609100</v>
      </c>
      <c r="F17" s="90">
        <v>-53500</v>
      </c>
      <c r="G17" s="90">
        <v>63500</v>
      </c>
      <c r="H17" s="90">
        <v>-2858700</v>
      </c>
      <c r="I17" s="90">
        <v>-789100</v>
      </c>
      <c r="J17" s="90">
        <v>-1424399.9999999998</v>
      </c>
      <c r="K17" s="90">
        <v>-1866700</v>
      </c>
      <c r="L17" s="90">
        <v>-1849200</v>
      </c>
      <c r="M17" s="90">
        <v>-1855000</v>
      </c>
      <c r="N17" s="90">
        <v>-1891899.9999999998</v>
      </c>
      <c r="O17" s="90">
        <v>-1931200</v>
      </c>
      <c r="P17" s="90">
        <v>-1291300</v>
      </c>
      <c r="Q17" s="90">
        <v>-685500</v>
      </c>
      <c r="R17" s="91">
        <v>-16433000</v>
      </c>
      <c r="S17" s="128"/>
      <c r="T17" s="209"/>
      <c r="U17" s="128"/>
    </row>
    <row r="18" spans="1:21">
      <c r="A18" s="62" t="s">
        <v>66</v>
      </c>
      <c r="C18" s="73"/>
      <c r="D18" s="81"/>
      <c r="E18" s="82">
        <v>2270800</v>
      </c>
      <c r="F18" s="82">
        <v>1801800</v>
      </c>
      <c r="G18" s="82">
        <v>1404200</v>
      </c>
      <c r="H18" s="82">
        <v>3189500</v>
      </c>
      <c r="I18" s="82">
        <v>1570300</v>
      </c>
      <c r="J18" s="82">
        <v>1686700</v>
      </c>
      <c r="K18" s="82">
        <v>1848900</v>
      </c>
      <c r="L18" s="82">
        <v>1731400</v>
      </c>
      <c r="M18" s="82">
        <v>1779900</v>
      </c>
      <c r="N18" s="82">
        <v>2174800</v>
      </c>
      <c r="O18" s="82">
        <v>1862000</v>
      </c>
      <c r="P18" s="82">
        <v>1682700</v>
      </c>
      <c r="Q18" s="82">
        <v>1757900</v>
      </c>
      <c r="R18" s="83">
        <v>22490100</v>
      </c>
      <c r="S18" s="128"/>
      <c r="T18" s="209"/>
      <c r="U18" s="128"/>
    </row>
    <row r="19" spans="1:21">
      <c r="A19" s="62" t="s">
        <v>67</v>
      </c>
      <c r="C19" s="73"/>
      <c r="D19" s="81"/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3">
        <v>0</v>
      </c>
      <c r="S19" s="128"/>
      <c r="T19" s="209"/>
      <c r="U19" s="128"/>
    </row>
    <row r="20" spans="1:21">
      <c r="A20" s="62" t="s">
        <v>68</v>
      </c>
      <c r="C20" s="73"/>
      <c r="D20" s="86"/>
      <c r="E20" s="87">
        <v>21798600</v>
      </c>
      <c r="F20" s="87">
        <v>30098300</v>
      </c>
      <c r="G20" s="87">
        <v>29258400</v>
      </c>
      <c r="H20" s="87">
        <v>28924799.999999993</v>
      </c>
      <c r="I20" s="87">
        <v>27616699.999999996</v>
      </c>
      <c r="J20" s="87">
        <v>27278399.999999996</v>
      </c>
      <c r="K20" s="87">
        <v>27669199.999999993</v>
      </c>
      <c r="L20" s="87">
        <v>26558699.999999993</v>
      </c>
      <c r="M20" s="87">
        <v>26284799.999999993</v>
      </c>
      <c r="N20" s="87">
        <v>27511600</v>
      </c>
      <c r="O20" s="87">
        <v>26973899.999999996</v>
      </c>
      <c r="P20" s="87">
        <v>28164100</v>
      </c>
      <c r="Q20" s="87">
        <v>30740599.999999989</v>
      </c>
      <c r="R20" s="88">
        <v>337079500</v>
      </c>
      <c r="S20" s="128"/>
      <c r="T20" s="209"/>
      <c r="U20" s="128"/>
    </row>
    <row r="21" spans="1:21">
      <c r="C21" s="73"/>
      <c r="D21" s="81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8"/>
      <c r="S21" s="128"/>
      <c r="T21" s="209"/>
      <c r="U21" s="128"/>
    </row>
    <row r="22" spans="1:21">
      <c r="A22" s="62" t="s">
        <v>69</v>
      </c>
      <c r="C22" s="73"/>
      <c r="D22" s="94"/>
      <c r="E22" s="95">
        <v>16062099.999999993</v>
      </c>
      <c r="F22" s="95">
        <v>9337499.9999999702</v>
      </c>
      <c r="G22" s="95">
        <v>8530600.0000000149</v>
      </c>
      <c r="H22" s="95">
        <v>7211400</v>
      </c>
      <c r="I22" s="95">
        <v>6532000.0000000037</v>
      </c>
      <c r="J22" s="95">
        <v>5052799.9999999888</v>
      </c>
      <c r="K22" s="95">
        <v>3860199.9999999851</v>
      </c>
      <c r="L22" s="95">
        <v>4032099.9999999776</v>
      </c>
      <c r="M22" s="95">
        <v>4176200</v>
      </c>
      <c r="N22" s="95">
        <v>3933499.9999999702</v>
      </c>
      <c r="O22" s="95">
        <v>4244499.9999999963</v>
      </c>
      <c r="P22" s="95">
        <v>5665999.9999999851</v>
      </c>
      <c r="Q22" s="95">
        <v>7111599.9999999814</v>
      </c>
      <c r="R22" s="96">
        <v>69688399.999999881</v>
      </c>
      <c r="S22" s="128"/>
      <c r="T22" s="209"/>
      <c r="U22" s="128"/>
    </row>
    <row r="23" spans="1:21">
      <c r="C23" s="73"/>
      <c r="D23" s="81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8"/>
      <c r="T23" s="209"/>
      <c r="U23" s="128"/>
    </row>
    <row r="24" spans="1:21">
      <c r="A24" s="97" t="s">
        <v>70</v>
      </c>
      <c r="C24" s="73"/>
      <c r="D24" s="81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8"/>
      <c r="T24" s="209"/>
      <c r="U24" s="128"/>
    </row>
    <row r="25" spans="1:21">
      <c r="A25" s="62" t="s">
        <v>71</v>
      </c>
      <c r="C25" s="73"/>
      <c r="D25" s="81"/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3">
        <v>0</v>
      </c>
      <c r="S25" s="128"/>
      <c r="T25" s="209"/>
      <c r="U25" s="128"/>
    </row>
    <row r="26" spans="1:21">
      <c r="A26" s="62" t="s">
        <v>72</v>
      </c>
      <c r="C26" s="73"/>
      <c r="D26" s="81"/>
      <c r="E26" s="82">
        <v>27100</v>
      </c>
      <c r="F26" s="82">
        <v>25400</v>
      </c>
      <c r="G26" s="82">
        <v>22400</v>
      </c>
      <c r="H26" s="82">
        <v>20600</v>
      </c>
      <c r="I26" s="82">
        <v>20000</v>
      </c>
      <c r="J26" s="82">
        <v>20000</v>
      </c>
      <c r="K26" s="82">
        <v>20000</v>
      </c>
      <c r="L26" s="82">
        <v>20800</v>
      </c>
      <c r="M26" s="82">
        <v>22200</v>
      </c>
      <c r="N26" s="82">
        <v>23600</v>
      </c>
      <c r="O26" s="82">
        <v>25000</v>
      </c>
      <c r="P26" s="82">
        <v>26100</v>
      </c>
      <c r="Q26" s="82">
        <v>25600</v>
      </c>
      <c r="R26" s="83">
        <v>271700</v>
      </c>
      <c r="S26" s="128"/>
      <c r="T26" s="209"/>
      <c r="U26" s="128"/>
    </row>
    <row r="27" spans="1:21">
      <c r="A27" s="62" t="s">
        <v>73</v>
      </c>
      <c r="C27" s="73"/>
      <c r="D27" s="81"/>
      <c r="E27" s="82">
        <v>41300</v>
      </c>
      <c r="F27" s="82">
        <v>41300</v>
      </c>
      <c r="G27" s="82">
        <v>41300</v>
      </c>
      <c r="H27" s="82">
        <v>41300</v>
      </c>
      <c r="I27" s="82">
        <v>41300</v>
      </c>
      <c r="J27" s="82">
        <v>41300</v>
      </c>
      <c r="K27" s="82">
        <v>41300</v>
      </c>
      <c r="L27" s="82">
        <v>41300</v>
      </c>
      <c r="M27" s="82">
        <v>41300</v>
      </c>
      <c r="N27" s="82">
        <v>41300</v>
      </c>
      <c r="O27" s="82">
        <v>41300</v>
      </c>
      <c r="P27" s="82">
        <v>41300</v>
      </c>
      <c r="Q27" s="82">
        <v>41300</v>
      </c>
      <c r="R27" s="83">
        <v>495600</v>
      </c>
      <c r="S27" s="128"/>
      <c r="T27" s="209"/>
      <c r="U27" s="128"/>
    </row>
    <row r="28" spans="1:21">
      <c r="A28" s="98" t="s">
        <v>74</v>
      </c>
      <c r="C28" s="73"/>
      <c r="D28" s="81"/>
      <c r="E28" s="82">
        <v>566600</v>
      </c>
      <c r="F28" s="82">
        <v>178700</v>
      </c>
      <c r="G28" s="82">
        <v>282500</v>
      </c>
      <c r="H28" s="82">
        <v>222700</v>
      </c>
      <c r="I28" s="82">
        <v>351600</v>
      </c>
      <c r="J28" s="82">
        <v>310000</v>
      </c>
      <c r="K28" s="82">
        <v>309500</v>
      </c>
      <c r="L28" s="82">
        <v>336300</v>
      </c>
      <c r="M28" s="82">
        <v>306000</v>
      </c>
      <c r="N28" s="82">
        <v>324200</v>
      </c>
      <c r="O28" s="82">
        <v>321600</v>
      </c>
      <c r="P28" s="82">
        <v>355000</v>
      </c>
      <c r="Q28" s="82">
        <v>566600</v>
      </c>
      <c r="R28" s="83">
        <v>3864700</v>
      </c>
      <c r="S28" s="128"/>
      <c r="T28" s="209"/>
      <c r="U28" s="128"/>
    </row>
    <row r="29" spans="1:21">
      <c r="A29" s="98" t="s">
        <v>75</v>
      </c>
      <c r="C29" s="73"/>
      <c r="D29" s="81"/>
      <c r="E29" s="99">
        <v>82100</v>
      </c>
      <c r="F29" s="99">
        <v>83300</v>
      </c>
      <c r="G29" s="99">
        <v>26200</v>
      </c>
      <c r="H29" s="99">
        <v>53300</v>
      </c>
      <c r="I29" s="99">
        <v>73700</v>
      </c>
      <c r="J29" s="99">
        <v>60200</v>
      </c>
      <c r="K29" s="99">
        <v>53300</v>
      </c>
      <c r="L29" s="99">
        <v>21200</v>
      </c>
      <c r="M29" s="99">
        <v>48200</v>
      </c>
      <c r="N29" s="99">
        <v>53300</v>
      </c>
      <c r="O29" s="99">
        <v>19200</v>
      </c>
      <c r="P29" s="99">
        <v>48200</v>
      </c>
      <c r="Q29" s="99">
        <v>84300</v>
      </c>
      <c r="R29" s="88">
        <v>624400</v>
      </c>
      <c r="S29" s="128"/>
      <c r="T29" s="209"/>
      <c r="U29" s="128"/>
    </row>
    <row r="30" spans="1:21">
      <c r="A30" s="98" t="s">
        <v>76</v>
      </c>
      <c r="C30" s="73"/>
      <c r="D30" s="81"/>
      <c r="E30" s="82">
        <v>242300</v>
      </c>
      <c r="F30" s="82">
        <v>256399.99999999997</v>
      </c>
      <c r="G30" s="82">
        <v>272100</v>
      </c>
      <c r="H30" s="82">
        <v>285000</v>
      </c>
      <c r="I30" s="82">
        <v>312200</v>
      </c>
      <c r="J30" s="82">
        <v>356000</v>
      </c>
      <c r="K30" s="82">
        <v>398800</v>
      </c>
      <c r="L30" s="82">
        <v>440400</v>
      </c>
      <c r="M30" s="82">
        <v>478800</v>
      </c>
      <c r="N30" s="82">
        <v>515900</v>
      </c>
      <c r="O30" s="82">
        <v>551400</v>
      </c>
      <c r="P30" s="82">
        <v>585900</v>
      </c>
      <c r="Q30" s="82">
        <v>607600</v>
      </c>
      <c r="R30" s="88">
        <v>5060500</v>
      </c>
      <c r="S30" s="128"/>
      <c r="T30" s="209"/>
      <c r="U30" s="128"/>
    </row>
    <row r="31" spans="1:21">
      <c r="A31" s="62" t="s">
        <v>77</v>
      </c>
      <c r="C31" s="73"/>
      <c r="D31" s="81"/>
      <c r="E31" s="90">
        <v>-14200</v>
      </c>
      <c r="F31" s="90">
        <v>-16200</v>
      </c>
      <c r="G31" s="90">
        <v>-2600</v>
      </c>
      <c r="H31" s="90">
        <v>-9800</v>
      </c>
      <c r="I31" s="90">
        <v>-15200</v>
      </c>
      <c r="J31" s="90">
        <v>-12400</v>
      </c>
      <c r="K31" s="90">
        <v>-10100</v>
      </c>
      <c r="L31" s="90">
        <v>-4300</v>
      </c>
      <c r="M31" s="90">
        <v>-8200</v>
      </c>
      <c r="N31" s="90">
        <v>-9100</v>
      </c>
      <c r="O31" s="90">
        <v>-100</v>
      </c>
      <c r="P31" s="90">
        <v>-7200</v>
      </c>
      <c r="Q31" s="90">
        <v>-16500</v>
      </c>
      <c r="R31" s="91">
        <v>-111700</v>
      </c>
      <c r="S31" s="128"/>
      <c r="T31" s="209"/>
      <c r="U31" s="128"/>
    </row>
    <row r="32" spans="1:21">
      <c r="A32" s="62" t="s">
        <v>78</v>
      </c>
      <c r="C32" s="73"/>
      <c r="D32" s="94"/>
      <c r="E32" s="95">
        <v>809400</v>
      </c>
      <c r="F32" s="95">
        <v>434700</v>
      </c>
      <c r="G32" s="95">
        <v>594700</v>
      </c>
      <c r="H32" s="95">
        <v>526100</v>
      </c>
      <c r="I32" s="95">
        <v>666600</v>
      </c>
      <c r="J32" s="95">
        <v>679500</v>
      </c>
      <c r="K32" s="95">
        <v>726400</v>
      </c>
      <c r="L32" s="95">
        <v>821900</v>
      </c>
      <c r="M32" s="95">
        <v>808300</v>
      </c>
      <c r="N32" s="95">
        <v>860800</v>
      </c>
      <c r="O32" s="95">
        <v>920200</v>
      </c>
      <c r="P32" s="95">
        <v>967300</v>
      </c>
      <c r="Q32" s="95">
        <v>1173300</v>
      </c>
      <c r="R32" s="96">
        <v>9179800</v>
      </c>
      <c r="S32" s="128"/>
      <c r="T32" s="209"/>
      <c r="U32" s="128"/>
    </row>
    <row r="33" spans="1:21">
      <c r="C33" s="73"/>
      <c r="D33" s="81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8"/>
      <c r="T33" s="209"/>
      <c r="U33" s="128"/>
    </row>
    <row r="34" spans="1:21">
      <c r="A34" s="97" t="s">
        <v>79</v>
      </c>
      <c r="C34" s="73"/>
      <c r="D34" s="81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8"/>
      <c r="T34" s="209"/>
      <c r="U34" s="128"/>
    </row>
    <row r="35" spans="1:21">
      <c r="A35" s="62" t="s">
        <v>80</v>
      </c>
      <c r="C35" s="73"/>
      <c r="D35" s="81"/>
      <c r="E35" s="82">
        <v>3830000</v>
      </c>
      <c r="F35" s="82">
        <v>3830000</v>
      </c>
      <c r="G35" s="82">
        <v>3830000</v>
      </c>
      <c r="H35" s="82">
        <v>3830000</v>
      </c>
      <c r="I35" s="82">
        <v>3830000</v>
      </c>
      <c r="J35" s="82">
        <v>3830000</v>
      </c>
      <c r="K35" s="82">
        <v>3830000</v>
      </c>
      <c r="L35" s="82">
        <v>4277500</v>
      </c>
      <c r="M35" s="82">
        <v>4277500</v>
      </c>
      <c r="N35" s="82">
        <v>4277500</v>
      </c>
      <c r="O35" s="82">
        <v>4277500</v>
      </c>
      <c r="P35" s="82">
        <v>4277500</v>
      </c>
      <c r="Q35" s="82">
        <v>4277500</v>
      </c>
      <c r="R35" s="83">
        <v>48645000</v>
      </c>
      <c r="S35" s="128"/>
      <c r="T35" s="209"/>
      <c r="U35" s="128"/>
    </row>
    <row r="36" spans="1:21">
      <c r="A36" s="62" t="s">
        <v>81</v>
      </c>
      <c r="C36" s="73"/>
      <c r="D36" s="81"/>
      <c r="E36" s="82">
        <v>471977.70471175137</v>
      </c>
      <c r="F36" s="82">
        <v>484179.94171761069</v>
      </c>
      <c r="G36" s="82">
        <v>484871.1954369389</v>
      </c>
      <c r="H36" s="82">
        <v>496403.12263124541</v>
      </c>
      <c r="I36" s="82">
        <v>545301.84854122181</v>
      </c>
      <c r="J36" s="82">
        <v>583691.44608159002</v>
      </c>
      <c r="K36" s="82">
        <v>407621.26538681326</v>
      </c>
      <c r="L36" s="82">
        <v>275331.34778058401</v>
      </c>
      <c r="M36" s="82">
        <v>290614.8774109619</v>
      </c>
      <c r="N36" s="82">
        <v>285198.58419228258</v>
      </c>
      <c r="O36" s="82">
        <v>369244.94475515967</v>
      </c>
      <c r="P36" s="82">
        <v>440504.26969641831</v>
      </c>
      <c r="Q36" s="82">
        <v>475877.85662134731</v>
      </c>
      <c r="R36" s="83">
        <v>5138840.7002521735</v>
      </c>
      <c r="S36" s="128"/>
      <c r="T36" s="209"/>
      <c r="U36" s="128"/>
    </row>
    <row r="37" spans="1:21">
      <c r="A37" s="62" t="s">
        <v>82</v>
      </c>
      <c r="C37" s="73"/>
      <c r="D37" s="81"/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3">
        <v>0</v>
      </c>
      <c r="S37" s="128"/>
      <c r="T37" s="209"/>
      <c r="U37" s="128"/>
    </row>
    <row r="38" spans="1:21">
      <c r="A38" s="62" t="s">
        <v>83</v>
      </c>
      <c r="C38" s="73"/>
      <c r="D38" s="81"/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5">
        <v>0</v>
      </c>
      <c r="S38" s="128"/>
      <c r="T38" s="209"/>
      <c r="U38" s="128"/>
    </row>
    <row r="39" spans="1:21">
      <c r="A39" s="62" t="s">
        <v>84</v>
      </c>
      <c r="C39" s="73"/>
      <c r="D39" s="81"/>
      <c r="E39" s="82">
        <v>61900</v>
      </c>
      <c r="F39" s="82">
        <v>61800.000000000007</v>
      </c>
      <c r="G39" s="82">
        <v>62100</v>
      </c>
      <c r="H39" s="82">
        <v>62400.000000000007</v>
      </c>
      <c r="I39" s="82">
        <v>63100</v>
      </c>
      <c r="J39" s="82">
        <v>63499.999999999993</v>
      </c>
      <c r="K39" s="82">
        <v>62800</v>
      </c>
      <c r="L39" s="82">
        <v>62400</v>
      </c>
      <c r="M39" s="82">
        <v>62199.999999999993</v>
      </c>
      <c r="N39" s="82">
        <v>62100</v>
      </c>
      <c r="O39" s="82">
        <v>61800</v>
      </c>
      <c r="P39" s="82">
        <v>61600</v>
      </c>
      <c r="Q39" s="82">
        <v>61300.000000000007</v>
      </c>
      <c r="R39" s="83">
        <v>747100</v>
      </c>
      <c r="S39" s="128"/>
      <c r="T39" s="209"/>
      <c r="U39" s="128"/>
    </row>
    <row r="40" spans="1:21">
      <c r="A40" s="62" t="s">
        <v>85</v>
      </c>
      <c r="C40" s="73"/>
      <c r="D40" s="81"/>
      <c r="E40" s="82">
        <v>-77300</v>
      </c>
      <c r="F40" s="82">
        <v>-81800</v>
      </c>
      <c r="G40" s="82">
        <v>-86800</v>
      </c>
      <c r="H40" s="82">
        <v>-90900</v>
      </c>
      <c r="I40" s="82">
        <v>-99500</v>
      </c>
      <c r="J40" s="82">
        <v>-113500</v>
      </c>
      <c r="K40" s="82">
        <v>-127200</v>
      </c>
      <c r="L40" s="82">
        <v>-140400</v>
      </c>
      <c r="M40" s="82">
        <v>-152700</v>
      </c>
      <c r="N40" s="82">
        <v>-164500</v>
      </c>
      <c r="O40" s="82">
        <v>-175800</v>
      </c>
      <c r="P40" s="82">
        <v>-186800</v>
      </c>
      <c r="Q40" s="82">
        <v>-193800</v>
      </c>
      <c r="R40" s="85">
        <v>-1613700</v>
      </c>
      <c r="S40" s="128"/>
      <c r="T40" s="209"/>
      <c r="U40" s="128"/>
    </row>
    <row r="41" spans="1:21">
      <c r="A41" s="62" t="s">
        <v>86</v>
      </c>
      <c r="C41" s="73"/>
      <c r="D41" s="94"/>
      <c r="E41" s="100">
        <v>4286577.7047117511</v>
      </c>
      <c r="F41" s="100">
        <v>4294179.9417176107</v>
      </c>
      <c r="G41" s="100">
        <v>4290171.1954369387</v>
      </c>
      <c r="H41" s="100">
        <v>4297903.1226312453</v>
      </c>
      <c r="I41" s="100">
        <v>4338901.8485412216</v>
      </c>
      <c r="J41" s="100">
        <v>4363691.4460815899</v>
      </c>
      <c r="K41" s="100">
        <v>4173221.2653868133</v>
      </c>
      <c r="L41" s="100">
        <v>4474831.3477805844</v>
      </c>
      <c r="M41" s="100">
        <v>4477614.8774109622</v>
      </c>
      <c r="N41" s="100">
        <v>4460298.5841922825</v>
      </c>
      <c r="O41" s="100">
        <v>4532744.9447551593</v>
      </c>
      <c r="P41" s="100">
        <v>4592804.2696964182</v>
      </c>
      <c r="Q41" s="100">
        <v>4620877.8566213474</v>
      </c>
      <c r="R41" s="96">
        <v>52917240.700252168</v>
      </c>
      <c r="S41" s="128"/>
      <c r="T41" s="209"/>
      <c r="U41" s="128"/>
    </row>
    <row r="42" spans="1:21">
      <c r="C42" s="73"/>
      <c r="D42" s="8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 s="128"/>
      <c r="T42" s="209"/>
      <c r="U42" s="128"/>
    </row>
    <row r="43" spans="1:21" ht="15.75" thickBot="1">
      <c r="A43" s="62" t="s">
        <v>87</v>
      </c>
      <c r="C43" s="73"/>
      <c r="D43" s="103"/>
      <c r="E43" s="104">
        <v>12584922.295288242</v>
      </c>
      <c r="F43" s="104">
        <v>5478020.0582823595</v>
      </c>
      <c r="G43" s="104">
        <v>4835128.8045630762</v>
      </c>
      <c r="H43" s="104">
        <v>3439596.8773687547</v>
      </c>
      <c r="I43" s="104">
        <v>2859698.1514587821</v>
      </c>
      <c r="J43" s="104">
        <v>1368608.5539183989</v>
      </c>
      <c r="K43" s="104">
        <v>413378.73461317178</v>
      </c>
      <c r="L43" s="104">
        <v>379168.65221939329</v>
      </c>
      <c r="M43" s="104">
        <v>506885.12258903775</v>
      </c>
      <c r="N43" s="104">
        <v>334001.41580768768</v>
      </c>
      <c r="O43" s="104">
        <v>631955.05524483696</v>
      </c>
      <c r="P43" s="104">
        <v>2040495.7303035669</v>
      </c>
      <c r="Q43" s="104">
        <v>3664022.143378634</v>
      </c>
      <c r="R43" s="105">
        <v>25950959.299747713</v>
      </c>
      <c r="S43" s="211">
        <v>2.1789051372333262E-2</v>
      </c>
      <c r="T43" s="209"/>
      <c r="U43" s="128"/>
    </row>
    <row r="44" spans="1:21" ht="15.75" thickTop="1">
      <c r="C44" s="73"/>
      <c r="E44" s="107">
        <v>0</v>
      </c>
      <c r="F44" s="107">
        <v>7.4505805969238281E-9</v>
      </c>
      <c r="G44" s="107">
        <v>0</v>
      </c>
      <c r="H44" s="107">
        <v>0</v>
      </c>
      <c r="I44" s="107">
        <v>4.1909515857696533E-9</v>
      </c>
      <c r="J44" s="107">
        <v>-2.0954757928848267E-9</v>
      </c>
      <c r="K44" s="107">
        <v>8.149072527885437E-10</v>
      </c>
      <c r="L44" s="107">
        <v>4.0163286030292511E-9</v>
      </c>
      <c r="M44" s="107">
        <v>-2.7939677238464355E-9</v>
      </c>
      <c r="N44" s="107">
        <v>-6.1118043959140778E-9</v>
      </c>
      <c r="O44" s="107">
        <v>-2.0954757928848267E-9</v>
      </c>
      <c r="P44" s="107">
        <v>0</v>
      </c>
      <c r="Q44" s="107">
        <v>0</v>
      </c>
      <c r="R44" s="108">
        <v>0</v>
      </c>
      <c r="S44" s="212"/>
      <c r="T44" s="128"/>
      <c r="U44" s="128"/>
    </row>
    <row r="45" spans="1:21">
      <c r="C45" s="73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8"/>
      <c r="S45" s="213"/>
      <c r="T45" s="128"/>
      <c r="U45" s="128"/>
    </row>
    <row r="46" spans="1:21">
      <c r="C46" s="73"/>
      <c r="D46" s="73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10"/>
      <c r="T46" s="128"/>
      <c r="U46" s="128"/>
    </row>
    <row r="47" spans="1:21">
      <c r="A47" s="111" t="s">
        <v>88</v>
      </c>
      <c r="C47" s="73"/>
      <c r="D47" s="73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10"/>
      <c r="T47" s="128"/>
      <c r="U47" s="128"/>
    </row>
    <row r="48" spans="1:21">
      <c r="A48" s="112" t="s">
        <v>89</v>
      </c>
      <c r="C48" s="73"/>
      <c r="D48" s="112" t="s">
        <v>90</v>
      </c>
      <c r="E48" s="113">
        <v>603500</v>
      </c>
      <c r="F48" s="113">
        <v>609200</v>
      </c>
      <c r="G48" s="113">
        <v>590900</v>
      </c>
      <c r="H48" s="113">
        <v>611400</v>
      </c>
      <c r="I48" s="113">
        <v>596100</v>
      </c>
      <c r="J48" s="113">
        <v>613300</v>
      </c>
      <c r="K48" s="113">
        <v>636400</v>
      </c>
      <c r="L48" s="113">
        <v>602300</v>
      </c>
      <c r="M48" s="113">
        <v>612300</v>
      </c>
      <c r="N48" s="113">
        <v>602500</v>
      </c>
      <c r="O48" s="113">
        <v>614200</v>
      </c>
      <c r="P48" s="113">
        <v>655600</v>
      </c>
      <c r="Q48" s="113">
        <v>603500</v>
      </c>
      <c r="R48" s="83">
        <v>7347700</v>
      </c>
      <c r="T48" s="128"/>
      <c r="U48" s="128"/>
    </row>
    <row r="49" spans="1:21">
      <c r="C49" s="73"/>
      <c r="D49" s="73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14"/>
      <c r="T49" s="128"/>
      <c r="U49" s="128"/>
    </row>
    <row r="50" spans="1:21">
      <c r="C50" s="73"/>
      <c r="D50" s="73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14"/>
      <c r="T50" s="128"/>
      <c r="U50" s="128"/>
    </row>
    <row r="51" spans="1:21">
      <c r="C51" s="73"/>
      <c r="D51" s="73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6"/>
      <c r="T51" s="128"/>
      <c r="U51" s="128"/>
    </row>
    <row r="52" spans="1:21">
      <c r="C52" s="73"/>
      <c r="D52" s="73"/>
      <c r="E52" s="109">
        <v>123</v>
      </c>
      <c r="F52" s="109">
        <v>124</v>
      </c>
      <c r="G52" s="109">
        <v>125</v>
      </c>
      <c r="H52" s="109">
        <v>126</v>
      </c>
      <c r="I52" s="109">
        <v>127</v>
      </c>
      <c r="J52" s="109">
        <v>128</v>
      </c>
      <c r="K52" s="109">
        <v>129</v>
      </c>
      <c r="L52" s="109">
        <v>130</v>
      </c>
      <c r="M52" s="109">
        <v>131</v>
      </c>
      <c r="N52" s="109">
        <v>132</v>
      </c>
      <c r="O52" s="109">
        <v>133</v>
      </c>
      <c r="P52" s="109">
        <v>134</v>
      </c>
      <c r="Q52" s="109">
        <v>135</v>
      </c>
      <c r="R52" s="108"/>
      <c r="T52" s="128"/>
      <c r="U52" s="128"/>
    </row>
    <row r="53" spans="1:21">
      <c r="C53" s="73"/>
      <c r="D53" s="73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8"/>
      <c r="T53" s="128"/>
      <c r="U53" s="128"/>
    </row>
    <row r="54" spans="1:21">
      <c r="A54" s="117" t="s">
        <v>91</v>
      </c>
      <c r="C54" s="73"/>
      <c r="D54" s="62" t="s">
        <v>92</v>
      </c>
      <c r="E54" s="118">
        <v>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118">
        <v>0</v>
      </c>
      <c r="M54" s="118">
        <v>0</v>
      </c>
      <c r="N54" s="118">
        <v>0</v>
      </c>
      <c r="O54" s="118">
        <v>0</v>
      </c>
      <c r="P54" s="118">
        <v>0</v>
      </c>
      <c r="Q54" s="118">
        <v>0</v>
      </c>
      <c r="R54" s="108">
        <v>0</v>
      </c>
      <c r="T54" s="128"/>
      <c r="U54" s="128"/>
    </row>
    <row r="55" spans="1:21">
      <c r="A55" s="117" t="s">
        <v>93</v>
      </c>
      <c r="C55" s="73"/>
      <c r="D55" s="62" t="s">
        <v>94</v>
      </c>
      <c r="E55" s="118">
        <v>1400</v>
      </c>
      <c r="F55" s="118">
        <v>1500</v>
      </c>
      <c r="G55" s="118">
        <v>1500</v>
      </c>
      <c r="H55" s="118">
        <v>1500</v>
      </c>
      <c r="I55" s="118">
        <v>24000</v>
      </c>
      <c r="J55" s="118">
        <v>1500</v>
      </c>
      <c r="K55" s="118">
        <v>1500</v>
      </c>
      <c r="L55" s="118">
        <v>1500</v>
      </c>
      <c r="M55" s="118">
        <v>1500</v>
      </c>
      <c r="N55" s="118">
        <v>1500</v>
      </c>
      <c r="O55" s="118">
        <v>1500</v>
      </c>
      <c r="P55" s="118">
        <v>1500</v>
      </c>
      <c r="Q55" s="118">
        <v>1500</v>
      </c>
      <c r="R55" s="108">
        <v>40500</v>
      </c>
      <c r="T55" s="128"/>
      <c r="U55" s="128"/>
    </row>
    <row r="56" spans="1:21">
      <c r="A56" s="62" t="s">
        <v>95</v>
      </c>
      <c r="C56" s="73"/>
      <c r="D56" s="62" t="s">
        <v>96</v>
      </c>
      <c r="E56" s="118">
        <v>0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0</v>
      </c>
      <c r="R56" s="108">
        <v>0</v>
      </c>
      <c r="T56" s="128"/>
      <c r="U56" s="128"/>
    </row>
    <row r="57" spans="1:21">
      <c r="A57" s="62" t="s">
        <v>97</v>
      </c>
      <c r="C57" s="73"/>
      <c r="D57" s="62" t="s">
        <v>98</v>
      </c>
      <c r="E57" s="118">
        <v>48500</v>
      </c>
      <c r="F57" s="118">
        <v>24000</v>
      </c>
      <c r="G57" s="118">
        <v>24000</v>
      </c>
      <c r="H57" s="118">
        <v>24000</v>
      </c>
      <c r="I57" s="118">
        <v>24000</v>
      </c>
      <c r="J57" s="118">
        <v>24000</v>
      </c>
      <c r="K57" s="118">
        <v>24000</v>
      </c>
      <c r="L57" s="118">
        <v>24000</v>
      </c>
      <c r="M57" s="118">
        <v>24000</v>
      </c>
      <c r="N57" s="118">
        <v>24000</v>
      </c>
      <c r="O57" s="118">
        <v>24000</v>
      </c>
      <c r="P57" s="118">
        <v>24000</v>
      </c>
      <c r="Q57" s="118">
        <v>49500</v>
      </c>
      <c r="R57" s="108">
        <v>313500</v>
      </c>
      <c r="T57" s="128"/>
      <c r="U57" s="128"/>
    </row>
    <row r="58" spans="1:21">
      <c r="A58" s="62" t="s">
        <v>99</v>
      </c>
      <c r="C58" s="73"/>
      <c r="D58" s="62" t="s">
        <v>100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08">
        <v>0</v>
      </c>
      <c r="T58" s="128"/>
      <c r="U58" s="128"/>
    </row>
    <row r="59" spans="1:21">
      <c r="A59" s="62" t="s">
        <v>101</v>
      </c>
      <c r="C59" s="73"/>
      <c r="D59" s="62" t="s">
        <v>102</v>
      </c>
      <c r="E59" s="118">
        <v>34200</v>
      </c>
      <c r="F59" s="118">
        <v>9400</v>
      </c>
      <c r="G59" s="118">
        <v>9400</v>
      </c>
      <c r="H59" s="118">
        <v>9400</v>
      </c>
      <c r="I59" s="118">
        <v>9400</v>
      </c>
      <c r="J59" s="118">
        <v>9400</v>
      </c>
      <c r="K59" s="118">
        <v>9400</v>
      </c>
      <c r="L59" s="118">
        <v>9400</v>
      </c>
      <c r="M59" s="118">
        <v>9400</v>
      </c>
      <c r="N59" s="118">
        <v>9400</v>
      </c>
      <c r="O59" s="118">
        <v>9400</v>
      </c>
      <c r="P59" s="118">
        <v>9400</v>
      </c>
      <c r="Q59" s="118">
        <v>34900</v>
      </c>
      <c r="R59" s="108">
        <v>138300</v>
      </c>
      <c r="T59" s="128"/>
      <c r="U59" s="128"/>
    </row>
    <row r="60" spans="1:21">
      <c r="A60" s="62" t="s">
        <v>103</v>
      </c>
      <c r="C60" s="73"/>
      <c r="D60" s="62" t="s">
        <v>104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08">
        <v>0</v>
      </c>
      <c r="T60" s="128"/>
      <c r="U60" s="128"/>
    </row>
    <row r="61" spans="1:21">
      <c r="A61" s="62" t="s">
        <v>105</v>
      </c>
      <c r="C61" s="73"/>
      <c r="D61" s="62" t="s">
        <v>106</v>
      </c>
      <c r="E61" s="118">
        <v>9700</v>
      </c>
      <c r="F61" s="118">
        <v>4800</v>
      </c>
      <c r="G61" s="118">
        <v>4800</v>
      </c>
      <c r="H61" s="118">
        <v>9900</v>
      </c>
      <c r="I61" s="118">
        <v>4800</v>
      </c>
      <c r="J61" s="118">
        <v>4800</v>
      </c>
      <c r="K61" s="118">
        <v>9900</v>
      </c>
      <c r="L61" s="118">
        <v>4800</v>
      </c>
      <c r="M61" s="118">
        <v>4800</v>
      </c>
      <c r="N61" s="118">
        <v>9900</v>
      </c>
      <c r="O61" s="118">
        <v>4800</v>
      </c>
      <c r="P61" s="118">
        <v>4800</v>
      </c>
      <c r="Q61" s="118">
        <v>9900</v>
      </c>
      <c r="R61" s="108">
        <v>78000</v>
      </c>
      <c r="T61" s="128"/>
      <c r="U61" s="128"/>
    </row>
    <row r="62" spans="1:21">
      <c r="A62" s="62" t="s">
        <v>107</v>
      </c>
      <c r="C62" s="73"/>
      <c r="D62" s="62" t="s">
        <v>108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18">
        <v>0</v>
      </c>
      <c r="O62" s="118">
        <v>0</v>
      </c>
      <c r="P62" s="118">
        <v>0</v>
      </c>
      <c r="Q62" s="118">
        <v>0</v>
      </c>
      <c r="R62" s="108">
        <v>0</v>
      </c>
      <c r="T62" s="128"/>
      <c r="U62" s="128"/>
    </row>
    <row r="63" spans="1:21">
      <c r="A63" s="62" t="s">
        <v>109</v>
      </c>
      <c r="C63" s="73"/>
      <c r="D63" s="62" t="s">
        <v>110</v>
      </c>
      <c r="E63" s="118">
        <v>0</v>
      </c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08">
        <v>0</v>
      </c>
      <c r="T63" s="128"/>
      <c r="U63" s="128"/>
    </row>
    <row r="64" spans="1:21">
      <c r="A64" s="62" t="s">
        <v>111</v>
      </c>
      <c r="C64" s="73"/>
      <c r="D64" s="62" t="s">
        <v>112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118">
        <v>0</v>
      </c>
      <c r="M64" s="118">
        <v>0</v>
      </c>
      <c r="N64" s="118">
        <v>0</v>
      </c>
      <c r="O64" s="118">
        <v>0</v>
      </c>
      <c r="P64" s="118">
        <v>0</v>
      </c>
      <c r="Q64" s="118">
        <v>0</v>
      </c>
      <c r="R64" s="108">
        <v>0</v>
      </c>
      <c r="T64" s="128"/>
      <c r="U64" s="128"/>
    </row>
    <row r="65" spans="1:21">
      <c r="A65" s="62" t="s">
        <v>113</v>
      </c>
      <c r="C65" s="73"/>
      <c r="D65" s="62" t="s">
        <v>114</v>
      </c>
      <c r="E65" s="118">
        <v>8300</v>
      </c>
      <c r="F65" s="118">
        <v>8500</v>
      </c>
      <c r="G65" s="118">
        <v>8500</v>
      </c>
      <c r="H65" s="118">
        <v>8500</v>
      </c>
      <c r="I65" s="118">
        <v>8500</v>
      </c>
      <c r="J65" s="118">
        <v>8500</v>
      </c>
      <c r="K65" s="118">
        <v>8500</v>
      </c>
      <c r="L65" s="118">
        <v>8500</v>
      </c>
      <c r="M65" s="118">
        <v>8500</v>
      </c>
      <c r="N65" s="118">
        <v>8500</v>
      </c>
      <c r="O65" s="118">
        <v>8500</v>
      </c>
      <c r="P65" s="118">
        <v>8500</v>
      </c>
      <c r="Q65" s="118">
        <v>8500</v>
      </c>
      <c r="R65" s="108">
        <v>102000</v>
      </c>
      <c r="T65" s="128"/>
      <c r="U65" s="128"/>
    </row>
    <row r="66" spans="1:21">
      <c r="A66" s="119" t="s">
        <v>115</v>
      </c>
      <c r="B66" s="119"/>
      <c r="C66" s="120"/>
      <c r="D66" s="120" t="s">
        <v>116</v>
      </c>
      <c r="E66" s="121">
        <v>0</v>
      </c>
      <c r="F66" s="121">
        <v>35100</v>
      </c>
      <c r="G66" s="121">
        <v>3000</v>
      </c>
      <c r="H66" s="121">
        <v>0</v>
      </c>
      <c r="I66" s="121">
        <v>28000</v>
      </c>
      <c r="J66" s="121">
        <v>12000</v>
      </c>
      <c r="K66" s="121">
        <v>0</v>
      </c>
      <c r="L66" s="121">
        <v>3000</v>
      </c>
      <c r="M66" s="121">
        <v>0</v>
      </c>
      <c r="N66" s="121">
        <v>0</v>
      </c>
      <c r="O66" s="121">
        <v>3000</v>
      </c>
      <c r="P66" s="121">
        <v>0</v>
      </c>
      <c r="Q66" s="121">
        <v>0</v>
      </c>
      <c r="R66" s="108">
        <v>84100</v>
      </c>
      <c r="T66" s="128"/>
      <c r="U66" s="128"/>
    </row>
    <row r="67" spans="1:21">
      <c r="A67" s="62" t="s">
        <v>117</v>
      </c>
      <c r="C67" s="73"/>
      <c r="E67" s="107">
        <v>102100</v>
      </c>
      <c r="F67" s="107">
        <v>83300</v>
      </c>
      <c r="G67" s="107">
        <v>51200</v>
      </c>
      <c r="H67" s="107">
        <v>53300</v>
      </c>
      <c r="I67" s="107">
        <v>98700</v>
      </c>
      <c r="J67" s="107">
        <v>60200</v>
      </c>
      <c r="K67" s="107">
        <v>53300</v>
      </c>
      <c r="L67" s="107">
        <v>51200</v>
      </c>
      <c r="M67" s="107">
        <v>48200</v>
      </c>
      <c r="N67" s="107">
        <v>53300</v>
      </c>
      <c r="O67" s="107">
        <v>51200</v>
      </c>
      <c r="P67" s="107">
        <v>48200</v>
      </c>
      <c r="Q67" s="107">
        <v>104300</v>
      </c>
      <c r="R67" s="108">
        <v>756400</v>
      </c>
      <c r="T67" s="128"/>
      <c r="U67" s="128"/>
    </row>
    <row r="68" spans="1:21">
      <c r="C68" s="73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8"/>
      <c r="T68" s="128"/>
      <c r="U68" s="128"/>
    </row>
    <row r="69" spans="1:21">
      <c r="C69" s="73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14"/>
      <c r="T69" s="128"/>
      <c r="U69" s="128"/>
    </row>
    <row r="70" spans="1:21">
      <c r="C70" s="73"/>
      <c r="D70" s="73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14"/>
      <c r="T70" s="128"/>
      <c r="U70" s="128"/>
    </row>
    <row r="71" spans="1:21">
      <c r="C71" s="73"/>
      <c r="D71" s="73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14"/>
      <c r="T71" s="128"/>
      <c r="U71" s="128"/>
    </row>
    <row r="72" spans="1:21">
      <c r="C72" s="73"/>
      <c r="D72" s="73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14"/>
      <c r="T72" s="128"/>
      <c r="U72" s="128"/>
    </row>
    <row r="73" spans="1:21">
      <c r="C73" s="73"/>
      <c r="D73" s="73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14"/>
      <c r="T73" s="128"/>
      <c r="U73" s="128"/>
    </row>
    <row r="74" spans="1:21">
      <c r="C74" s="73"/>
      <c r="D74" s="73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14"/>
      <c r="T74" s="128"/>
      <c r="U74" s="128"/>
    </row>
    <row r="75" spans="1:21">
      <c r="C75" s="73"/>
      <c r="D75" s="73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14"/>
      <c r="T75" s="128"/>
      <c r="U75" s="128"/>
    </row>
    <row r="76" spans="1:21">
      <c r="C76" s="73"/>
      <c r="D76" s="73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14"/>
      <c r="T76" s="128"/>
      <c r="U76" s="128"/>
    </row>
    <row r="77" spans="1:21">
      <c r="C77" s="73"/>
      <c r="D77" s="73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14"/>
      <c r="T77" s="128"/>
      <c r="U77" s="128"/>
    </row>
    <row r="78" spans="1:21">
      <c r="C78" s="73"/>
      <c r="D78" s="73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14"/>
      <c r="T78" s="128"/>
      <c r="U78" s="128"/>
    </row>
    <row r="79" spans="1:21">
      <c r="C79" s="73"/>
      <c r="D79" s="73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14"/>
      <c r="T79" s="128"/>
      <c r="U79" s="128"/>
    </row>
    <row r="80" spans="1:21">
      <c r="C80" s="73"/>
      <c r="D80" s="73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14"/>
      <c r="T80" s="128"/>
      <c r="U80" s="128"/>
    </row>
    <row r="81" spans="3:21">
      <c r="C81" s="73"/>
      <c r="D81" s="73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14"/>
      <c r="T81" s="128"/>
      <c r="U81" s="128"/>
    </row>
    <row r="82" spans="3:21">
      <c r="C82" s="73"/>
      <c r="D82" s="73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14"/>
      <c r="T82" s="128"/>
      <c r="U82" s="128"/>
    </row>
    <row r="83" spans="3:21">
      <c r="C83" s="73"/>
      <c r="D83" s="73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14"/>
      <c r="T83" s="128"/>
      <c r="U83" s="128"/>
    </row>
    <row r="84" spans="3:21">
      <c r="C84" s="73"/>
      <c r="D84" s="73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14"/>
      <c r="T84" s="128"/>
      <c r="U84" s="128"/>
    </row>
    <row r="85" spans="3:21">
      <c r="C85" s="73"/>
      <c r="D85" s="73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14"/>
      <c r="T85" s="128"/>
      <c r="U85" s="128"/>
    </row>
    <row r="86" spans="3:21">
      <c r="C86" s="73"/>
      <c r="D86" s="73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14"/>
      <c r="T86" s="128"/>
      <c r="U86" s="128"/>
    </row>
    <row r="87" spans="3:21">
      <c r="C87" s="73"/>
      <c r="D87" s="73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14"/>
      <c r="T87" s="128"/>
      <c r="U87" s="128"/>
    </row>
    <row r="88" spans="3:21">
      <c r="C88" s="73"/>
      <c r="D88" s="73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14"/>
      <c r="T88" s="128"/>
      <c r="U88" s="128"/>
    </row>
    <row r="89" spans="3:21">
      <c r="C89" s="73"/>
      <c r="D89" s="73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T89" s="128"/>
      <c r="U89" s="128"/>
    </row>
    <row r="90" spans="3:21" ht="12.75">
      <c r="C90" s="73"/>
      <c r="D90" s="73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</row>
    <row r="91" spans="3:21" ht="12.75">
      <c r="C91" s="73"/>
      <c r="D91" s="73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</row>
    <row r="92" spans="3:21" ht="12.75">
      <c r="C92" s="73"/>
      <c r="D92" s="73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</row>
    <row r="93" spans="3:21" ht="12.75">
      <c r="C93" s="73"/>
      <c r="D93" s="73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</row>
    <row r="94" spans="3:21" ht="12.75">
      <c r="C94" s="73"/>
      <c r="D94" s="73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</row>
    <row r="95" spans="3:21" ht="12.75">
      <c r="C95" s="73"/>
      <c r="D95" s="73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</row>
    <row r="96" spans="3:21" ht="12.75">
      <c r="C96" s="73"/>
      <c r="D96" s="73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</row>
    <row r="97" spans="3:17" ht="12.75">
      <c r="C97" s="73"/>
      <c r="D97" s="73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</row>
  </sheetData>
  <conditionalFormatting sqref="A48 D48">
    <cfRule type="expression" dxfId="0" priority="1">
      <formula>$R48="N"</formula>
    </cfRule>
  </conditionalFormatting>
  <pageMargins left="0.1" right="0.1" top="0.5" bottom="0.5" header="0.5" footer="0.5"/>
  <pageSetup paperSize="5" scale="67" orientation="landscape" blackAndWhite="1" r:id="rId1"/>
  <headerFooter alignWithMargins="0">
    <oddFooter>&amp;L&amp;Z&amp;F
&amp;D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C489EF-6607-4146-827A-68D2485C45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2F9B8A-6B57-47B9-BF92-031AAC256E0E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f5f9a743-18e3-40ef-b0a4-47096f190587"/>
    <ds:schemaRef ds:uri="http://schemas.microsoft.com/office/2006/documentManagement/types"/>
    <ds:schemaRef ds:uri="9bbac886-2f20-4c15-ac8f-bd6773befe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3D9936-91F6-48D6-982B-CE3A0D5D1D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bac886-2f20-4c15-ac8f-bd6773befed2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Scenario</vt:lpstr>
      <vt:lpstr>Variance to Rate Case</vt:lpstr>
      <vt:lpstr>IncomeStmt Scenario</vt:lpstr>
      <vt:lpstr>Rate Case</vt:lpstr>
      <vt:lpstr>IncomeStmt Rate Case</vt:lpstr>
      <vt:lpstr>'IncomeStmt Rate Case'!Print_Area</vt:lpstr>
      <vt:lpstr>'IncomeStmt Scenario'!Print_Area</vt:lpstr>
      <vt:lpstr>'Rate Case'!Print_Area</vt:lpstr>
      <vt:lpstr>Scenario!Print_Area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Heinrich, Joshua R.</dc:creator>
  <cp:lastModifiedBy>Randy1</cp:lastModifiedBy>
  <cp:lastPrinted>2023-05-18T21:33:48Z</cp:lastPrinted>
  <dcterms:created xsi:type="dcterms:W3CDTF">2023-04-19T20:37:04Z</dcterms:created>
  <dcterms:modified xsi:type="dcterms:W3CDTF">2023-07-24T15:44:34Z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2023-04-19T21:17:39Z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a381dfb6-7be8-42a5-8706-da947b658551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ContentTypeId">
    <vt:lpwstr>0x0101001B9469E761E20748A773F85B33816D32</vt:lpwstr>
  </property>
</Properties>
</file>